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4175" tabRatio="728" activeTab="1"/>
  </bookViews>
  <sheets>
    <sheet name="封面" sheetId="3" r:id="rId1"/>
    <sheet name="清单" sheetId="4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<sst xmlns="http://schemas.openxmlformats.org/spreadsheetml/2006/main" count="641" uniqueCount="339">
  <si>
    <t>宝堰镇菜篮子示范基地项目</t>
  </si>
  <si>
    <t>工程</t>
  </si>
  <si>
    <t>招标工程量清单</t>
  </si>
  <si>
    <t>招  标  人：</t>
  </si>
  <si>
    <t>镇江市丹徒区宝堰镇人民政府</t>
  </si>
  <si>
    <t>造价咨询人：</t>
  </si>
  <si>
    <t>镇江金鑫工程造价咨询有限公司</t>
  </si>
  <si>
    <t>（单位盖章）</t>
  </si>
  <si>
    <t>（单位资质专用章）</t>
  </si>
  <si>
    <t>法定代表人
或其授权人：</t>
  </si>
  <si>
    <t>景国斌</t>
  </si>
  <si>
    <t>陈志忠</t>
  </si>
  <si>
    <t>（签字或盖章）</t>
  </si>
  <si>
    <t>编  制  人：</t>
  </si>
  <si>
    <t>胡斌</t>
  </si>
  <si>
    <t>复  核  人：</t>
  </si>
  <si>
    <t>杨利</t>
  </si>
  <si>
    <t>（造价人员签字盖专用章）</t>
  </si>
  <si>
    <t>（造价工程师签字盖专用章）</t>
  </si>
  <si>
    <t>编 制 时 间：</t>
  </si>
  <si>
    <t>复 核 时 间：</t>
  </si>
  <si>
    <t>宝堰镇菜篮子示范基地项目清单</t>
  </si>
  <si>
    <t>温室规格</t>
  </si>
  <si>
    <t>单位跨</t>
  </si>
  <si>
    <t>跨数</t>
  </si>
  <si>
    <t>单位开间</t>
  </si>
  <si>
    <t>开间数</t>
  </si>
  <si>
    <t>面积(m2)</t>
  </si>
  <si>
    <t>序号</t>
  </si>
  <si>
    <t>设备材料名称</t>
  </si>
  <si>
    <t>规格型号</t>
  </si>
  <si>
    <t>单位</t>
  </si>
  <si>
    <t>数量</t>
  </si>
  <si>
    <t>全费用单价</t>
  </si>
  <si>
    <t>全费用合价</t>
  </si>
  <si>
    <t>备注</t>
  </si>
  <si>
    <t>一、土建部分：</t>
  </si>
  <si>
    <t>温室独立基础</t>
  </si>
  <si>
    <t>400*400*700mm（C30混凝土）</t>
  </si>
  <si>
    <t>只</t>
  </si>
  <si>
    <t>基础预埋件</t>
  </si>
  <si>
    <t>M16*550mm丝杆（含打弯50mm），4支焊接</t>
  </si>
  <si>
    <t>条形基础</t>
  </si>
  <si>
    <t>水泥沙浆砌红砖，宽250*高500mm；内外墙水泥出光</t>
  </si>
  <si>
    <t>米</t>
  </si>
  <si>
    <t>土建部分小计</t>
  </si>
  <si>
    <t>二、 主体钢结构部分：</t>
  </si>
  <si>
    <t>主立柱</t>
  </si>
  <si>
    <t>□50mm×100mm×2.5mm×4000mm</t>
  </si>
  <si>
    <t>根</t>
  </si>
  <si>
    <t>焊接后热浸镀锌</t>
  </si>
  <si>
    <t>端立柱</t>
  </si>
  <si>
    <t>□40mm×60mm×2.0mm×6000mm</t>
  </si>
  <si>
    <t>热镀锌矩型管</t>
  </si>
  <si>
    <t>□40mm×60mm×2.0mm×5500mm</t>
  </si>
  <si>
    <t>热浸镀锌矩型管</t>
  </si>
  <si>
    <t>边侧副立柱</t>
  </si>
  <si>
    <t>□30mm×50mm×2.0mm×4300mm</t>
  </si>
  <si>
    <t>立柱底板</t>
  </si>
  <si>
    <t>Q235,—150mm*150mm*6mm</t>
  </si>
  <si>
    <t>块</t>
  </si>
  <si>
    <t>立柱顶板</t>
  </si>
  <si>
    <t>Q235,—100mm*100mm*4mm</t>
  </si>
  <si>
    <t>U型托架</t>
  </si>
  <si>
    <t>40mm*60mm*3.0mm，温室专用</t>
  </si>
  <si>
    <t>剪刀撑连接板</t>
  </si>
  <si>
    <t>Q235，—50mm*40mm*5mm</t>
  </si>
  <si>
    <t>山头横梁</t>
  </si>
  <si>
    <t>□40mm×60mm×2.0mm×8000mm</t>
  </si>
  <si>
    <t>端面八字撑</t>
  </si>
  <si>
    <t>□30mm×50mm×2.0mm×4800mm</t>
  </si>
  <si>
    <t>热浸镀锌圆管</t>
  </si>
  <si>
    <t>中间水平拉杆</t>
  </si>
  <si>
    <t>直吊杆</t>
  </si>
  <si>
    <t>Φ32mm×1.5mm×2000mm</t>
  </si>
  <si>
    <t>V字撑</t>
  </si>
  <si>
    <t>Φ32mm×1.5mm×2200mm</t>
  </si>
  <si>
    <t>主拱羊角柱</t>
  </si>
  <si>
    <t>□30mm×50mm×2.0mm×200mm</t>
  </si>
  <si>
    <t>主拱杆</t>
  </si>
  <si>
    <t>□40mm×60mm×2.0mm×4600mm</t>
  </si>
  <si>
    <t>副拱杆</t>
  </si>
  <si>
    <t>Φ32mm×2.0mm×4400mm</t>
  </si>
  <si>
    <t>顶纵梁</t>
  </si>
  <si>
    <t>□30mm×50mm×2.0mm×3998mm</t>
  </si>
  <si>
    <t>纵拉杆</t>
  </si>
  <si>
    <t>Φ25mm×1.5mm×6000mm</t>
  </si>
  <si>
    <t>副拱杆接管</t>
  </si>
  <si>
    <t>Φ38mm×1.5mm×250mm</t>
  </si>
  <si>
    <t>主拱杆接板</t>
  </si>
  <si>
    <t>套</t>
  </si>
  <si>
    <t>热镀锌板</t>
  </si>
  <si>
    <t>副拱杆压板</t>
  </si>
  <si>
    <t>Φ32mm四眼，温室专用</t>
  </si>
  <si>
    <t>副拱杆顶压板</t>
  </si>
  <si>
    <t>Φ38mm骑马，温室专用</t>
  </si>
  <si>
    <t>纵拉杆压板</t>
  </si>
  <si>
    <t>Φ32mm骑马，温室专用</t>
  </si>
  <si>
    <t>中天沟</t>
  </si>
  <si>
    <t>4000mm×2.5mm，温室专用</t>
  </si>
  <si>
    <t>条</t>
  </si>
  <si>
    <t>边天沟</t>
  </si>
  <si>
    <t>中天沟托架</t>
  </si>
  <si>
    <t>2mm，温室专用</t>
  </si>
  <si>
    <t>边天沟托架</t>
  </si>
  <si>
    <t>中落水斗</t>
  </si>
  <si>
    <t>长200mm，厚2mm</t>
  </si>
  <si>
    <t>边落水斗</t>
  </si>
  <si>
    <t>长200mm，厚2mm，左、右各半</t>
  </si>
  <si>
    <t>落水管</t>
  </si>
  <si>
    <t>Φ110mm×3500mm</t>
  </si>
  <si>
    <t>PVC管</t>
  </si>
  <si>
    <t>落水管弯头</t>
  </si>
  <si>
    <t>Φ110 mm</t>
  </si>
  <si>
    <t>立柱剪刀撑</t>
  </si>
  <si>
    <t>12㎜钢筋</t>
  </si>
  <si>
    <t>热镀锌圆钢</t>
  </si>
  <si>
    <t>花兰</t>
  </si>
  <si>
    <t>M12mm</t>
  </si>
  <si>
    <t>卡槽</t>
  </si>
  <si>
    <t>4m长，0.7mm厚，温室专用</t>
  </si>
  <si>
    <t>高锌</t>
  </si>
  <si>
    <t>卡簧</t>
  </si>
  <si>
    <t>2mm，配合卡槽，温室专用</t>
  </si>
  <si>
    <t>北京卡簧</t>
  </si>
  <si>
    <t>卷膜杆</t>
  </si>
  <si>
    <t>电动卷膜器</t>
  </si>
  <si>
    <t>DC24V,100W</t>
  </si>
  <si>
    <t>顶卷伸缩杆</t>
  </si>
  <si>
    <t>Φ32mm/Φ25mm</t>
  </si>
  <si>
    <t>爬杆器</t>
  </si>
  <si>
    <t>铝合金</t>
  </si>
  <si>
    <t>个</t>
  </si>
  <si>
    <t>侧卷爬杆</t>
  </si>
  <si>
    <t>Φ25mm×1.5mm×3000mm</t>
  </si>
  <si>
    <t>压膜绳</t>
  </si>
  <si>
    <t>230m</t>
  </si>
  <si>
    <t>卷</t>
  </si>
  <si>
    <t>白色</t>
  </si>
  <si>
    <t>压膜卡</t>
  </si>
  <si>
    <t>Φ25mm白色正反卡</t>
  </si>
  <si>
    <t>压顶簧</t>
  </si>
  <si>
    <t>32mmx25mm，温室专用</t>
  </si>
  <si>
    <t>镀锌钢丝</t>
  </si>
  <si>
    <t>抱箍</t>
  </si>
  <si>
    <t>护套</t>
  </si>
  <si>
    <t>Φ25mm白色尼龙</t>
  </si>
  <si>
    <t>八字弹簧</t>
  </si>
  <si>
    <t>固定压膜绳，温室专用</t>
  </si>
  <si>
    <t>钢丝</t>
  </si>
  <si>
    <t>丁基胶</t>
  </si>
  <si>
    <t>黑色30mm*3.0mm</t>
  </si>
  <si>
    <t xml:space="preserve"> </t>
  </si>
  <si>
    <t>卡槽连接片</t>
  </si>
  <si>
    <t>0.7mm厚</t>
  </si>
  <si>
    <t>落水管固定架</t>
  </si>
  <si>
    <t>温室专用</t>
  </si>
  <si>
    <t>件</t>
  </si>
  <si>
    <t>热镀锌薄板</t>
  </si>
  <si>
    <t>门头横梁</t>
  </si>
  <si>
    <t>□40mm×60mm×2.0mm×4000mm</t>
  </si>
  <si>
    <t>移门</t>
  </si>
  <si>
    <t>铝合金，2000*2000mm</t>
  </si>
  <si>
    <t>樘</t>
  </si>
  <si>
    <t>含吊轨</t>
  </si>
  <si>
    <t>紧固件</t>
  </si>
  <si>
    <t>平方</t>
  </si>
  <si>
    <t>主体钢结构部分小计</t>
  </si>
  <si>
    <t>三、覆盖材料部分：</t>
  </si>
  <si>
    <t>顶薄膜</t>
  </si>
  <si>
    <t>9m×65m×10张</t>
  </si>
  <si>
    <t>15丝PO膜：拉伸强度≥16MPa，断裂标称应变≥500%，直角撕裂强度≥60kN/m，透光率≥
90%，雾度≤35%，初滴时间≤420s</t>
  </si>
  <si>
    <t>侧薄膜</t>
  </si>
  <si>
    <t>4.0m×65m×2张</t>
  </si>
  <si>
    <t>山头薄膜</t>
  </si>
  <si>
    <t>6.0m×81m×2张</t>
  </si>
  <si>
    <t>通风口裙薄膜</t>
  </si>
  <si>
    <t>0.6m×65m×20张</t>
  </si>
  <si>
    <t>0.6m×81m×1张</t>
  </si>
  <si>
    <t>防风薄膜</t>
  </si>
  <si>
    <t>1.5m×66m</t>
  </si>
  <si>
    <t>防虫网</t>
  </si>
  <si>
    <t>1.5m×65m×20张</t>
  </si>
  <si>
    <t>40目</t>
  </si>
  <si>
    <t>2.0m×65m×2张</t>
  </si>
  <si>
    <t>2.0m×81m×1张</t>
  </si>
  <si>
    <t>内棚顶膜</t>
  </si>
  <si>
    <t>8.6m×62m×10张</t>
  </si>
  <si>
    <t>10丝PO膜：拉伸强度≥16MPa，断裂标称应变≥500%，直角撕裂强度≥60kN/m，透光率≥
90%，雾度≤35%，初滴时间≤420s</t>
  </si>
  <si>
    <t>内棚侧膜</t>
  </si>
  <si>
    <t>2.0m×63m×2张</t>
  </si>
  <si>
    <t>内棚棚头</t>
  </si>
  <si>
    <t>3.5m×80m×2张</t>
  </si>
  <si>
    <t>内棚防风薄膜(通风口两端的固定膜)</t>
  </si>
  <si>
    <t>1.2m×8.6m×20张</t>
  </si>
  <si>
    <t>1.5m×7m（转角处包覆式安装）</t>
  </si>
  <si>
    <t>1.8m×10.5m（转角处包覆式安装）</t>
  </si>
  <si>
    <t>裙膜</t>
  </si>
  <si>
    <t>0.6m×75m×8张</t>
  </si>
  <si>
    <t>0.6m×24m×2张</t>
  </si>
  <si>
    <t>四周保温被</t>
  </si>
  <si>
    <t>4m×35m×2张</t>
  </si>
  <si>
    <t>120g太空棉</t>
  </si>
  <si>
    <t>4m×43m×2张</t>
  </si>
  <si>
    <t>4m×64m×2张</t>
  </si>
  <si>
    <t>覆盖材料部分小计</t>
  </si>
  <si>
    <t xml:space="preserve">四、外遮阳系统： </t>
  </si>
  <si>
    <t>遮阳立柱</t>
  </si>
  <si>
    <t>□50mm×50mm×2.0mm×2500mm</t>
  </si>
  <si>
    <t>遮阳立柱底板</t>
  </si>
  <si>
    <t>C型抱箍</t>
  </si>
  <si>
    <t>Q235，50mm*50mm*3.0mm，温室专用</t>
  </si>
  <si>
    <t>Q235，30mm*50mm*3.0mm，温室专用</t>
  </si>
  <si>
    <t>遮阳立柱纵梁</t>
  </si>
  <si>
    <t>□30mm×50mm×2.0mm×4000mm</t>
  </si>
  <si>
    <t>遮阳端横梁</t>
  </si>
  <si>
    <t>遮阳横梁</t>
  </si>
  <si>
    <t>□30mm×50mm×2.0mm×8000mm</t>
  </si>
  <si>
    <t>立柱横梁肩撑</t>
  </si>
  <si>
    <t>Φ32mm×1.5mm×3000mm</t>
  </si>
  <si>
    <t>外遮阳八字撑</t>
  </si>
  <si>
    <t>水平撑垫高管</t>
  </si>
  <si>
    <t>Φ20mm×1.2mm×50mm</t>
  </si>
  <si>
    <t>上剪刀撑</t>
  </si>
  <si>
    <t>Φ10mm</t>
  </si>
  <si>
    <t>M10mm</t>
  </si>
  <si>
    <t>移幕杆</t>
  </si>
  <si>
    <t>Φ22mm×1.2mm×6000mm</t>
  </si>
  <si>
    <t>A型拉幕齿轮</t>
  </si>
  <si>
    <t>副</t>
  </si>
  <si>
    <t xml:space="preserve">拉幕齿条 </t>
  </si>
  <si>
    <t>3965mm，配套A型齿轮</t>
  </si>
  <si>
    <t>传动轴</t>
  </si>
  <si>
    <t>Φ32mm×2.0mm</t>
  </si>
  <si>
    <t>焊合接头</t>
  </si>
  <si>
    <t>Φ32mm，铸造件，温室专用</t>
  </si>
  <si>
    <t>推杆</t>
  </si>
  <si>
    <t>Φ32mm×1.5mm×4060mm</t>
  </si>
  <si>
    <t>推杆夹头</t>
  </si>
  <si>
    <t>32mm，铝合金，温室专用</t>
  </si>
  <si>
    <t>拉幕杆夹头</t>
  </si>
  <si>
    <t>22mm，铝合金，温室专用</t>
  </si>
  <si>
    <t>支撑滑轮</t>
  </si>
  <si>
    <t>门型</t>
  </si>
  <si>
    <t>托幕线</t>
  </si>
  <si>
    <t>黑色塑钢Φ2.5mm</t>
  </si>
  <si>
    <t>拉幕电机</t>
  </si>
  <si>
    <t>0.75kw/380V</t>
  </si>
  <si>
    <t xml:space="preserve">只 </t>
  </si>
  <si>
    <t>联轴器</t>
  </si>
  <si>
    <t>齿轮、链条</t>
  </si>
  <si>
    <t>拉幕机座架</t>
  </si>
  <si>
    <t>热镀锌板，温室电机专用</t>
  </si>
  <si>
    <t>遮阳网</t>
  </si>
  <si>
    <t>4.3m*42m*32张</t>
  </si>
  <si>
    <t>圆丝网75%</t>
  </si>
  <si>
    <t>定位大卡</t>
  </si>
  <si>
    <t>Φ22mm双孔卡，温室专用</t>
  </si>
  <si>
    <t>定位小卡</t>
  </si>
  <si>
    <t>Φ22mm单孔卡，温室专用</t>
  </si>
  <si>
    <t>扎带</t>
  </si>
  <si>
    <t>0.9㎜</t>
  </si>
  <si>
    <t>辅件</t>
  </si>
  <si>
    <t>螺丝等</t>
  </si>
  <si>
    <t>外遮阳系统小计</t>
  </si>
  <si>
    <t xml:space="preserve">五、内遮阳系统： </t>
  </si>
  <si>
    <t>内遮阳系统小计</t>
  </si>
  <si>
    <t xml:space="preserve">六、内保温系统： </t>
  </si>
  <si>
    <t>四周主立柱</t>
  </si>
  <si>
    <t>支撑杆</t>
  </si>
  <si>
    <t>□50mm×50mm×2.0mm×450mm</t>
  </si>
  <si>
    <t>□50mm×50mm×2.0mm×1800mm</t>
  </si>
  <si>
    <t>七字板</t>
  </si>
  <si>
    <t>50*50*2.0mm</t>
  </si>
  <si>
    <t>小水槽</t>
  </si>
  <si>
    <t>4000*1.50mm热镀锌板</t>
  </si>
  <si>
    <t>支</t>
  </si>
  <si>
    <t>拱管</t>
  </si>
  <si>
    <t>φ25mm×1.5mm×4200mm热镀锌圆管</t>
  </si>
  <si>
    <t>拱间距1.33m</t>
  </si>
  <si>
    <t>φ25mm×1.5mm×4000mm热镀锌圆管</t>
  </si>
  <si>
    <t>拱管接头</t>
  </si>
  <si>
    <t>φ25</t>
  </si>
  <si>
    <t>压板</t>
  </si>
  <si>
    <t>纵梁</t>
  </si>
  <si>
    <t>φ25mm×1.5mm×6000mm热镀锌圆管</t>
  </si>
  <si>
    <t>25-22</t>
  </si>
  <si>
    <t>门头立柱</t>
  </si>
  <si>
    <t>φ32mm×1.5mm*3250mm热镀锌圆管</t>
  </si>
  <si>
    <t>φ32mm×1.5mm*2750mm热镀锌圆管</t>
  </si>
  <si>
    <t>包箍</t>
  </si>
  <si>
    <t>#25</t>
  </si>
  <si>
    <t>卷被杆</t>
  </si>
  <si>
    <t>φ32mm×1.5mm×6000mm热镀锌圆管</t>
  </si>
  <si>
    <t>Φ32mm白色正反卡</t>
  </si>
  <si>
    <t>铝合金移门</t>
  </si>
  <si>
    <t>2000*2000mm</t>
  </si>
  <si>
    <t>㎡</t>
  </si>
  <si>
    <t>内保温系统小计</t>
  </si>
  <si>
    <t>七、风机湿帘降温系统：</t>
  </si>
  <si>
    <t>重锤风机</t>
  </si>
  <si>
    <t>1380型/1.1kw</t>
  </si>
  <si>
    <t>台</t>
  </si>
  <si>
    <t>水帘</t>
  </si>
  <si>
    <t>1.5m*0.10m，分2组</t>
  </si>
  <si>
    <t>水泵</t>
  </si>
  <si>
    <t>1.5kw/380V，扬程12米，流量8立方/h</t>
  </si>
  <si>
    <t>水池</t>
  </si>
  <si>
    <t>3.8立方，砖混结构</t>
  </si>
  <si>
    <t>循环水管路</t>
  </si>
  <si>
    <t>配套</t>
  </si>
  <si>
    <t>风机湿帘降温系统小计</t>
  </si>
  <si>
    <t>八、电气系统：</t>
  </si>
  <si>
    <t>控制柜</t>
  </si>
  <si>
    <t>XL-21落地柜：外遮阳系统控制、内遮阳系统控制、电动卷膜通风系统控制、风机湿帘降温系统控制</t>
  </si>
  <si>
    <t>电线</t>
  </si>
  <si>
    <t>RVV6×1.5㎡</t>
  </si>
  <si>
    <t>m</t>
  </si>
  <si>
    <t>外遮阳用</t>
  </si>
  <si>
    <t>RVV2×2.5㎡</t>
  </si>
  <si>
    <t>电动卷膜器用</t>
  </si>
  <si>
    <t>RVV3×2.5㎡</t>
  </si>
  <si>
    <t>风机、水泵用</t>
  </si>
  <si>
    <t>辅材</t>
  </si>
  <si>
    <t>配套配件等</t>
  </si>
  <si>
    <t>批</t>
  </si>
  <si>
    <t>电气系统小计</t>
  </si>
  <si>
    <t>九</t>
  </si>
  <si>
    <t>加工制作费：</t>
  </si>
  <si>
    <t>钢结构骨架制作</t>
  </si>
  <si>
    <t>十</t>
  </si>
  <si>
    <t>安装费：</t>
  </si>
  <si>
    <t>安装费</t>
  </si>
  <si>
    <t>十一</t>
  </si>
  <si>
    <t>运费：</t>
  </si>
  <si>
    <t>运费</t>
  </si>
  <si>
    <t>含二次搬运费</t>
  </si>
  <si>
    <t>十二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</si>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</sst>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0.00_);[Red]\(0.00\)"/>
    <numFmt numFmtId="180" formatCode="yyyy&quot;年&quot;m&quot;月&quot;d&quot;日&quot;;@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黑体"/>
      <charset val="134"/>
    </font>
    <font>
      <b/>
      <sz val="11"/>
      <name val="黑体"/>
      <charset val="134"/>
    </font>
    <font>
      <sz val="12"/>
      <name val="黑体"/>
      <charset val="134"/>
    </font>
    <font>
      <sz val="11"/>
      <name val="黑体"/>
      <charset val="134"/>
    </font>
    <font>
      <sz val="11"/>
      <color rgb="FFFF0000"/>
      <name val="黑体"/>
      <charset val="134"/>
    </font>
    <font>
      <sz val="10"/>
      <name val="Arial"/>
      <charset val="0"/>
    </font>
    <font>
      <sz val="17.25"/>
      <color indexed="8"/>
      <name val="宋体"/>
      <charset val="134"/>
    </font>
    <font>
      <b/>
      <sz val="17"/>
      <color indexed="8"/>
      <name val="宋体"/>
      <charset val="134"/>
    </font>
    <font>
      <b/>
      <sz val="2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9" applyNumberFormat="0" applyAlignment="0" applyProtection="0">
      <alignment vertical="center"/>
    </xf>
    <xf numFmtId="0" fontId="22" fillId="5" borderId="30" applyNumberFormat="0" applyAlignment="0" applyProtection="0">
      <alignment vertical="center"/>
    </xf>
    <xf numFmtId="0" fontId="23" fillId="5" borderId="29" applyNumberFormat="0" applyAlignment="0" applyProtection="0">
      <alignment vertical="center"/>
    </xf>
    <xf numFmtId="0" fontId="24" fillId="6" borderId="31" applyNumberFormat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3" fillId="0" borderId="0">
      <protection locked="0"/>
    </xf>
    <xf numFmtId="0" fontId="32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9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76" fontId="3" fillId="0" borderId="21" xfId="0" applyNumberFormat="1" applyFont="1" applyFill="1" applyBorder="1" applyAlignment="1">
      <alignment horizontal="center" vertical="center" wrapText="1"/>
    </xf>
    <xf numFmtId="176" fontId="3" fillId="0" borderId="22" xfId="0" applyNumberFormat="1" applyFont="1" applyFill="1" applyBorder="1" applyAlignment="1">
      <alignment horizontal="center" vertical="center" wrapText="1"/>
    </xf>
    <xf numFmtId="176" fontId="3" fillId="0" borderId="2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8" fillId="0" borderId="24" xfId="0" applyNumberFormat="1" applyFont="1" applyFill="1" applyBorder="1" applyAlignment="1" applyProtection="1">
      <alignment horizontal="center" wrapText="1" readingOrder="1"/>
    </xf>
    <xf numFmtId="0" fontId="9" fillId="0" borderId="0" xfId="0" applyNumberFormat="1" applyFont="1" applyFill="1" applyBorder="1" applyAlignment="1" applyProtection="1">
      <alignment horizontal="left" readingOrder="1"/>
    </xf>
    <xf numFmtId="0" fontId="7" fillId="0" borderId="25" xfId="0" applyNumberFormat="1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horizontal="center" vertical="center" readingOrder="1"/>
    </xf>
    <xf numFmtId="0" fontId="11" fillId="0" borderId="0" xfId="0" applyNumberFormat="1" applyFont="1" applyFill="1" applyBorder="1" applyAlignment="1" applyProtection="1">
      <alignment horizontal="left" readingOrder="1"/>
    </xf>
    <xf numFmtId="0" fontId="11" fillId="0" borderId="24" xfId="0" applyNumberFormat="1" applyFont="1" applyFill="1" applyBorder="1" applyAlignment="1" applyProtection="1">
      <alignment horizontal="center" wrapText="1" readingOrder="1"/>
    </xf>
    <xf numFmtId="0" fontId="12" fillId="0" borderId="25" xfId="0" applyNumberFormat="1" applyFont="1" applyFill="1" applyBorder="1" applyAlignment="1" applyProtection="1">
      <alignment horizontal="center" vertical="center" readingOrder="1"/>
    </xf>
    <xf numFmtId="0" fontId="11" fillId="0" borderId="0" xfId="0" applyNumberFormat="1" applyFont="1" applyFill="1" applyBorder="1" applyAlignment="1" applyProtection="1">
      <alignment horizontal="left" wrapText="1" readingOrder="1"/>
    </xf>
    <xf numFmtId="180" fontId="11" fillId="0" borderId="0" xfId="0" applyNumberFormat="1" applyFont="1" applyFill="1" applyBorder="1" applyAlignment="1" applyProtection="1">
      <alignment horizontal="center" wrapText="1" readingOrder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2" xfId="50"/>
    <cellStyle name="常规 2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M15" sqref="M15"/>
    </sheetView>
  </sheetViews>
  <sheetFormatPr defaultColWidth="9" defaultRowHeight="13.5"/>
  <cols>
    <col min="1" max="1" width="2.375" customWidth="1"/>
    <col min="2" max="2" width="6.25" customWidth="1"/>
    <col min="3" max="3" width="7.125" customWidth="1"/>
    <col min="4" max="4" width="24.375" customWidth="1"/>
    <col min="5" max="5" width="2.75" customWidth="1"/>
    <col min="6" max="6" width="11.75" customWidth="1"/>
    <col min="9" max="9" width="8.25" customWidth="1"/>
  </cols>
  <sheetData>
    <row r="1" ht="13" customHeight="1" spans="1:10">
      <c r="A1" s="71"/>
      <c r="B1" s="71"/>
      <c r="C1" s="71"/>
      <c r="D1" s="71"/>
      <c r="E1" s="71"/>
      <c r="F1" s="71"/>
      <c r="G1" s="71"/>
      <c r="H1" s="71"/>
      <c r="I1" s="71"/>
      <c r="J1" s="71"/>
    </row>
    <row r="2" ht="37.5" customHeight="1" spans="1:10">
      <c r="A2" s="71"/>
      <c r="B2" s="71"/>
      <c r="C2" s="72" t="s">
        <v>0</v>
      </c>
      <c r="D2" s="72"/>
      <c r="E2" s="72"/>
      <c r="F2" s="72"/>
      <c r="G2" s="72"/>
      <c r="H2" s="73" t="s">
        <v>1</v>
      </c>
      <c r="I2" s="71"/>
      <c r="J2" s="71"/>
    </row>
    <row r="3" ht="37.5" customHeight="1" spans="1:10">
      <c r="A3" s="71"/>
      <c r="B3" s="71"/>
      <c r="C3" s="72"/>
      <c r="D3" s="72"/>
      <c r="E3" s="72"/>
      <c r="F3" s="72"/>
      <c r="G3" s="72"/>
      <c r="H3" s="73"/>
      <c r="I3" s="71"/>
      <c r="J3" s="71"/>
    </row>
    <row r="4" ht="24" customHeight="1" spans="1:10">
      <c r="A4" s="71"/>
      <c r="B4" s="71"/>
      <c r="C4" s="74"/>
      <c r="D4" s="74"/>
      <c r="E4" s="74"/>
      <c r="F4" s="74"/>
      <c r="G4" s="74"/>
      <c r="H4" s="71"/>
      <c r="I4" s="71"/>
      <c r="J4" s="71"/>
    </row>
    <row r="5" ht="37.5" customHeight="1" spans="1:10">
      <c r="A5" s="75" t="s">
        <v>2</v>
      </c>
      <c r="B5" s="75"/>
      <c r="C5" s="75"/>
      <c r="D5" s="75"/>
      <c r="E5" s="75"/>
      <c r="F5" s="75"/>
      <c r="G5" s="75"/>
      <c r="H5" s="75"/>
      <c r="I5" s="75"/>
      <c r="J5" s="75"/>
    </row>
    <row r="6" ht="24" customHeight="1" spans="1:10">
      <c r="A6" s="71"/>
      <c r="B6" s="71"/>
      <c r="C6" s="71"/>
      <c r="D6" s="71"/>
      <c r="E6" s="71"/>
      <c r="F6" s="71"/>
      <c r="G6" s="71"/>
      <c r="H6" s="71"/>
      <c r="I6" s="71"/>
      <c r="J6" s="71"/>
    </row>
    <row r="7" ht="37.5" customHeight="1" spans="1:10">
      <c r="A7" s="71"/>
      <c r="B7" s="71"/>
      <c r="C7" s="71"/>
      <c r="D7" s="71"/>
      <c r="E7" s="71"/>
      <c r="F7" s="71"/>
      <c r="G7" s="71"/>
      <c r="H7" s="71"/>
      <c r="I7" s="71"/>
      <c r="J7" s="71"/>
    </row>
    <row r="8" ht="37.5" customHeight="1" spans="1:10">
      <c r="A8" s="71"/>
      <c r="B8" s="76" t="s">
        <v>3</v>
      </c>
      <c r="C8" s="76"/>
      <c r="D8" s="77" t="s">
        <v>4</v>
      </c>
      <c r="E8" s="71"/>
      <c r="F8" s="76" t="s">
        <v>5</v>
      </c>
      <c r="G8" s="77" t="s">
        <v>6</v>
      </c>
      <c r="H8" s="77"/>
      <c r="I8" s="77"/>
      <c r="J8" s="71"/>
    </row>
    <row r="9" ht="37.5" customHeight="1" spans="1:10">
      <c r="A9" s="71"/>
      <c r="B9" s="71"/>
      <c r="C9" s="71"/>
      <c r="D9" s="78" t="s">
        <v>7</v>
      </c>
      <c r="E9" s="71"/>
      <c r="F9" s="71"/>
      <c r="G9" s="78" t="s">
        <v>8</v>
      </c>
      <c r="H9" s="78"/>
      <c r="I9" s="78"/>
      <c r="J9" s="71"/>
    </row>
    <row r="10" ht="37.5" customHeight="1" spans="1:10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ht="37.5" customHeight="1" spans="1:10">
      <c r="A11" s="71"/>
      <c r="B11" s="79" t="s">
        <v>9</v>
      </c>
      <c r="C11" s="79"/>
      <c r="D11" s="77" t="s">
        <v>10</v>
      </c>
      <c r="E11" s="71"/>
      <c r="F11" s="79" t="s">
        <v>9</v>
      </c>
      <c r="G11" s="71"/>
      <c r="H11" s="71"/>
      <c r="I11" s="71"/>
      <c r="J11" s="71"/>
    </row>
    <row r="12" ht="37.5" customHeight="1" spans="1:10">
      <c r="A12" s="71"/>
      <c r="B12" s="79"/>
      <c r="C12" s="79"/>
      <c r="D12" s="77"/>
      <c r="E12" s="71"/>
      <c r="F12" s="79"/>
      <c r="G12" s="77" t="s">
        <v>11</v>
      </c>
      <c r="H12" s="77"/>
      <c r="I12" s="77"/>
      <c r="J12" s="71"/>
    </row>
    <row r="13" ht="37.5" customHeight="1" spans="1:10">
      <c r="A13" s="71"/>
      <c r="B13" s="71"/>
      <c r="C13" s="71"/>
      <c r="D13" s="78" t="s">
        <v>12</v>
      </c>
      <c r="E13" s="71"/>
      <c r="F13" s="71"/>
      <c r="G13" s="78" t="s">
        <v>12</v>
      </c>
      <c r="H13" s="78"/>
      <c r="I13" s="78"/>
      <c r="J13" s="71"/>
    </row>
    <row r="14" ht="24" customHeight="1" spans="1:10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ht="37.5" customHeight="1" spans="1:10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ht="37.5" customHeight="1" spans="1:10">
      <c r="A16" s="71"/>
      <c r="B16" s="76" t="s">
        <v>13</v>
      </c>
      <c r="C16" s="76"/>
      <c r="D16" s="77" t="s">
        <v>14</v>
      </c>
      <c r="E16" s="71"/>
      <c r="F16" s="76" t="s">
        <v>15</v>
      </c>
      <c r="G16" s="77" t="s">
        <v>16</v>
      </c>
      <c r="H16" s="77"/>
      <c r="I16" s="77"/>
      <c r="J16" s="71"/>
    </row>
    <row r="17" ht="37.5" customHeight="1" spans="1:10">
      <c r="A17" s="71"/>
      <c r="B17" s="71"/>
      <c r="C17" s="71"/>
      <c r="D17" s="78" t="s">
        <v>17</v>
      </c>
      <c r="E17" s="71"/>
      <c r="F17" s="71"/>
      <c r="G17" s="78" t="s">
        <v>18</v>
      </c>
      <c r="H17" s="78"/>
      <c r="I17" s="78"/>
      <c r="J17" s="71"/>
    </row>
    <row r="18" ht="37.5" customHeight="1" spans="1:10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ht="37.5" customHeight="1" spans="1:10">
      <c r="A19" s="71"/>
      <c r="B19" s="76" t="s">
        <v>19</v>
      </c>
      <c r="C19" s="76"/>
      <c r="D19" s="80">
        <v>45765</v>
      </c>
      <c r="E19" s="71"/>
      <c r="F19" s="76" t="s">
        <v>20</v>
      </c>
      <c r="G19" s="80">
        <v>45765</v>
      </c>
      <c r="H19" s="80"/>
      <c r="I19" s="80"/>
      <c r="J19" s="71"/>
    </row>
  </sheetData>
  <mergeCells count="16">
    <mergeCell ref="A5:J5"/>
    <mergeCell ref="B8:C8"/>
    <mergeCell ref="G8:I8"/>
    <mergeCell ref="G9:I9"/>
    <mergeCell ref="G12:I12"/>
    <mergeCell ref="G13:I13"/>
    <mergeCell ref="B16:C16"/>
    <mergeCell ref="G16:I16"/>
    <mergeCell ref="G17:I17"/>
    <mergeCell ref="B19:C19"/>
    <mergeCell ref="G19:I19"/>
    <mergeCell ref="D11:D12"/>
    <mergeCell ref="F11:F12"/>
    <mergeCell ref="H2:H3"/>
    <mergeCell ref="C2:G3"/>
    <mergeCell ref="B11:C1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3"/>
  <sheetViews>
    <sheetView tabSelected="1" workbookViewId="0">
      <selection activeCell="M119" sqref="M119"/>
    </sheetView>
  </sheetViews>
  <sheetFormatPr defaultColWidth="9" defaultRowHeight="13.5" outlineLevelCol="7"/>
  <cols>
    <col min="1" max="1" width="3.5" customWidth="1"/>
    <col min="2" max="2" width="12.625" customWidth="1"/>
    <col min="3" max="3" width="28.75" customWidth="1"/>
    <col min="4" max="4" width="8.125" customWidth="1"/>
  </cols>
  <sheetData>
    <row r="1" ht="35" customHeight="1" spans="1:8">
      <c r="A1" s="1" t="s">
        <v>21</v>
      </c>
      <c r="B1" s="2"/>
      <c r="C1" s="2"/>
      <c r="D1" s="2"/>
      <c r="E1" s="2"/>
      <c r="F1" s="2"/>
      <c r="G1" s="2"/>
      <c r="H1" s="3"/>
    </row>
    <row r="2" ht="35" customHeight="1" spans="1:8">
      <c r="A2" s="4" t="s">
        <v>22</v>
      </c>
      <c r="B2" s="5"/>
      <c r="C2" s="5"/>
      <c r="D2" s="6" t="s">
        <v>23</v>
      </c>
      <c r="E2" s="6" t="s">
        <v>24</v>
      </c>
      <c r="F2" s="7" t="s">
        <v>25</v>
      </c>
      <c r="G2" s="7" t="s">
        <v>26</v>
      </c>
      <c r="H2" s="8" t="s">
        <v>27</v>
      </c>
    </row>
    <row r="3" ht="35" customHeight="1" spans="1:8">
      <c r="A3" s="4"/>
      <c r="B3" s="5"/>
      <c r="C3" s="5"/>
      <c r="D3" s="9">
        <v>8</v>
      </c>
      <c r="E3" s="9">
        <v>10</v>
      </c>
      <c r="F3" s="10">
        <v>4</v>
      </c>
      <c r="G3" s="10">
        <v>16</v>
      </c>
      <c r="H3" s="11">
        <f>D3*E3*F3*G3</f>
        <v>5120</v>
      </c>
    </row>
    <row r="4" ht="35" customHeight="1" spans="1:8">
      <c r="A4" s="12" t="s">
        <v>28</v>
      </c>
      <c r="B4" s="13" t="s">
        <v>29</v>
      </c>
      <c r="C4" s="13" t="s">
        <v>30</v>
      </c>
      <c r="D4" s="13" t="s">
        <v>31</v>
      </c>
      <c r="E4" s="13" t="s">
        <v>32</v>
      </c>
      <c r="F4" s="14" t="s">
        <v>33</v>
      </c>
      <c r="G4" s="14" t="s">
        <v>34</v>
      </c>
      <c r="H4" s="15" t="s">
        <v>35</v>
      </c>
    </row>
    <row r="5" ht="35" customHeight="1" spans="1:8">
      <c r="A5" s="16" t="s">
        <v>36</v>
      </c>
      <c r="B5" s="17"/>
      <c r="C5" s="17"/>
      <c r="D5" s="17"/>
      <c r="E5" s="17"/>
      <c r="F5" s="17"/>
      <c r="G5" s="17"/>
      <c r="H5" s="18"/>
    </row>
    <row r="6" ht="35" customHeight="1" spans="1:8">
      <c r="A6" s="19">
        <v>1</v>
      </c>
      <c r="B6" s="20" t="s">
        <v>37</v>
      </c>
      <c r="C6" s="20" t="s">
        <v>38</v>
      </c>
      <c r="D6" s="20" t="s">
        <v>39</v>
      </c>
      <c r="E6" s="20">
        <f>(E3+1)*(G3+1)</f>
        <v>187</v>
      </c>
      <c r="F6" s="21"/>
      <c r="G6" s="21">
        <f t="shared" ref="G6:G8" si="0">E6*F6</f>
        <v>0</v>
      </c>
      <c r="H6" s="22"/>
    </row>
    <row r="7" ht="35" customHeight="1" spans="1:8">
      <c r="A7" s="19">
        <v>2</v>
      </c>
      <c r="B7" s="20" t="s">
        <v>40</v>
      </c>
      <c r="C7" s="20" t="s">
        <v>41</v>
      </c>
      <c r="D7" s="20" t="s">
        <v>39</v>
      </c>
      <c r="E7" s="20">
        <f>E6</f>
        <v>187</v>
      </c>
      <c r="F7" s="21"/>
      <c r="G7" s="21">
        <f t="shared" si="0"/>
        <v>0</v>
      </c>
      <c r="H7" s="22"/>
    </row>
    <row r="8" ht="35" customHeight="1" spans="1:8">
      <c r="A8" s="19">
        <v>3</v>
      </c>
      <c r="B8" s="20" t="s">
        <v>42</v>
      </c>
      <c r="C8" s="20" t="s">
        <v>43</v>
      </c>
      <c r="D8" s="20" t="s">
        <v>44</v>
      </c>
      <c r="E8" s="20">
        <f>D3*E3*2+F3*G3*2-E61*2.5</f>
        <v>283</v>
      </c>
      <c r="F8" s="21"/>
      <c r="G8" s="21">
        <f t="shared" si="0"/>
        <v>0</v>
      </c>
      <c r="H8" s="22"/>
    </row>
    <row r="9" ht="35" customHeight="1" spans="1:8">
      <c r="A9" s="19">
        <v>4</v>
      </c>
      <c r="B9" s="13" t="s">
        <v>45</v>
      </c>
      <c r="C9" s="20"/>
      <c r="D9" s="20"/>
      <c r="E9" s="20"/>
      <c r="F9" s="21"/>
      <c r="G9" s="14">
        <f>SUM(G6:G8)</f>
        <v>0</v>
      </c>
      <c r="H9" s="22"/>
    </row>
    <row r="10" ht="35" customHeight="1" spans="1:8">
      <c r="A10" s="12" t="s">
        <v>46</v>
      </c>
      <c r="B10" s="13"/>
      <c r="C10" s="13"/>
      <c r="D10" s="13"/>
      <c r="E10" s="13"/>
      <c r="F10" s="14"/>
      <c r="G10" s="14"/>
      <c r="H10" s="15"/>
    </row>
    <row r="11" ht="35" customHeight="1" spans="1:8">
      <c r="A11" s="19">
        <v>1</v>
      </c>
      <c r="B11" s="20" t="s">
        <v>47</v>
      </c>
      <c r="C11" s="20" t="s">
        <v>48</v>
      </c>
      <c r="D11" s="20" t="s">
        <v>49</v>
      </c>
      <c r="E11" s="20">
        <f>(E3+1)*(G3+1)</f>
        <v>187</v>
      </c>
      <c r="F11" s="21"/>
      <c r="G11" s="21">
        <f t="shared" ref="G11:G62" si="1">E11*F11</f>
        <v>0</v>
      </c>
      <c r="H11" s="22" t="s">
        <v>50</v>
      </c>
    </row>
    <row r="12" ht="35" customHeight="1" spans="1:8">
      <c r="A12" s="19">
        <v>2</v>
      </c>
      <c r="B12" s="20" t="s">
        <v>51</v>
      </c>
      <c r="C12" s="20" t="s">
        <v>52</v>
      </c>
      <c r="D12" s="20" t="s">
        <v>49</v>
      </c>
      <c r="E12" s="20">
        <f>E3*4</f>
        <v>40</v>
      </c>
      <c r="F12" s="21"/>
      <c r="G12" s="21">
        <f t="shared" si="1"/>
        <v>0</v>
      </c>
      <c r="H12" s="22" t="s">
        <v>53</v>
      </c>
    </row>
    <row r="13" ht="35" customHeight="1" spans="1:8">
      <c r="A13" s="19">
        <v>3</v>
      </c>
      <c r="B13" s="20"/>
      <c r="C13" s="20" t="s">
        <v>54</v>
      </c>
      <c r="D13" s="20" t="s">
        <v>49</v>
      </c>
      <c r="E13" s="20">
        <f>E3*4</f>
        <v>40</v>
      </c>
      <c r="F13" s="21"/>
      <c r="G13" s="21">
        <f t="shared" si="1"/>
        <v>0</v>
      </c>
      <c r="H13" s="22" t="s">
        <v>55</v>
      </c>
    </row>
    <row r="14" ht="35" customHeight="1" spans="1:8">
      <c r="A14" s="19">
        <v>4</v>
      </c>
      <c r="B14" s="20" t="s">
        <v>56</v>
      </c>
      <c r="C14" s="20" t="s">
        <v>57</v>
      </c>
      <c r="D14" s="20" t="s">
        <v>49</v>
      </c>
      <c r="E14" s="20">
        <f>G3*2*2</f>
        <v>64</v>
      </c>
      <c r="F14" s="21"/>
      <c r="G14" s="21">
        <f t="shared" si="1"/>
        <v>0</v>
      </c>
      <c r="H14" s="22" t="s">
        <v>55</v>
      </c>
    </row>
    <row r="15" ht="35" customHeight="1" spans="1:8">
      <c r="A15" s="19">
        <v>5</v>
      </c>
      <c r="B15" s="20" t="s">
        <v>58</v>
      </c>
      <c r="C15" s="20" t="s">
        <v>59</v>
      </c>
      <c r="D15" s="20" t="s">
        <v>60</v>
      </c>
      <c r="E15" s="20">
        <f>E11</f>
        <v>187</v>
      </c>
      <c r="F15" s="21"/>
      <c r="G15" s="21">
        <f t="shared" si="1"/>
        <v>0</v>
      </c>
      <c r="H15" s="22" t="s">
        <v>50</v>
      </c>
    </row>
    <row r="16" ht="35" customHeight="1" spans="1:8">
      <c r="A16" s="19">
        <v>6</v>
      </c>
      <c r="B16" s="20" t="s">
        <v>61</v>
      </c>
      <c r="C16" s="20" t="s">
        <v>62</v>
      </c>
      <c r="D16" s="20" t="s">
        <v>60</v>
      </c>
      <c r="E16" s="20">
        <f>E15</f>
        <v>187</v>
      </c>
      <c r="F16" s="21"/>
      <c r="G16" s="21">
        <f t="shared" si="1"/>
        <v>0</v>
      </c>
      <c r="H16" s="22" t="s">
        <v>50</v>
      </c>
    </row>
    <row r="17" ht="35" customHeight="1" spans="1:8">
      <c r="A17" s="19">
        <v>7</v>
      </c>
      <c r="B17" s="20" t="s">
        <v>63</v>
      </c>
      <c r="C17" s="20" t="s">
        <v>64</v>
      </c>
      <c r="D17" s="20" t="s">
        <v>39</v>
      </c>
      <c r="E17" s="20">
        <f>(E19+E21)*2</f>
        <v>340</v>
      </c>
      <c r="F17" s="21"/>
      <c r="G17" s="21">
        <f t="shared" si="1"/>
        <v>0</v>
      </c>
      <c r="H17" s="22" t="s">
        <v>50</v>
      </c>
    </row>
    <row r="18" ht="35" customHeight="1" spans="1:8">
      <c r="A18" s="19">
        <v>8</v>
      </c>
      <c r="B18" s="20" t="s">
        <v>65</v>
      </c>
      <c r="C18" s="20" t="s">
        <v>66</v>
      </c>
      <c r="D18" s="20" t="s">
        <v>39</v>
      </c>
      <c r="E18" s="20">
        <f>(E3+1)*12</f>
        <v>132</v>
      </c>
      <c r="F18" s="21"/>
      <c r="G18" s="21">
        <f t="shared" si="1"/>
        <v>0</v>
      </c>
      <c r="H18" s="22" t="s">
        <v>50</v>
      </c>
    </row>
    <row r="19" ht="35" customHeight="1" spans="1:8">
      <c r="A19" s="19">
        <v>9</v>
      </c>
      <c r="B19" s="20" t="s">
        <v>67</v>
      </c>
      <c r="C19" s="20" t="s">
        <v>68</v>
      </c>
      <c r="D19" s="20" t="s">
        <v>49</v>
      </c>
      <c r="E19" s="20">
        <f>E3*2</f>
        <v>20</v>
      </c>
      <c r="F19" s="21"/>
      <c r="G19" s="21">
        <f t="shared" si="1"/>
        <v>0</v>
      </c>
      <c r="H19" s="22" t="s">
        <v>55</v>
      </c>
    </row>
    <row r="20" ht="35" customHeight="1" spans="1:8">
      <c r="A20" s="19">
        <v>10</v>
      </c>
      <c r="B20" s="20" t="s">
        <v>69</v>
      </c>
      <c r="C20" s="20" t="s">
        <v>70</v>
      </c>
      <c r="D20" s="20" t="s">
        <v>49</v>
      </c>
      <c r="E20" s="20">
        <f>E19*2</f>
        <v>40</v>
      </c>
      <c r="F20" s="21"/>
      <c r="G20" s="21">
        <f t="shared" si="1"/>
        <v>0</v>
      </c>
      <c r="H20" s="22" t="s">
        <v>71</v>
      </c>
    </row>
    <row r="21" ht="35" customHeight="1" spans="1:8">
      <c r="A21" s="19">
        <v>11</v>
      </c>
      <c r="B21" s="20" t="s">
        <v>72</v>
      </c>
      <c r="C21" s="20" t="s">
        <v>68</v>
      </c>
      <c r="D21" s="20" t="s">
        <v>49</v>
      </c>
      <c r="E21" s="20">
        <f>(G3-1)*E3</f>
        <v>150</v>
      </c>
      <c r="F21" s="21"/>
      <c r="G21" s="21">
        <f t="shared" si="1"/>
        <v>0</v>
      </c>
      <c r="H21" s="22" t="s">
        <v>55</v>
      </c>
    </row>
    <row r="22" ht="35" customHeight="1" spans="1:8">
      <c r="A22" s="19">
        <v>12</v>
      </c>
      <c r="B22" s="20" t="s">
        <v>73</v>
      </c>
      <c r="C22" s="20" t="s">
        <v>74</v>
      </c>
      <c r="D22" s="20" t="s">
        <v>49</v>
      </c>
      <c r="E22" s="20">
        <f>(G3-1)*E3</f>
        <v>150</v>
      </c>
      <c r="F22" s="21"/>
      <c r="G22" s="21">
        <f t="shared" si="1"/>
        <v>0</v>
      </c>
      <c r="H22" s="22" t="s">
        <v>71</v>
      </c>
    </row>
    <row r="23" ht="35" customHeight="1" spans="1:8">
      <c r="A23" s="19">
        <v>13</v>
      </c>
      <c r="B23" s="20" t="s">
        <v>75</v>
      </c>
      <c r="C23" s="20" t="s">
        <v>76</v>
      </c>
      <c r="D23" s="20" t="s">
        <v>49</v>
      </c>
      <c r="E23" s="20">
        <f>E22*2</f>
        <v>300</v>
      </c>
      <c r="F23" s="21"/>
      <c r="G23" s="21">
        <f t="shared" si="1"/>
        <v>0</v>
      </c>
      <c r="H23" s="22" t="s">
        <v>71</v>
      </c>
    </row>
    <row r="24" ht="35" customHeight="1" spans="1:8">
      <c r="A24" s="19">
        <v>14</v>
      </c>
      <c r="B24" s="20" t="s">
        <v>77</v>
      </c>
      <c r="C24" s="20" t="s">
        <v>78</v>
      </c>
      <c r="D24" s="20" t="s">
        <v>39</v>
      </c>
      <c r="E24" s="20">
        <f>(G3+1)*E3*2</f>
        <v>340</v>
      </c>
      <c r="F24" s="21"/>
      <c r="G24" s="21">
        <f t="shared" si="1"/>
        <v>0</v>
      </c>
      <c r="H24" s="22" t="s">
        <v>50</v>
      </c>
    </row>
    <row r="25" ht="35" customHeight="1" spans="1:8">
      <c r="A25" s="19">
        <v>15</v>
      </c>
      <c r="B25" s="20" t="s">
        <v>79</v>
      </c>
      <c r="C25" s="20" t="s">
        <v>80</v>
      </c>
      <c r="D25" s="20" t="s">
        <v>49</v>
      </c>
      <c r="E25" s="20">
        <f>E24</f>
        <v>340</v>
      </c>
      <c r="F25" s="21"/>
      <c r="G25" s="21">
        <f t="shared" si="1"/>
        <v>0</v>
      </c>
      <c r="H25" s="22" t="s">
        <v>55</v>
      </c>
    </row>
    <row r="26" ht="35" customHeight="1" spans="1:8">
      <c r="A26" s="19">
        <v>16</v>
      </c>
      <c r="B26" s="20" t="s">
        <v>81</v>
      </c>
      <c r="C26" s="20" t="s">
        <v>82</v>
      </c>
      <c r="D26" s="20" t="s">
        <v>49</v>
      </c>
      <c r="E26" s="20">
        <f>G3*3*2*E3</f>
        <v>960</v>
      </c>
      <c r="F26" s="21"/>
      <c r="G26" s="21">
        <f t="shared" si="1"/>
        <v>0</v>
      </c>
      <c r="H26" s="22" t="s">
        <v>71</v>
      </c>
    </row>
    <row r="27" ht="35" customHeight="1" spans="1:8">
      <c r="A27" s="19">
        <v>17</v>
      </c>
      <c r="B27" s="20" t="s">
        <v>83</v>
      </c>
      <c r="C27" s="20" t="s">
        <v>84</v>
      </c>
      <c r="D27" s="20" t="s">
        <v>49</v>
      </c>
      <c r="E27" s="20">
        <f>G3*E3</f>
        <v>160</v>
      </c>
      <c r="F27" s="21"/>
      <c r="G27" s="21">
        <f t="shared" si="1"/>
        <v>0</v>
      </c>
      <c r="H27" s="22" t="s">
        <v>55</v>
      </c>
    </row>
    <row r="28" ht="35" customHeight="1" spans="1:8">
      <c r="A28" s="19">
        <v>18</v>
      </c>
      <c r="B28" s="20" t="s">
        <v>85</v>
      </c>
      <c r="C28" s="20" t="s">
        <v>86</v>
      </c>
      <c r="D28" s="20" t="s">
        <v>49</v>
      </c>
      <c r="E28" s="23">
        <f>E27*2*4/5.9</f>
        <v>217</v>
      </c>
      <c r="F28" s="21"/>
      <c r="G28" s="21">
        <f t="shared" si="1"/>
        <v>0</v>
      </c>
      <c r="H28" s="22" t="s">
        <v>71</v>
      </c>
    </row>
    <row r="29" ht="35" customHeight="1" spans="1:8">
      <c r="A29" s="19">
        <v>19</v>
      </c>
      <c r="B29" s="20" t="s">
        <v>87</v>
      </c>
      <c r="C29" s="20" t="s">
        <v>88</v>
      </c>
      <c r="D29" s="20" t="s">
        <v>39</v>
      </c>
      <c r="E29" s="20">
        <f>E26/2</f>
        <v>480</v>
      </c>
      <c r="F29" s="21"/>
      <c r="G29" s="21">
        <f t="shared" si="1"/>
        <v>0</v>
      </c>
      <c r="H29" s="22" t="s">
        <v>71</v>
      </c>
    </row>
    <row r="30" ht="35" customHeight="1" spans="1:8">
      <c r="A30" s="19">
        <v>20</v>
      </c>
      <c r="B30" s="20" t="s">
        <v>89</v>
      </c>
      <c r="C30" s="20" t="s">
        <v>64</v>
      </c>
      <c r="D30" s="20" t="s">
        <v>90</v>
      </c>
      <c r="E30" s="20">
        <f>E25</f>
        <v>340</v>
      </c>
      <c r="F30" s="21"/>
      <c r="G30" s="21">
        <f t="shared" si="1"/>
        <v>0</v>
      </c>
      <c r="H30" s="22" t="s">
        <v>91</v>
      </c>
    </row>
    <row r="31" ht="35" customHeight="1" spans="1:8">
      <c r="A31" s="19">
        <v>21</v>
      </c>
      <c r="B31" s="20" t="s">
        <v>92</v>
      </c>
      <c r="C31" s="20" t="s">
        <v>93</v>
      </c>
      <c r="D31" s="20" t="s">
        <v>39</v>
      </c>
      <c r="E31" s="20">
        <f>E26</f>
        <v>960</v>
      </c>
      <c r="F31" s="21"/>
      <c r="G31" s="21">
        <f t="shared" si="1"/>
        <v>0</v>
      </c>
      <c r="H31" s="22" t="s">
        <v>91</v>
      </c>
    </row>
    <row r="32" ht="35" customHeight="1" spans="1:8">
      <c r="A32" s="19">
        <v>22</v>
      </c>
      <c r="B32" s="20" t="s">
        <v>94</v>
      </c>
      <c r="C32" s="20" t="s">
        <v>95</v>
      </c>
      <c r="D32" s="20" t="s">
        <v>39</v>
      </c>
      <c r="E32" s="20">
        <f>E29</f>
        <v>480</v>
      </c>
      <c r="F32" s="21"/>
      <c r="G32" s="21">
        <f t="shared" si="1"/>
        <v>0</v>
      </c>
      <c r="H32" s="22" t="s">
        <v>91</v>
      </c>
    </row>
    <row r="33" ht="35" customHeight="1" spans="1:8">
      <c r="A33" s="19">
        <v>23</v>
      </c>
      <c r="B33" s="20" t="s">
        <v>96</v>
      </c>
      <c r="C33" s="20" t="s">
        <v>97</v>
      </c>
      <c r="D33" s="20" t="s">
        <v>39</v>
      </c>
      <c r="E33" s="20">
        <f>E24</f>
        <v>340</v>
      </c>
      <c r="F33" s="21"/>
      <c r="G33" s="21">
        <f t="shared" si="1"/>
        <v>0</v>
      </c>
      <c r="H33" s="22" t="s">
        <v>91</v>
      </c>
    </row>
    <row r="34" ht="35" customHeight="1" spans="1:8">
      <c r="A34" s="19">
        <v>24</v>
      </c>
      <c r="B34" s="20" t="s">
        <v>98</v>
      </c>
      <c r="C34" s="20" t="s">
        <v>99</v>
      </c>
      <c r="D34" s="20" t="s">
        <v>100</v>
      </c>
      <c r="E34" s="20">
        <f>G3*(E3-1)</f>
        <v>144</v>
      </c>
      <c r="F34" s="21"/>
      <c r="G34" s="21">
        <f t="shared" si="1"/>
        <v>0</v>
      </c>
      <c r="H34" s="22" t="s">
        <v>91</v>
      </c>
    </row>
    <row r="35" ht="35" customHeight="1" spans="1:8">
      <c r="A35" s="19">
        <v>25</v>
      </c>
      <c r="B35" s="20" t="s">
        <v>101</v>
      </c>
      <c r="C35" s="20" t="s">
        <v>99</v>
      </c>
      <c r="D35" s="20" t="s">
        <v>100</v>
      </c>
      <c r="E35" s="20">
        <f>G3*2</f>
        <v>32</v>
      </c>
      <c r="F35" s="21"/>
      <c r="G35" s="21">
        <f t="shared" si="1"/>
        <v>0</v>
      </c>
      <c r="H35" s="22" t="s">
        <v>91</v>
      </c>
    </row>
    <row r="36" ht="35" customHeight="1" spans="1:8">
      <c r="A36" s="19">
        <v>26</v>
      </c>
      <c r="B36" s="20" t="s">
        <v>102</v>
      </c>
      <c r="C36" s="24" t="s">
        <v>103</v>
      </c>
      <c r="D36" s="20" t="s">
        <v>39</v>
      </c>
      <c r="E36" s="20">
        <f>E34+(E3-1)</f>
        <v>153</v>
      </c>
      <c r="F36" s="21"/>
      <c r="G36" s="21">
        <f t="shared" si="1"/>
        <v>0</v>
      </c>
      <c r="H36" s="22" t="s">
        <v>91</v>
      </c>
    </row>
    <row r="37" ht="35" customHeight="1" spans="1:8">
      <c r="A37" s="19">
        <v>27</v>
      </c>
      <c r="B37" s="20" t="s">
        <v>104</v>
      </c>
      <c r="C37" s="24" t="s">
        <v>103</v>
      </c>
      <c r="D37" s="20" t="s">
        <v>39</v>
      </c>
      <c r="E37" s="20">
        <f>(G3+1)*2</f>
        <v>34</v>
      </c>
      <c r="F37" s="21"/>
      <c r="G37" s="21">
        <f t="shared" si="1"/>
        <v>0</v>
      </c>
      <c r="H37" s="22" t="s">
        <v>91</v>
      </c>
    </row>
    <row r="38" ht="35" customHeight="1" spans="1:8">
      <c r="A38" s="19">
        <v>28</v>
      </c>
      <c r="B38" s="20" t="s">
        <v>105</v>
      </c>
      <c r="C38" s="20" t="s">
        <v>106</v>
      </c>
      <c r="D38" s="20" t="s">
        <v>39</v>
      </c>
      <c r="E38" s="20">
        <f>(E3-1)*2</f>
        <v>18</v>
      </c>
      <c r="F38" s="21"/>
      <c r="G38" s="21">
        <f t="shared" si="1"/>
        <v>0</v>
      </c>
      <c r="H38" s="22" t="s">
        <v>91</v>
      </c>
    </row>
    <row r="39" ht="35" customHeight="1" spans="1:8">
      <c r="A39" s="19">
        <v>29</v>
      </c>
      <c r="B39" s="20" t="s">
        <v>107</v>
      </c>
      <c r="C39" s="20" t="s">
        <v>108</v>
      </c>
      <c r="D39" s="20" t="s">
        <v>39</v>
      </c>
      <c r="E39" s="20">
        <v>4</v>
      </c>
      <c r="F39" s="21"/>
      <c r="G39" s="21">
        <f t="shared" si="1"/>
        <v>0</v>
      </c>
      <c r="H39" s="22" t="s">
        <v>91</v>
      </c>
    </row>
    <row r="40" ht="35" customHeight="1" spans="1:8">
      <c r="A40" s="19">
        <v>30</v>
      </c>
      <c r="B40" s="20" t="s">
        <v>109</v>
      </c>
      <c r="C40" s="20" t="s">
        <v>110</v>
      </c>
      <c r="D40" s="20" t="s">
        <v>49</v>
      </c>
      <c r="E40" s="20">
        <f>(E3+1)*2</f>
        <v>22</v>
      </c>
      <c r="F40" s="21"/>
      <c r="G40" s="21">
        <f t="shared" si="1"/>
        <v>0</v>
      </c>
      <c r="H40" s="22" t="s">
        <v>111</v>
      </c>
    </row>
    <row r="41" ht="35" customHeight="1" spans="1:8">
      <c r="A41" s="19">
        <v>31</v>
      </c>
      <c r="B41" s="20" t="s">
        <v>112</v>
      </c>
      <c r="C41" s="20" t="s">
        <v>113</v>
      </c>
      <c r="D41" s="20" t="s">
        <v>49</v>
      </c>
      <c r="E41" s="20">
        <f>E40</f>
        <v>22</v>
      </c>
      <c r="F41" s="21"/>
      <c r="G41" s="21">
        <f t="shared" si="1"/>
        <v>0</v>
      </c>
      <c r="H41" s="22" t="s">
        <v>111</v>
      </c>
    </row>
    <row r="42" ht="35" customHeight="1" spans="1:8">
      <c r="A42" s="19">
        <v>32</v>
      </c>
      <c r="B42" s="20" t="s">
        <v>114</v>
      </c>
      <c r="C42" s="20" t="s">
        <v>115</v>
      </c>
      <c r="D42" s="20" t="s">
        <v>49</v>
      </c>
      <c r="E42" s="20">
        <f>(E3+1)*6</f>
        <v>66</v>
      </c>
      <c r="F42" s="21"/>
      <c r="G42" s="21">
        <f t="shared" si="1"/>
        <v>0</v>
      </c>
      <c r="H42" s="22" t="s">
        <v>116</v>
      </c>
    </row>
    <row r="43" ht="35" customHeight="1" spans="1:8">
      <c r="A43" s="19">
        <v>33</v>
      </c>
      <c r="B43" s="20" t="s">
        <v>117</v>
      </c>
      <c r="C43" s="20" t="s">
        <v>118</v>
      </c>
      <c r="D43" s="20" t="s">
        <v>90</v>
      </c>
      <c r="E43" s="20">
        <f>E42</f>
        <v>66</v>
      </c>
      <c r="F43" s="21"/>
      <c r="G43" s="21">
        <f t="shared" si="1"/>
        <v>0</v>
      </c>
      <c r="H43" s="22"/>
    </row>
    <row r="44" ht="35" customHeight="1" spans="1:8">
      <c r="A44" s="19">
        <v>34</v>
      </c>
      <c r="B44" s="25" t="s">
        <v>119</v>
      </c>
      <c r="C44" s="25" t="s">
        <v>120</v>
      </c>
      <c r="D44" s="25" t="s">
        <v>49</v>
      </c>
      <c r="E44" s="25">
        <f>E3*6*G3+8*G3+E3*10*2</f>
        <v>1288</v>
      </c>
      <c r="F44" s="21"/>
      <c r="G44" s="21">
        <f t="shared" si="1"/>
        <v>0</v>
      </c>
      <c r="H44" s="22" t="s">
        <v>121</v>
      </c>
    </row>
    <row r="45" ht="35" customHeight="1" spans="1:8">
      <c r="A45" s="19">
        <v>35</v>
      </c>
      <c r="B45" s="20" t="s">
        <v>122</v>
      </c>
      <c r="C45" s="20" t="s">
        <v>123</v>
      </c>
      <c r="D45" s="20" t="s">
        <v>49</v>
      </c>
      <c r="E45" s="20">
        <f>E44*2.2</f>
        <v>2833.6</v>
      </c>
      <c r="F45" s="21"/>
      <c r="G45" s="21">
        <f t="shared" si="1"/>
        <v>0</v>
      </c>
      <c r="H45" s="22" t="s">
        <v>124</v>
      </c>
    </row>
    <row r="46" ht="35" customHeight="1" spans="1:8">
      <c r="A46" s="19">
        <v>36</v>
      </c>
      <c r="B46" s="20" t="s">
        <v>125</v>
      </c>
      <c r="C46" s="20" t="s">
        <v>86</v>
      </c>
      <c r="D46" s="20" t="s">
        <v>49</v>
      </c>
      <c r="E46" s="23">
        <f>(F3*G3*(E3+1)*2+D3*E3*1-2.5*E61)/5.9</f>
        <v>251</v>
      </c>
      <c r="F46" s="21"/>
      <c r="G46" s="21">
        <f t="shared" si="1"/>
        <v>0</v>
      </c>
      <c r="H46" s="22" t="s">
        <v>71</v>
      </c>
    </row>
    <row r="47" ht="35" customHeight="1" spans="1:8">
      <c r="A47" s="19">
        <v>37</v>
      </c>
      <c r="B47" s="20" t="s">
        <v>126</v>
      </c>
      <c r="C47" s="20" t="s">
        <v>127</v>
      </c>
      <c r="D47" s="20" t="s">
        <v>90</v>
      </c>
      <c r="E47" s="20">
        <f>E48+E49</f>
        <v>24</v>
      </c>
      <c r="F47" s="26"/>
      <c r="G47" s="21">
        <f t="shared" si="1"/>
        <v>0</v>
      </c>
      <c r="H47" s="22"/>
    </row>
    <row r="48" ht="35" customHeight="1" spans="1:8">
      <c r="A48" s="19">
        <v>38</v>
      </c>
      <c r="B48" s="20" t="s">
        <v>128</v>
      </c>
      <c r="C48" s="20" t="s">
        <v>129</v>
      </c>
      <c r="D48" s="20" t="s">
        <v>90</v>
      </c>
      <c r="E48" s="20">
        <f>E3*2</f>
        <v>20</v>
      </c>
      <c r="F48" s="21"/>
      <c r="G48" s="21">
        <f t="shared" si="1"/>
        <v>0</v>
      </c>
      <c r="H48" s="22" t="s">
        <v>71</v>
      </c>
    </row>
    <row r="49" ht="35" customHeight="1" spans="1:8">
      <c r="A49" s="19">
        <v>39</v>
      </c>
      <c r="B49" s="20" t="s">
        <v>130</v>
      </c>
      <c r="C49" s="20" t="s">
        <v>131</v>
      </c>
      <c r="D49" s="20" t="s">
        <v>132</v>
      </c>
      <c r="E49" s="20">
        <v>4</v>
      </c>
      <c r="F49" s="21"/>
      <c r="G49" s="21">
        <f t="shared" si="1"/>
        <v>0</v>
      </c>
      <c r="H49" s="22"/>
    </row>
    <row r="50" ht="35" customHeight="1" spans="1:8">
      <c r="A50" s="19">
        <v>40</v>
      </c>
      <c r="B50" s="20" t="s">
        <v>133</v>
      </c>
      <c r="C50" s="20" t="s">
        <v>134</v>
      </c>
      <c r="D50" s="20" t="s">
        <v>49</v>
      </c>
      <c r="E50" s="20">
        <f>E49</f>
        <v>4</v>
      </c>
      <c r="F50" s="21"/>
      <c r="G50" s="21">
        <f t="shared" si="1"/>
        <v>0</v>
      </c>
      <c r="H50" s="22" t="s">
        <v>71</v>
      </c>
    </row>
    <row r="51" ht="35" customHeight="1" spans="1:8">
      <c r="A51" s="19">
        <v>41</v>
      </c>
      <c r="B51" s="20" t="s">
        <v>135</v>
      </c>
      <c r="C51" s="20" t="s">
        <v>136</v>
      </c>
      <c r="D51" s="20" t="s">
        <v>137</v>
      </c>
      <c r="E51" s="23">
        <f>(E3+2)*F3*G3/2*9.5/230+1</f>
        <v>17</v>
      </c>
      <c r="F51" s="21"/>
      <c r="G51" s="21">
        <f t="shared" si="1"/>
        <v>0</v>
      </c>
      <c r="H51" s="22" t="s">
        <v>138</v>
      </c>
    </row>
    <row r="52" ht="35" customHeight="1" spans="1:8">
      <c r="A52" s="19">
        <v>42</v>
      </c>
      <c r="B52" s="20" t="s">
        <v>139</v>
      </c>
      <c r="C52" s="20" t="s">
        <v>140</v>
      </c>
      <c r="D52" s="20" t="s">
        <v>39</v>
      </c>
      <c r="E52" s="20">
        <f>E46*6/0.5</f>
        <v>3012</v>
      </c>
      <c r="F52" s="21"/>
      <c r="G52" s="21">
        <f t="shared" si="1"/>
        <v>0</v>
      </c>
      <c r="H52" s="22"/>
    </row>
    <row r="53" ht="35" customHeight="1" spans="1:8">
      <c r="A53" s="19">
        <v>43</v>
      </c>
      <c r="B53" s="27" t="s">
        <v>141</v>
      </c>
      <c r="C53" s="27" t="s">
        <v>142</v>
      </c>
      <c r="D53" s="27" t="s">
        <v>132</v>
      </c>
      <c r="E53" s="20">
        <f>E26</f>
        <v>960</v>
      </c>
      <c r="F53" s="21"/>
      <c r="G53" s="21">
        <f t="shared" si="1"/>
        <v>0</v>
      </c>
      <c r="H53" s="22" t="s">
        <v>143</v>
      </c>
    </row>
    <row r="54" ht="35" customHeight="1" spans="1:8">
      <c r="A54" s="19">
        <v>44</v>
      </c>
      <c r="B54" s="27" t="s">
        <v>144</v>
      </c>
      <c r="C54" s="27" t="s">
        <v>64</v>
      </c>
      <c r="D54" s="27" t="s">
        <v>39</v>
      </c>
      <c r="E54" s="20">
        <f>(E25-12)*3</f>
        <v>984</v>
      </c>
      <c r="F54" s="21"/>
      <c r="G54" s="21">
        <f t="shared" si="1"/>
        <v>0</v>
      </c>
      <c r="H54" s="22" t="s">
        <v>91</v>
      </c>
    </row>
    <row r="55" ht="35" customHeight="1" spans="1:8">
      <c r="A55" s="19">
        <v>45</v>
      </c>
      <c r="B55" s="27" t="s">
        <v>145</v>
      </c>
      <c r="C55" s="27" t="s">
        <v>146</v>
      </c>
      <c r="D55" s="27" t="s">
        <v>132</v>
      </c>
      <c r="E55" s="20">
        <f>E3*4</f>
        <v>40</v>
      </c>
      <c r="F55" s="21"/>
      <c r="G55" s="21">
        <f t="shared" si="1"/>
        <v>0</v>
      </c>
      <c r="H55" s="22"/>
    </row>
    <row r="56" ht="35" customHeight="1" spans="1:8">
      <c r="A56" s="19">
        <v>46</v>
      </c>
      <c r="B56" s="20" t="s">
        <v>147</v>
      </c>
      <c r="C56" s="20" t="s">
        <v>148</v>
      </c>
      <c r="D56" s="20" t="s">
        <v>39</v>
      </c>
      <c r="E56" s="20">
        <f>(E3+1)*F3*G3+D3*E3*2</f>
        <v>864</v>
      </c>
      <c r="F56" s="21"/>
      <c r="G56" s="21">
        <f t="shared" si="1"/>
        <v>0</v>
      </c>
      <c r="H56" s="22" t="s">
        <v>149</v>
      </c>
    </row>
    <row r="57" ht="35" customHeight="1" spans="1:8">
      <c r="A57" s="19">
        <v>47</v>
      </c>
      <c r="B57" s="20" t="s">
        <v>150</v>
      </c>
      <c r="C57" s="20" t="s">
        <v>151</v>
      </c>
      <c r="D57" s="20" t="s">
        <v>137</v>
      </c>
      <c r="E57" s="20">
        <f>CEILING((E34+E35)*0.5*3/15,1)</f>
        <v>18</v>
      </c>
      <c r="F57" s="21"/>
      <c r="G57" s="21">
        <f t="shared" si="1"/>
        <v>0</v>
      </c>
      <c r="H57" s="22" t="s">
        <v>152</v>
      </c>
    </row>
    <row r="58" ht="35" customHeight="1" spans="1:8">
      <c r="A58" s="19">
        <v>48</v>
      </c>
      <c r="B58" s="20" t="s">
        <v>153</v>
      </c>
      <c r="C58" s="20" t="s">
        <v>154</v>
      </c>
      <c r="D58" s="20" t="s">
        <v>39</v>
      </c>
      <c r="E58" s="20">
        <f>E44</f>
        <v>1288</v>
      </c>
      <c r="F58" s="21"/>
      <c r="G58" s="21">
        <f t="shared" si="1"/>
        <v>0</v>
      </c>
      <c r="H58" s="22" t="s">
        <v>91</v>
      </c>
    </row>
    <row r="59" ht="35" customHeight="1" spans="1:8">
      <c r="A59" s="19">
        <v>49</v>
      </c>
      <c r="B59" s="20" t="s">
        <v>155</v>
      </c>
      <c r="C59" s="20" t="s">
        <v>156</v>
      </c>
      <c r="D59" s="20" t="s">
        <v>157</v>
      </c>
      <c r="E59" s="20">
        <f>E40*2</f>
        <v>44</v>
      </c>
      <c r="F59" s="21"/>
      <c r="G59" s="21">
        <f t="shared" si="1"/>
        <v>0</v>
      </c>
      <c r="H59" s="22" t="s">
        <v>158</v>
      </c>
    </row>
    <row r="60" ht="35" customHeight="1" spans="1:8">
      <c r="A60" s="19">
        <v>50</v>
      </c>
      <c r="B60" s="20" t="s">
        <v>159</v>
      </c>
      <c r="C60" s="20" t="s">
        <v>160</v>
      </c>
      <c r="D60" s="20" t="s">
        <v>49</v>
      </c>
      <c r="E60" s="20">
        <v>2</v>
      </c>
      <c r="F60" s="21"/>
      <c r="G60" s="21">
        <f t="shared" si="1"/>
        <v>0</v>
      </c>
      <c r="H60" s="22" t="s">
        <v>55</v>
      </c>
    </row>
    <row r="61" ht="35" customHeight="1" spans="1:8">
      <c r="A61" s="19">
        <v>51</v>
      </c>
      <c r="B61" s="20" t="s">
        <v>161</v>
      </c>
      <c r="C61" s="20" t="s">
        <v>162</v>
      </c>
      <c r="D61" s="20" t="s">
        <v>163</v>
      </c>
      <c r="E61" s="20">
        <v>2</v>
      </c>
      <c r="F61" s="21"/>
      <c r="G61" s="21">
        <f t="shared" si="1"/>
        <v>0</v>
      </c>
      <c r="H61" s="22" t="s">
        <v>164</v>
      </c>
    </row>
    <row r="62" ht="35" customHeight="1" spans="1:8">
      <c r="A62" s="19">
        <v>52</v>
      </c>
      <c r="B62" s="20" t="s">
        <v>165</v>
      </c>
      <c r="C62" s="20"/>
      <c r="D62" s="20" t="s">
        <v>166</v>
      </c>
      <c r="E62" s="20">
        <f>H3</f>
        <v>5120</v>
      </c>
      <c r="F62" s="21"/>
      <c r="G62" s="21">
        <f t="shared" si="1"/>
        <v>0</v>
      </c>
      <c r="H62" s="22"/>
    </row>
    <row r="63" ht="35" customHeight="1" spans="1:8">
      <c r="A63" s="19">
        <v>53</v>
      </c>
      <c r="B63" s="13" t="s">
        <v>167</v>
      </c>
      <c r="C63" s="20"/>
      <c r="D63" s="20"/>
      <c r="E63" s="20"/>
      <c r="F63" s="21"/>
      <c r="G63" s="14">
        <f>SUM(G11:G62)</f>
        <v>0</v>
      </c>
      <c r="H63" s="22"/>
    </row>
    <row r="64" ht="35" customHeight="1" spans="1:8">
      <c r="A64" s="12" t="s">
        <v>168</v>
      </c>
      <c r="B64" s="13"/>
      <c r="C64" s="13"/>
      <c r="D64" s="13"/>
      <c r="E64" s="13"/>
      <c r="F64" s="14"/>
      <c r="G64" s="14"/>
      <c r="H64" s="15"/>
    </row>
    <row r="65" ht="35" customHeight="1" spans="1:8">
      <c r="A65" s="19">
        <v>1</v>
      </c>
      <c r="B65" s="20" t="s">
        <v>169</v>
      </c>
      <c r="C65" s="20" t="s">
        <v>170</v>
      </c>
      <c r="D65" s="20" t="s">
        <v>166</v>
      </c>
      <c r="E65" s="20">
        <f>9*(F3*G3+1)*E3</f>
        <v>5850</v>
      </c>
      <c r="F65" s="21"/>
      <c r="G65" s="21">
        <f t="shared" ref="G65:G84" si="2">E65*F65</f>
        <v>0</v>
      </c>
      <c r="H65" s="28" t="s">
        <v>171</v>
      </c>
    </row>
    <row r="66" ht="35" customHeight="1" spans="1:8">
      <c r="A66" s="19">
        <v>2</v>
      </c>
      <c r="B66" s="20" t="s">
        <v>172</v>
      </c>
      <c r="C66" s="20" t="s">
        <v>173</v>
      </c>
      <c r="D66" s="20" t="s">
        <v>166</v>
      </c>
      <c r="E66" s="20">
        <f>4*(F3*G3+1)*2</f>
        <v>520</v>
      </c>
      <c r="F66" s="21"/>
      <c r="G66" s="21">
        <f t="shared" si="2"/>
        <v>0</v>
      </c>
      <c r="H66" s="29"/>
    </row>
    <row r="67" ht="35" customHeight="1" spans="1:8">
      <c r="A67" s="19">
        <v>3</v>
      </c>
      <c r="B67" s="20" t="s">
        <v>174</v>
      </c>
      <c r="C67" s="20" t="s">
        <v>175</v>
      </c>
      <c r="D67" s="20" t="s">
        <v>166</v>
      </c>
      <c r="E67" s="20">
        <f>6*(D3*E3+1)*2</f>
        <v>972</v>
      </c>
      <c r="F67" s="21"/>
      <c r="G67" s="21">
        <f t="shared" si="2"/>
        <v>0</v>
      </c>
      <c r="H67" s="29"/>
    </row>
    <row r="68" ht="35" customHeight="1" spans="1:8">
      <c r="A68" s="19">
        <v>4</v>
      </c>
      <c r="B68" s="20" t="s">
        <v>176</v>
      </c>
      <c r="C68" s="20" t="s">
        <v>177</v>
      </c>
      <c r="D68" s="20" t="s">
        <v>166</v>
      </c>
      <c r="E68" s="20">
        <f>0.6*(F3*G3+1)*E3*2</f>
        <v>780</v>
      </c>
      <c r="F68" s="21"/>
      <c r="G68" s="21">
        <f t="shared" si="2"/>
        <v>0</v>
      </c>
      <c r="H68" s="29"/>
    </row>
    <row r="69" ht="35" customHeight="1" spans="1:8">
      <c r="A69" s="19">
        <v>5</v>
      </c>
      <c r="B69" s="20"/>
      <c r="C69" s="20" t="s">
        <v>178</v>
      </c>
      <c r="D69" s="20" t="s">
        <v>166</v>
      </c>
      <c r="E69" s="20">
        <f>0.6*(D3*E3+1)</f>
        <v>48.6</v>
      </c>
      <c r="F69" s="21"/>
      <c r="G69" s="21">
        <f t="shared" si="2"/>
        <v>0</v>
      </c>
      <c r="H69" s="29"/>
    </row>
    <row r="70" ht="35" customHeight="1" spans="1:8">
      <c r="A70" s="19">
        <v>6</v>
      </c>
      <c r="B70" s="20" t="s">
        <v>179</v>
      </c>
      <c r="C70" s="20" t="s">
        <v>180</v>
      </c>
      <c r="D70" s="20" t="s">
        <v>166</v>
      </c>
      <c r="E70" s="20">
        <f>1.5*(2*E3*2*1.25+16)</f>
        <v>99</v>
      </c>
      <c r="F70" s="21"/>
      <c r="G70" s="21">
        <f t="shared" si="2"/>
        <v>0</v>
      </c>
      <c r="H70" s="30"/>
    </row>
    <row r="71" ht="35" customHeight="1" spans="1:8">
      <c r="A71" s="19">
        <v>7</v>
      </c>
      <c r="B71" s="20" t="s">
        <v>181</v>
      </c>
      <c r="C71" s="20" t="s">
        <v>182</v>
      </c>
      <c r="D71" s="20" t="s">
        <v>166</v>
      </c>
      <c r="E71" s="20">
        <f>1.5*(F3*G3+1)*E3*2</f>
        <v>1950</v>
      </c>
      <c r="F71" s="21"/>
      <c r="G71" s="21">
        <f t="shared" si="2"/>
        <v>0</v>
      </c>
      <c r="H71" s="28" t="s">
        <v>183</v>
      </c>
    </row>
    <row r="72" ht="35" customHeight="1" spans="1:8">
      <c r="A72" s="19">
        <v>8</v>
      </c>
      <c r="B72" s="20"/>
      <c r="C72" s="20" t="s">
        <v>184</v>
      </c>
      <c r="D72" s="20" t="s">
        <v>166</v>
      </c>
      <c r="E72" s="20">
        <f>2*(F3*G3+1)*2</f>
        <v>260</v>
      </c>
      <c r="F72" s="21"/>
      <c r="G72" s="21">
        <f t="shared" si="2"/>
        <v>0</v>
      </c>
      <c r="H72" s="29"/>
    </row>
    <row r="73" ht="35" customHeight="1" spans="1:8">
      <c r="A73" s="19">
        <v>9</v>
      </c>
      <c r="B73" s="20"/>
      <c r="C73" s="20" t="s">
        <v>185</v>
      </c>
      <c r="D73" s="20" t="s">
        <v>166</v>
      </c>
      <c r="E73" s="20">
        <f>2*(D3*E3+1)*1</f>
        <v>162</v>
      </c>
      <c r="F73" s="21"/>
      <c r="G73" s="21">
        <f t="shared" si="2"/>
        <v>0</v>
      </c>
      <c r="H73" s="30"/>
    </row>
    <row r="74" ht="35" customHeight="1" spans="1:8">
      <c r="A74" s="19">
        <v>10</v>
      </c>
      <c r="B74" s="31" t="s">
        <v>186</v>
      </c>
      <c r="C74" s="20" t="s">
        <v>187</v>
      </c>
      <c r="D74" s="20" t="s">
        <v>166</v>
      </c>
      <c r="E74" s="20">
        <f>8.6*62*10</f>
        <v>5332</v>
      </c>
      <c r="F74" s="21"/>
      <c r="G74" s="21">
        <f t="shared" si="2"/>
        <v>0</v>
      </c>
      <c r="H74" s="28" t="s">
        <v>188</v>
      </c>
    </row>
    <row r="75" ht="35" customHeight="1" spans="1:8">
      <c r="A75" s="19">
        <v>11</v>
      </c>
      <c r="B75" s="31" t="s">
        <v>189</v>
      </c>
      <c r="C75" s="20" t="s">
        <v>190</v>
      </c>
      <c r="D75" s="20" t="s">
        <v>166</v>
      </c>
      <c r="E75" s="20">
        <f>2*63*2</f>
        <v>252</v>
      </c>
      <c r="F75" s="21"/>
      <c r="G75" s="21">
        <f t="shared" si="2"/>
        <v>0</v>
      </c>
      <c r="H75" s="29"/>
    </row>
    <row r="76" ht="35" customHeight="1" spans="1:8">
      <c r="A76" s="19">
        <v>12</v>
      </c>
      <c r="B76" s="32" t="s">
        <v>191</v>
      </c>
      <c r="C76" s="33" t="s">
        <v>192</v>
      </c>
      <c r="D76" s="20" t="s">
        <v>166</v>
      </c>
      <c r="E76" s="20">
        <f>3.5*80*2</f>
        <v>560</v>
      </c>
      <c r="F76" s="21"/>
      <c r="G76" s="21">
        <f t="shared" si="2"/>
        <v>0</v>
      </c>
      <c r="H76" s="29"/>
    </row>
    <row r="77" ht="35" customHeight="1" spans="1:8">
      <c r="A77" s="19">
        <v>13</v>
      </c>
      <c r="B77" s="20" t="s">
        <v>193</v>
      </c>
      <c r="C77" s="33" t="s">
        <v>194</v>
      </c>
      <c r="D77" s="20" t="s">
        <v>166</v>
      </c>
      <c r="E77" s="20">
        <f>1.2*8.6*20</f>
        <v>206.4</v>
      </c>
      <c r="F77" s="21"/>
      <c r="G77" s="21">
        <f t="shared" si="2"/>
        <v>0</v>
      </c>
      <c r="H77" s="29"/>
    </row>
    <row r="78" ht="35" customHeight="1" spans="1:8">
      <c r="A78" s="19">
        <v>14</v>
      </c>
      <c r="B78" s="20"/>
      <c r="C78" s="33" t="s">
        <v>195</v>
      </c>
      <c r="D78" s="20" t="s">
        <v>166</v>
      </c>
      <c r="E78" s="20">
        <f>1.5*7</f>
        <v>10.5</v>
      </c>
      <c r="F78" s="21"/>
      <c r="G78" s="21">
        <f t="shared" si="2"/>
        <v>0</v>
      </c>
      <c r="H78" s="29"/>
    </row>
    <row r="79" ht="35" customHeight="1" spans="1:8">
      <c r="A79" s="19">
        <v>15</v>
      </c>
      <c r="B79" s="20"/>
      <c r="C79" s="33" t="s">
        <v>196</v>
      </c>
      <c r="D79" s="20" t="s">
        <v>166</v>
      </c>
      <c r="E79" s="20">
        <f>1.8*10.5</f>
        <v>18.9</v>
      </c>
      <c r="F79" s="21"/>
      <c r="G79" s="21">
        <f t="shared" si="2"/>
        <v>0</v>
      </c>
      <c r="H79" s="29"/>
    </row>
    <row r="80" ht="35" customHeight="1" spans="1:8">
      <c r="A80" s="19">
        <v>16</v>
      </c>
      <c r="B80" s="34" t="s">
        <v>197</v>
      </c>
      <c r="C80" s="20" t="s">
        <v>198</v>
      </c>
      <c r="D80" s="20" t="s">
        <v>166</v>
      </c>
      <c r="E80" s="20">
        <f>0.6*75*8</f>
        <v>360</v>
      </c>
      <c r="F80" s="21"/>
      <c r="G80" s="21">
        <f t="shared" si="2"/>
        <v>0</v>
      </c>
      <c r="H80" s="29"/>
    </row>
    <row r="81" ht="35" customHeight="1" spans="1:8">
      <c r="A81" s="19">
        <v>17</v>
      </c>
      <c r="B81" s="35"/>
      <c r="C81" s="20" t="s">
        <v>199</v>
      </c>
      <c r="D81" s="20" t="s">
        <v>166</v>
      </c>
      <c r="E81" s="20">
        <f>0.6*24*2</f>
        <v>28.8</v>
      </c>
      <c r="F81" s="21"/>
      <c r="G81" s="21">
        <f t="shared" si="2"/>
        <v>0</v>
      </c>
      <c r="H81" s="30"/>
    </row>
    <row r="82" ht="35" customHeight="1" spans="1:8">
      <c r="A82" s="19">
        <v>18</v>
      </c>
      <c r="B82" s="36" t="s">
        <v>200</v>
      </c>
      <c r="C82" s="20" t="s">
        <v>201</v>
      </c>
      <c r="D82" s="20" t="s">
        <v>166</v>
      </c>
      <c r="E82" s="20">
        <f>4*35*2</f>
        <v>280</v>
      </c>
      <c r="F82" s="21"/>
      <c r="G82" s="21">
        <f t="shared" si="2"/>
        <v>0</v>
      </c>
      <c r="H82" s="28" t="s">
        <v>202</v>
      </c>
    </row>
    <row r="83" ht="35" customHeight="1" spans="1:8">
      <c r="A83" s="19">
        <v>19</v>
      </c>
      <c r="B83" s="37"/>
      <c r="C83" s="20" t="s">
        <v>203</v>
      </c>
      <c r="D83" s="20" t="s">
        <v>166</v>
      </c>
      <c r="E83" s="20">
        <f>4*43*2</f>
        <v>344</v>
      </c>
      <c r="F83" s="21"/>
      <c r="G83" s="21">
        <f t="shared" si="2"/>
        <v>0</v>
      </c>
      <c r="H83" s="29"/>
    </row>
    <row r="84" ht="35" customHeight="1" spans="1:8">
      <c r="A84" s="19">
        <v>20</v>
      </c>
      <c r="B84" s="38"/>
      <c r="C84" s="20" t="s">
        <v>204</v>
      </c>
      <c r="D84" s="20" t="s">
        <v>166</v>
      </c>
      <c r="E84" s="20">
        <f>4*64*2</f>
        <v>512</v>
      </c>
      <c r="F84" s="21"/>
      <c r="G84" s="21">
        <f t="shared" si="2"/>
        <v>0</v>
      </c>
      <c r="H84" s="29"/>
    </row>
    <row r="85" ht="35" customHeight="1" spans="1:8">
      <c r="A85" s="19">
        <v>21</v>
      </c>
      <c r="B85" s="13" t="s">
        <v>205</v>
      </c>
      <c r="C85" s="20"/>
      <c r="D85" s="20"/>
      <c r="E85" s="20"/>
      <c r="F85" s="21"/>
      <c r="G85" s="14">
        <f>SUM(G65:G84)</f>
        <v>0</v>
      </c>
      <c r="H85" s="30"/>
    </row>
    <row r="86" ht="35" customHeight="1" spans="1:8">
      <c r="A86" s="12" t="s">
        <v>206</v>
      </c>
      <c r="B86" s="13"/>
      <c r="C86" s="13"/>
      <c r="D86" s="13"/>
      <c r="E86" s="13"/>
      <c r="F86" s="14"/>
      <c r="G86" s="14"/>
      <c r="H86" s="15"/>
    </row>
    <row r="87" ht="35" customHeight="1" spans="1:8">
      <c r="A87" s="19">
        <v>1</v>
      </c>
      <c r="B87" s="20" t="s">
        <v>207</v>
      </c>
      <c r="C87" s="20" t="s">
        <v>208</v>
      </c>
      <c r="D87" s="20" t="s">
        <v>49</v>
      </c>
      <c r="E87" s="20">
        <f>E11</f>
        <v>187</v>
      </c>
      <c r="F87" s="21"/>
      <c r="G87" s="21">
        <f t="shared" ref="G87:G117" si="3">E87*F87</f>
        <v>0</v>
      </c>
      <c r="H87" s="22" t="s">
        <v>50</v>
      </c>
    </row>
    <row r="88" ht="35" customHeight="1" spans="1:8">
      <c r="A88" s="19">
        <v>2</v>
      </c>
      <c r="B88" s="20" t="s">
        <v>209</v>
      </c>
      <c r="C88" s="20" t="s">
        <v>62</v>
      </c>
      <c r="D88" s="20" t="s">
        <v>60</v>
      </c>
      <c r="E88" s="20">
        <f>E87</f>
        <v>187</v>
      </c>
      <c r="F88" s="21"/>
      <c r="G88" s="21">
        <f t="shared" si="3"/>
        <v>0</v>
      </c>
      <c r="H88" s="22" t="s">
        <v>50</v>
      </c>
    </row>
    <row r="89" ht="35" customHeight="1" spans="1:8">
      <c r="A89" s="19">
        <v>3</v>
      </c>
      <c r="B89" s="20" t="s">
        <v>210</v>
      </c>
      <c r="C89" s="20" t="s">
        <v>211</v>
      </c>
      <c r="D89" s="20" t="s">
        <v>39</v>
      </c>
      <c r="E89" s="20">
        <f>(E92+E93)*2</f>
        <v>340</v>
      </c>
      <c r="F89" s="21"/>
      <c r="G89" s="21">
        <f t="shared" si="3"/>
        <v>0</v>
      </c>
      <c r="H89" s="22"/>
    </row>
    <row r="90" ht="35" customHeight="1" spans="1:8">
      <c r="A90" s="19">
        <v>4</v>
      </c>
      <c r="B90" s="20" t="s">
        <v>210</v>
      </c>
      <c r="C90" s="20" t="s">
        <v>212</v>
      </c>
      <c r="D90" s="20" t="s">
        <v>39</v>
      </c>
      <c r="E90" s="20">
        <f>E91*2</f>
        <v>352</v>
      </c>
      <c r="F90" s="21"/>
      <c r="G90" s="21">
        <f t="shared" si="3"/>
        <v>0</v>
      </c>
      <c r="H90" s="22"/>
    </row>
    <row r="91" ht="35" customHeight="1" spans="1:8">
      <c r="A91" s="19">
        <v>5</v>
      </c>
      <c r="B91" s="20" t="s">
        <v>213</v>
      </c>
      <c r="C91" s="20" t="s">
        <v>214</v>
      </c>
      <c r="D91" s="20" t="s">
        <v>49</v>
      </c>
      <c r="E91" s="20">
        <f>G3*(E3+1)</f>
        <v>176</v>
      </c>
      <c r="F91" s="21"/>
      <c r="G91" s="21">
        <f t="shared" si="3"/>
        <v>0</v>
      </c>
      <c r="H91" s="22" t="s">
        <v>55</v>
      </c>
    </row>
    <row r="92" ht="35" customHeight="1" spans="1:8">
      <c r="A92" s="19">
        <v>6</v>
      </c>
      <c r="B92" s="20" t="s">
        <v>215</v>
      </c>
      <c r="C92" s="20" t="s">
        <v>68</v>
      </c>
      <c r="D92" s="20" t="s">
        <v>49</v>
      </c>
      <c r="E92" s="20">
        <f>E19</f>
        <v>20</v>
      </c>
      <c r="F92" s="21"/>
      <c r="G92" s="21">
        <f t="shared" si="3"/>
        <v>0</v>
      </c>
      <c r="H92" s="22" t="s">
        <v>55</v>
      </c>
    </row>
    <row r="93" ht="35" customHeight="1" spans="1:8">
      <c r="A93" s="19">
        <v>7</v>
      </c>
      <c r="B93" s="20" t="s">
        <v>216</v>
      </c>
      <c r="C93" s="20" t="s">
        <v>217</v>
      </c>
      <c r="D93" s="20" t="s">
        <v>49</v>
      </c>
      <c r="E93" s="20">
        <f>E21</f>
        <v>150</v>
      </c>
      <c r="F93" s="21"/>
      <c r="G93" s="21">
        <f t="shared" si="3"/>
        <v>0</v>
      </c>
      <c r="H93" s="22" t="s">
        <v>55</v>
      </c>
    </row>
    <row r="94" ht="35" customHeight="1" spans="1:8">
      <c r="A94" s="19">
        <v>8</v>
      </c>
      <c r="B94" s="20" t="s">
        <v>218</v>
      </c>
      <c r="C94" s="20" t="s">
        <v>219</v>
      </c>
      <c r="D94" s="20" t="s">
        <v>49</v>
      </c>
      <c r="E94" s="20">
        <f>(E92+E93)*2</f>
        <v>340</v>
      </c>
      <c r="F94" s="21"/>
      <c r="G94" s="21">
        <f t="shared" si="3"/>
        <v>0</v>
      </c>
      <c r="H94" s="22" t="s">
        <v>71</v>
      </c>
    </row>
    <row r="95" ht="35" customHeight="1" spans="1:8">
      <c r="A95" s="19">
        <v>9</v>
      </c>
      <c r="B95" s="20" t="s">
        <v>220</v>
      </c>
      <c r="C95" s="20" t="s">
        <v>70</v>
      </c>
      <c r="D95" s="20" t="s">
        <v>49</v>
      </c>
      <c r="E95" s="20">
        <f>E3*6</f>
        <v>60</v>
      </c>
      <c r="F95" s="21"/>
      <c r="G95" s="21">
        <f t="shared" si="3"/>
        <v>0</v>
      </c>
      <c r="H95" s="22" t="s">
        <v>55</v>
      </c>
    </row>
    <row r="96" ht="35" customHeight="1" spans="1:8">
      <c r="A96" s="19">
        <v>10</v>
      </c>
      <c r="B96" s="20" t="s">
        <v>221</v>
      </c>
      <c r="C96" s="20" t="s">
        <v>222</v>
      </c>
      <c r="D96" s="20" t="s">
        <v>49</v>
      </c>
      <c r="E96" s="20">
        <f>E95*2</f>
        <v>120</v>
      </c>
      <c r="F96" s="21"/>
      <c r="G96" s="21">
        <f t="shared" si="3"/>
        <v>0</v>
      </c>
      <c r="H96" s="22" t="s">
        <v>71</v>
      </c>
    </row>
    <row r="97" ht="35" customHeight="1" spans="1:8">
      <c r="A97" s="19">
        <v>11</v>
      </c>
      <c r="B97" s="20" t="s">
        <v>223</v>
      </c>
      <c r="C97" s="20" t="s">
        <v>224</v>
      </c>
      <c r="D97" s="20" t="s">
        <v>49</v>
      </c>
      <c r="E97" s="20">
        <f>(E3+1)*6</f>
        <v>66</v>
      </c>
      <c r="F97" s="21"/>
      <c r="G97" s="21">
        <f t="shared" si="3"/>
        <v>0</v>
      </c>
      <c r="H97" s="22" t="s">
        <v>71</v>
      </c>
    </row>
    <row r="98" ht="35" customHeight="1" spans="1:8">
      <c r="A98" s="19">
        <v>12</v>
      </c>
      <c r="B98" s="20" t="s">
        <v>117</v>
      </c>
      <c r="C98" s="20" t="s">
        <v>225</v>
      </c>
      <c r="D98" s="20" t="s">
        <v>49</v>
      </c>
      <c r="E98" s="20">
        <f>E97</f>
        <v>66</v>
      </c>
      <c r="F98" s="21"/>
      <c r="G98" s="21">
        <f t="shared" si="3"/>
        <v>0</v>
      </c>
      <c r="H98" s="22"/>
    </row>
    <row r="99" ht="35" customHeight="1" spans="1:8">
      <c r="A99" s="19">
        <v>13</v>
      </c>
      <c r="B99" s="20" t="s">
        <v>65</v>
      </c>
      <c r="C99" s="20" t="s">
        <v>66</v>
      </c>
      <c r="D99" s="20" t="s">
        <v>39</v>
      </c>
      <c r="E99" s="20">
        <f>E98*2</f>
        <v>132</v>
      </c>
      <c r="F99" s="21"/>
      <c r="G99" s="21">
        <f t="shared" si="3"/>
        <v>0</v>
      </c>
      <c r="H99" s="22" t="s">
        <v>50</v>
      </c>
    </row>
    <row r="100" ht="35" customHeight="1" spans="1:8">
      <c r="A100" s="19">
        <v>14</v>
      </c>
      <c r="B100" s="20" t="s">
        <v>226</v>
      </c>
      <c r="C100" s="20" t="s">
        <v>227</v>
      </c>
      <c r="D100" s="20" t="s">
        <v>49</v>
      </c>
      <c r="E100" s="23">
        <f>D3*E3/5.9*G3</f>
        <v>217</v>
      </c>
      <c r="F100" s="21"/>
      <c r="G100" s="21">
        <f t="shared" si="3"/>
        <v>0</v>
      </c>
      <c r="H100" s="22" t="s">
        <v>71</v>
      </c>
    </row>
    <row r="101" ht="35" customHeight="1" spans="1:8">
      <c r="A101" s="19">
        <v>15</v>
      </c>
      <c r="B101" s="20" t="s">
        <v>228</v>
      </c>
      <c r="C101" s="20" t="s">
        <v>156</v>
      </c>
      <c r="D101" s="20" t="s">
        <v>229</v>
      </c>
      <c r="E101" s="20">
        <f>(E3/2*2+1)*2</f>
        <v>22</v>
      </c>
      <c r="F101" s="21"/>
      <c r="G101" s="21">
        <f t="shared" si="3"/>
        <v>0</v>
      </c>
      <c r="H101" s="22"/>
    </row>
    <row r="102" ht="35" customHeight="1" spans="1:8">
      <c r="A102" s="19">
        <v>16</v>
      </c>
      <c r="B102" s="20" t="s">
        <v>230</v>
      </c>
      <c r="C102" s="20" t="s">
        <v>231</v>
      </c>
      <c r="D102" s="20" t="s">
        <v>49</v>
      </c>
      <c r="E102" s="20">
        <f t="shared" ref="E102:E108" si="4">E101</f>
        <v>22</v>
      </c>
      <c r="F102" s="21"/>
      <c r="G102" s="21">
        <f t="shared" si="3"/>
        <v>0</v>
      </c>
      <c r="H102" s="22"/>
    </row>
    <row r="103" ht="35" customHeight="1" spans="1:8">
      <c r="A103" s="19">
        <v>17</v>
      </c>
      <c r="B103" s="20" t="s">
        <v>232</v>
      </c>
      <c r="C103" s="20" t="s">
        <v>233</v>
      </c>
      <c r="D103" s="20" t="s">
        <v>44</v>
      </c>
      <c r="E103" s="20">
        <f>D3*E3-2</f>
        <v>78</v>
      </c>
      <c r="F103" s="21"/>
      <c r="G103" s="21">
        <f t="shared" si="3"/>
        <v>0</v>
      </c>
      <c r="H103" s="22"/>
    </row>
    <row r="104" ht="35" customHeight="1" spans="1:8">
      <c r="A104" s="19">
        <v>18</v>
      </c>
      <c r="B104" s="20" t="s">
        <v>234</v>
      </c>
      <c r="C104" s="20" t="s">
        <v>235</v>
      </c>
      <c r="D104" s="20" t="s">
        <v>132</v>
      </c>
      <c r="E104" s="20">
        <f>E3*2*2</f>
        <v>40</v>
      </c>
      <c r="F104" s="21"/>
      <c r="G104" s="21">
        <f t="shared" si="3"/>
        <v>0</v>
      </c>
      <c r="H104" s="22" t="s">
        <v>71</v>
      </c>
    </row>
    <row r="105" ht="35" customHeight="1" spans="1:8">
      <c r="A105" s="19">
        <v>19</v>
      </c>
      <c r="B105" s="20" t="s">
        <v>236</v>
      </c>
      <c r="C105" s="20" t="s">
        <v>237</v>
      </c>
      <c r="D105" s="20" t="s">
        <v>49</v>
      </c>
      <c r="E105" s="20">
        <f>E101*(G3-2)</f>
        <v>308</v>
      </c>
      <c r="F105" s="21"/>
      <c r="G105" s="21">
        <f t="shared" si="3"/>
        <v>0</v>
      </c>
      <c r="H105" s="22" t="s">
        <v>71</v>
      </c>
    </row>
    <row r="106" ht="35" customHeight="1" spans="1:8">
      <c r="A106" s="19">
        <v>20</v>
      </c>
      <c r="B106" s="20" t="s">
        <v>238</v>
      </c>
      <c r="C106" s="20" t="s">
        <v>239</v>
      </c>
      <c r="D106" s="20" t="s">
        <v>90</v>
      </c>
      <c r="E106" s="20">
        <f t="shared" si="4"/>
        <v>308</v>
      </c>
      <c r="F106" s="21"/>
      <c r="G106" s="21">
        <f t="shared" si="3"/>
        <v>0</v>
      </c>
      <c r="H106" s="22"/>
    </row>
    <row r="107" ht="35" customHeight="1" spans="1:8">
      <c r="A107" s="19">
        <v>21</v>
      </c>
      <c r="B107" s="20" t="s">
        <v>240</v>
      </c>
      <c r="C107" s="20" t="s">
        <v>241</v>
      </c>
      <c r="D107" s="20" t="s">
        <v>90</v>
      </c>
      <c r="E107" s="20">
        <f t="shared" si="4"/>
        <v>308</v>
      </c>
      <c r="F107" s="21"/>
      <c r="G107" s="21">
        <f t="shared" si="3"/>
        <v>0</v>
      </c>
      <c r="H107" s="22"/>
    </row>
    <row r="108" ht="35" customHeight="1" spans="1:8">
      <c r="A108" s="19">
        <v>22</v>
      </c>
      <c r="B108" s="20" t="s">
        <v>242</v>
      </c>
      <c r="C108" s="20" t="s">
        <v>243</v>
      </c>
      <c r="D108" s="20" t="s">
        <v>90</v>
      </c>
      <c r="E108" s="20">
        <f t="shared" si="4"/>
        <v>308</v>
      </c>
      <c r="F108" s="21"/>
      <c r="G108" s="21">
        <f t="shared" si="3"/>
        <v>0</v>
      </c>
      <c r="H108" s="22"/>
    </row>
    <row r="109" ht="35" customHeight="1" spans="1:8">
      <c r="A109" s="19">
        <v>23</v>
      </c>
      <c r="B109" s="20" t="s">
        <v>244</v>
      </c>
      <c r="C109" s="20" t="s">
        <v>245</v>
      </c>
      <c r="D109" s="20" t="s">
        <v>137</v>
      </c>
      <c r="E109" s="20">
        <f>D3/0.4*1.5*F3*G3*E3/1600</f>
        <v>12</v>
      </c>
      <c r="F109" s="21"/>
      <c r="G109" s="21">
        <f t="shared" si="3"/>
        <v>0</v>
      </c>
      <c r="H109" s="22"/>
    </row>
    <row r="110" ht="35" customHeight="1" spans="1:8">
      <c r="A110" s="19">
        <v>24</v>
      </c>
      <c r="B110" s="20" t="s">
        <v>246</v>
      </c>
      <c r="C110" s="20" t="s">
        <v>247</v>
      </c>
      <c r="D110" s="20" t="s">
        <v>248</v>
      </c>
      <c r="E110" s="20">
        <v>2</v>
      </c>
      <c r="F110" s="21"/>
      <c r="G110" s="21">
        <f t="shared" si="3"/>
        <v>0</v>
      </c>
      <c r="H110" s="22" t="s">
        <v>156</v>
      </c>
    </row>
    <row r="111" ht="35" customHeight="1" spans="1:8">
      <c r="A111" s="19">
        <v>25</v>
      </c>
      <c r="B111" s="20" t="s">
        <v>249</v>
      </c>
      <c r="C111" s="20" t="s">
        <v>250</v>
      </c>
      <c r="D111" s="20" t="s">
        <v>90</v>
      </c>
      <c r="E111" s="20">
        <f>E110*2</f>
        <v>4</v>
      </c>
      <c r="F111" s="21"/>
      <c r="G111" s="21">
        <f t="shared" si="3"/>
        <v>0</v>
      </c>
      <c r="H111" s="22"/>
    </row>
    <row r="112" ht="35" customHeight="1" spans="1:8">
      <c r="A112" s="19">
        <v>26</v>
      </c>
      <c r="B112" s="20" t="s">
        <v>251</v>
      </c>
      <c r="C112" s="20" t="s">
        <v>252</v>
      </c>
      <c r="D112" s="20" t="s">
        <v>39</v>
      </c>
      <c r="E112" s="20">
        <f>E110</f>
        <v>2</v>
      </c>
      <c r="F112" s="21"/>
      <c r="G112" s="21">
        <f t="shared" si="3"/>
        <v>0</v>
      </c>
      <c r="H112" s="22"/>
    </row>
    <row r="113" ht="35" customHeight="1" spans="1:8">
      <c r="A113" s="19">
        <v>27</v>
      </c>
      <c r="B113" s="20" t="s">
        <v>253</v>
      </c>
      <c r="C113" s="20" t="s">
        <v>254</v>
      </c>
      <c r="D113" s="20" t="s">
        <v>166</v>
      </c>
      <c r="E113" s="20">
        <f>4.3*(D3*E3/2+2)*G3*2</f>
        <v>5779.2</v>
      </c>
      <c r="F113" s="21"/>
      <c r="G113" s="21">
        <f t="shared" si="3"/>
        <v>0</v>
      </c>
      <c r="H113" s="39" t="s">
        <v>255</v>
      </c>
    </row>
    <row r="114" ht="35" customHeight="1" spans="1:8">
      <c r="A114" s="19">
        <v>28</v>
      </c>
      <c r="B114" s="20" t="s">
        <v>256</v>
      </c>
      <c r="C114" s="20" t="s">
        <v>257</v>
      </c>
      <c r="D114" s="20" t="s">
        <v>39</v>
      </c>
      <c r="E114" s="20">
        <f>D3/0.4*G3*E3/2</f>
        <v>1600</v>
      </c>
      <c r="F114" s="21"/>
      <c r="G114" s="21">
        <f t="shared" si="3"/>
        <v>0</v>
      </c>
      <c r="H114" s="22"/>
    </row>
    <row r="115" ht="35" customHeight="1" spans="1:8">
      <c r="A115" s="19">
        <v>29</v>
      </c>
      <c r="B115" s="20" t="s">
        <v>258</v>
      </c>
      <c r="C115" s="20" t="s">
        <v>259</v>
      </c>
      <c r="D115" s="20" t="s">
        <v>39</v>
      </c>
      <c r="E115" s="20">
        <f>E114</f>
        <v>1600</v>
      </c>
      <c r="F115" s="21"/>
      <c r="G115" s="21">
        <f t="shared" si="3"/>
        <v>0</v>
      </c>
      <c r="H115" s="22"/>
    </row>
    <row r="116" ht="35" customHeight="1" spans="1:8">
      <c r="A116" s="19">
        <v>30</v>
      </c>
      <c r="B116" s="20" t="s">
        <v>260</v>
      </c>
      <c r="C116" s="27" t="s">
        <v>261</v>
      </c>
      <c r="D116" s="20" t="s">
        <v>137</v>
      </c>
      <c r="E116" s="20">
        <v>18</v>
      </c>
      <c r="F116" s="21"/>
      <c r="G116" s="21">
        <f t="shared" si="3"/>
        <v>0</v>
      </c>
      <c r="H116" s="22"/>
    </row>
    <row r="117" ht="35" customHeight="1" spans="1:8">
      <c r="A117" s="19">
        <v>31</v>
      </c>
      <c r="B117" s="25" t="s">
        <v>262</v>
      </c>
      <c r="C117" s="25" t="s">
        <v>263</v>
      </c>
      <c r="D117" s="25" t="s">
        <v>166</v>
      </c>
      <c r="E117" s="25">
        <f>H3</f>
        <v>5120</v>
      </c>
      <c r="F117" s="21"/>
      <c r="G117" s="21">
        <f t="shared" si="3"/>
        <v>0</v>
      </c>
      <c r="H117" s="40"/>
    </row>
    <row r="118" ht="35" customHeight="1" spans="1:8">
      <c r="A118" s="19">
        <v>32</v>
      </c>
      <c r="B118" s="41" t="s">
        <v>264</v>
      </c>
      <c r="C118" s="25"/>
      <c r="D118" s="25"/>
      <c r="E118" s="25"/>
      <c r="F118" s="21"/>
      <c r="G118" s="14">
        <f>SUM(G87:G117)</f>
        <v>0</v>
      </c>
      <c r="H118" s="42"/>
    </row>
    <row r="119" ht="35" customHeight="1" spans="1:8">
      <c r="A119" s="12" t="s">
        <v>265</v>
      </c>
      <c r="B119" s="13"/>
      <c r="C119" s="13"/>
      <c r="D119" s="13"/>
      <c r="E119" s="13"/>
      <c r="F119" s="14"/>
      <c r="G119" s="14"/>
      <c r="H119" s="15"/>
    </row>
    <row r="120" ht="35" customHeight="1" spans="1:8">
      <c r="A120" s="19">
        <v>1</v>
      </c>
      <c r="B120" s="20" t="s">
        <v>221</v>
      </c>
      <c r="C120" s="20" t="s">
        <v>222</v>
      </c>
      <c r="D120" s="20" t="s">
        <v>49</v>
      </c>
      <c r="E120" s="20">
        <f t="shared" ref="E120:E141" si="5">E96</f>
        <v>120</v>
      </c>
      <c r="F120" s="21"/>
      <c r="G120" s="21">
        <f t="shared" ref="G120:G141" si="6">E120*F120</f>
        <v>0</v>
      </c>
      <c r="H120" s="22" t="s">
        <v>71</v>
      </c>
    </row>
    <row r="121" ht="35" customHeight="1" spans="1:8">
      <c r="A121" s="19">
        <v>2</v>
      </c>
      <c r="B121" s="20" t="s">
        <v>223</v>
      </c>
      <c r="C121" s="20" t="s">
        <v>224</v>
      </c>
      <c r="D121" s="20" t="s">
        <v>49</v>
      </c>
      <c r="E121" s="20">
        <f t="shared" si="5"/>
        <v>66</v>
      </c>
      <c r="F121" s="21"/>
      <c r="G121" s="21">
        <f t="shared" si="6"/>
        <v>0</v>
      </c>
      <c r="H121" s="22" t="s">
        <v>71</v>
      </c>
    </row>
    <row r="122" ht="35" customHeight="1" spans="1:8">
      <c r="A122" s="19">
        <v>3</v>
      </c>
      <c r="B122" s="20" t="s">
        <v>117</v>
      </c>
      <c r="C122" s="20" t="s">
        <v>225</v>
      </c>
      <c r="D122" s="20" t="s">
        <v>49</v>
      </c>
      <c r="E122" s="20">
        <f t="shared" si="5"/>
        <v>66</v>
      </c>
      <c r="F122" s="21"/>
      <c r="G122" s="21">
        <f t="shared" si="6"/>
        <v>0</v>
      </c>
      <c r="H122" s="22"/>
    </row>
    <row r="123" ht="35" customHeight="1" spans="1:8">
      <c r="A123" s="19">
        <v>4</v>
      </c>
      <c r="B123" s="20" t="s">
        <v>65</v>
      </c>
      <c r="C123" s="20" t="s">
        <v>66</v>
      </c>
      <c r="D123" s="20" t="s">
        <v>39</v>
      </c>
      <c r="E123" s="20">
        <f t="shared" si="5"/>
        <v>132</v>
      </c>
      <c r="F123" s="21"/>
      <c r="G123" s="21">
        <f t="shared" si="6"/>
        <v>0</v>
      </c>
      <c r="H123" s="22" t="s">
        <v>50</v>
      </c>
    </row>
    <row r="124" ht="35" customHeight="1" spans="1:8">
      <c r="A124" s="19">
        <v>5</v>
      </c>
      <c r="B124" s="20" t="s">
        <v>226</v>
      </c>
      <c r="C124" s="20" t="s">
        <v>227</v>
      </c>
      <c r="D124" s="20" t="s">
        <v>49</v>
      </c>
      <c r="E124" s="20">
        <f t="shared" si="5"/>
        <v>217</v>
      </c>
      <c r="F124" s="21"/>
      <c r="G124" s="21">
        <f t="shared" si="6"/>
        <v>0</v>
      </c>
      <c r="H124" s="22" t="s">
        <v>71</v>
      </c>
    </row>
    <row r="125" ht="35" customHeight="1" spans="1:8">
      <c r="A125" s="19">
        <v>6</v>
      </c>
      <c r="B125" s="20" t="s">
        <v>228</v>
      </c>
      <c r="C125" s="20" t="s">
        <v>156</v>
      </c>
      <c r="D125" s="20" t="s">
        <v>229</v>
      </c>
      <c r="E125" s="20">
        <f t="shared" si="5"/>
        <v>22</v>
      </c>
      <c r="F125" s="21"/>
      <c r="G125" s="21">
        <f t="shared" si="6"/>
        <v>0</v>
      </c>
      <c r="H125" s="22"/>
    </row>
    <row r="126" ht="35" customHeight="1" spans="1:8">
      <c r="A126" s="19">
        <v>7</v>
      </c>
      <c r="B126" s="20" t="s">
        <v>230</v>
      </c>
      <c r="C126" s="20" t="s">
        <v>231</v>
      </c>
      <c r="D126" s="20" t="s">
        <v>49</v>
      </c>
      <c r="E126" s="20">
        <f t="shared" si="5"/>
        <v>22</v>
      </c>
      <c r="F126" s="21"/>
      <c r="G126" s="21">
        <f t="shared" si="6"/>
        <v>0</v>
      </c>
      <c r="H126" s="22"/>
    </row>
    <row r="127" ht="35" customHeight="1" spans="1:8">
      <c r="A127" s="19">
        <v>8</v>
      </c>
      <c r="B127" s="20" t="s">
        <v>232</v>
      </c>
      <c r="C127" s="20" t="s">
        <v>233</v>
      </c>
      <c r="D127" s="20" t="s">
        <v>44</v>
      </c>
      <c r="E127" s="20">
        <f t="shared" si="5"/>
        <v>78</v>
      </c>
      <c r="F127" s="21"/>
      <c r="G127" s="21">
        <f t="shared" si="6"/>
        <v>0</v>
      </c>
      <c r="H127" s="22"/>
    </row>
    <row r="128" ht="35" customHeight="1" spans="1:8">
      <c r="A128" s="19">
        <v>9</v>
      </c>
      <c r="B128" s="20" t="s">
        <v>234</v>
      </c>
      <c r="C128" s="20" t="s">
        <v>235</v>
      </c>
      <c r="D128" s="20" t="s">
        <v>132</v>
      </c>
      <c r="E128" s="20">
        <f t="shared" si="5"/>
        <v>40</v>
      </c>
      <c r="F128" s="21"/>
      <c r="G128" s="21">
        <f t="shared" si="6"/>
        <v>0</v>
      </c>
      <c r="H128" s="22" t="s">
        <v>71</v>
      </c>
    </row>
    <row r="129" ht="35" customHeight="1" spans="1:8">
      <c r="A129" s="19">
        <v>10</v>
      </c>
      <c r="B129" s="20" t="s">
        <v>236</v>
      </c>
      <c r="C129" s="20" t="s">
        <v>237</v>
      </c>
      <c r="D129" s="20" t="s">
        <v>49</v>
      </c>
      <c r="E129" s="20">
        <f t="shared" si="5"/>
        <v>308</v>
      </c>
      <c r="F129" s="21"/>
      <c r="G129" s="21">
        <f t="shared" si="6"/>
        <v>0</v>
      </c>
      <c r="H129" s="22" t="s">
        <v>71</v>
      </c>
    </row>
    <row r="130" ht="35" customHeight="1" spans="1:8">
      <c r="A130" s="19">
        <v>11</v>
      </c>
      <c r="B130" s="20" t="s">
        <v>238</v>
      </c>
      <c r="C130" s="20" t="s">
        <v>239</v>
      </c>
      <c r="D130" s="20" t="s">
        <v>90</v>
      </c>
      <c r="E130" s="20">
        <f t="shared" si="5"/>
        <v>308</v>
      </c>
      <c r="F130" s="21"/>
      <c r="G130" s="21">
        <f t="shared" si="6"/>
        <v>0</v>
      </c>
      <c r="H130" s="22"/>
    </row>
    <row r="131" ht="35" customHeight="1" spans="1:8">
      <c r="A131" s="19">
        <v>12</v>
      </c>
      <c r="B131" s="20" t="s">
        <v>240</v>
      </c>
      <c r="C131" s="20" t="s">
        <v>241</v>
      </c>
      <c r="D131" s="20" t="s">
        <v>90</v>
      </c>
      <c r="E131" s="20">
        <f t="shared" si="5"/>
        <v>308</v>
      </c>
      <c r="F131" s="21"/>
      <c r="G131" s="21">
        <f t="shared" si="6"/>
        <v>0</v>
      </c>
      <c r="H131" s="22"/>
    </row>
    <row r="132" ht="35" customHeight="1" spans="1:8">
      <c r="A132" s="19">
        <v>13</v>
      </c>
      <c r="B132" s="20" t="s">
        <v>242</v>
      </c>
      <c r="C132" s="20" t="s">
        <v>243</v>
      </c>
      <c r="D132" s="20" t="s">
        <v>90</v>
      </c>
      <c r="E132" s="20">
        <f t="shared" si="5"/>
        <v>308</v>
      </c>
      <c r="F132" s="21"/>
      <c r="G132" s="21">
        <f t="shared" si="6"/>
        <v>0</v>
      </c>
      <c r="H132" s="22"/>
    </row>
    <row r="133" ht="35" customHeight="1" spans="1:8">
      <c r="A133" s="19">
        <v>14</v>
      </c>
      <c r="B133" s="20" t="s">
        <v>244</v>
      </c>
      <c r="C133" s="20" t="s">
        <v>245</v>
      </c>
      <c r="D133" s="20" t="s">
        <v>137</v>
      </c>
      <c r="E133" s="20">
        <f t="shared" si="5"/>
        <v>12</v>
      </c>
      <c r="F133" s="21"/>
      <c r="G133" s="21">
        <f t="shared" si="6"/>
        <v>0</v>
      </c>
      <c r="H133" s="22"/>
    </row>
    <row r="134" ht="35" customHeight="1" spans="1:8">
      <c r="A134" s="19">
        <v>15</v>
      </c>
      <c r="B134" s="20" t="s">
        <v>246</v>
      </c>
      <c r="C134" s="20" t="s">
        <v>247</v>
      </c>
      <c r="D134" s="20" t="s">
        <v>248</v>
      </c>
      <c r="E134" s="20">
        <f t="shared" si="5"/>
        <v>2</v>
      </c>
      <c r="F134" s="21"/>
      <c r="G134" s="21">
        <f t="shared" si="6"/>
        <v>0</v>
      </c>
      <c r="H134" s="22" t="s">
        <v>156</v>
      </c>
    </row>
    <row r="135" ht="35" customHeight="1" spans="1:8">
      <c r="A135" s="19">
        <v>16</v>
      </c>
      <c r="B135" s="20" t="s">
        <v>249</v>
      </c>
      <c r="C135" s="20" t="s">
        <v>250</v>
      </c>
      <c r="D135" s="20" t="s">
        <v>90</v>
      </c>
      <c r="E135" s="20">
        <f t="shared" si="5"/>
        <v>4</v>
      </c>
      <c r="F135" s="21"/>
      <c r="G135" s="21">
        <f t="shared" si="6"/>
        <v>0</v>
      </c>
      <c r="H135" s="22"/>
    </row>
    <row r="136" ht="35" customHeight="1" spans="1:8">
      <c r="A136" s="19">
        <v>17</v>
      </c>
      <c r="B136" s="20" t="s">
        <v>251</v>
      </c>
      <c r="C136" s="20" t="s">
        <v>252</v>
      </c>
      <c r="D136" s="20" t="s">
        <v>39</v>
      </c>
      <c r="E136" s="20">
        <f t="shared" si="5"/>
        <v>2</v>
      </c>
      <c r="F136" s="21"/>
      <c r="G136" s="21">
        <f t="shared" si="6"/>
        <v>0</v>
      </c>
      <c r="H136" s="22"/>
    </row>
    <row r="137" ht="35" customHeight="1" spans="1:8">
      <c r="A137" s="19">
        <v>18</v>
      </c>
      <c r="B137" s="20" t="s">
        <v>253</v>
      </c>
      <c r="C137" s="20" t="s">
        <v>254</v>
      </c>
      <c r="D137" s="20" t="s">
        <v>166</v>
      </c>
      <c r="E137" s="20">
        <f t="shared" si="5"/>
        <v>5779.2</v>
      </c>
      <c r="F137" s="21"/>
      <c r="G137" s="21">
        <f t="shared" si="6"/>
        <v>0</v>
      </c>
      <c r="H137" s="39" t="s">
        <v>202</v>
      </c>
    </row>
    <row r="138" ht="35" customHeight="1" spans="1:8">
      <c r="A138" s="19">
        <v>19</v>
      </c>
      <c r="B138" s="20" t="s">
        <v>256</v>
      </c>
      <c r="C138" s="20" t="s">
        <v>257</v>
      </c>
      <c r="D138" s="20" t="s">
        <v>39</v>
      </c>
      <c r="E138" s="20">
        <f t="shared" si="5"/>
        <v>1600</v>
      </c>
      <c r="F138" s="21"/>
      <c r="G138" s="21">
        <f t="shared" si="6"/>
        <v>0</v>
      </c>
      <c r="H138" s="22"/>
    </row>
    <row r="139" ht="35" customHeight="1" spans="1:8">
      <c r="A139" s="19">
        <v>20</v>
      </c>
      <c r="B139" s="20" t="s">
        <v>258</v>
      </c>
      <c r="C139" s="20" t="s">
        <v>259</v>
      </c>
      <c r="D139" s="20" t="s">
        <v>39</v>
      </c>
      <c r="E139" s="20">
        <f t="shared" si="5"/>
        <v>1600</v>
      </c>
      <c r="F139" s="21"/>
      <c r="G139" s="21">
        <f t="shared" si="6"/>
        <v>0</v>
      </c>
      <c r="H139" s="22"/>
    </row>
    <row r="140" ht="35" customHeight="1" spans="1:8">
      <c r="A140" s="19">
        <v>21</v>
      </c>
      <c r="B140" s="20" t="s">
        <v>260</v>
      </c>
      <c r="C140" s="27" t="s">
        <v>261</v>
      </c>
      <c r="D140" s="20" t="s">
        <v>137</v>
      </c>
      <c r="E140" s="20">
        <f t="shared" si="5"/>
        <v>18</v>
      </c>
      <c r="F140" s="21"/>
      <c r="G140" s="21">
        <f t="shared" si="6"/>
        <v>0</v>
      </c>
      <c r="H140" s="22"/>
    </row>
    <row r="141" ht="35" customHeight="1" spans="1:8">
      <c r="A141" s="19">
        <v>22</v>
      </c>
      <c r="B141" s="25" t="s">
        <v>262</v>
      </c>
      <c r="C141" s="25" t="s">
        <v>263</v>
      </c>
      <c r="D141" s="25" t="s">
        <v>166</v>
      </c>
      <c r="E141" s="20">
        <f t="shared" si="5"/>
        <v>5120</v>
      </c>
      <c r="F141" s="21"/>
      <c r="G141" s="21">
        <f t="shared" si="6"/>
        <v>0</v>
      </c>
      <c r="H141" s="40"/>
    </row>
    <row r="142" ht="35" customHeight="1" spans="1:8">
      <c r="A142" s="19">
        <v>23</v>
      </c>
      <c r="B142" s="41" t="s">
        <v>266</v>
      </c>
      <c r="C142" s="25"/>
      <c r="D142" s="25"/>
      <c r="E142" s="25"/>
      <c r="F142" s="21"/>
      <c r="G142" s="14">
        <f>SUM(G120:G141)</f>
        <v>0</v>
      </c>
      <c r="H142" s="42"/>
    </row>
    <row r="143" ht="35" customHeight="1" spans="1:8">
      <c r="A143" s="43" t="s">
        <v>267</v>
      </c>
      <c r="B143" s="44"/>
      <c r="C143" s="44"/>
      <c r="D143" s="44"/>
      <c r="E143" s="44"/>
      <c r="F143" s="45"/>
      <c r="G143" s="45"/>
      <c r="H143" s="46"/>
    </row>
    <row r="144" ht="35" customHeight="1" spans="1:8">
      <c r="A144" s="19">
        <v>1</v>
      </c>
      <c r="B144" s="20" t="s">
        <v>268</v>
      </c>
      <c r="C144" s="20" t="s">
        <v>208</v>
      </c>
      <c r="D144" s="20" t="s">
        <v>49</v>
      </c>
      <c r="E144" s="20">
        <v>52</v>
      </c>
      <c r="F144" s="21"/>
      <c r="G144" s="21">
        <f t="shared" ref="G144:G171" si="7">E144*F144</f>
        <v>0</v>
      </c>
      <c r="H144" s="22"/>
    </row>
    <row r="145" ht="35" customHeight="1" spans="1:8">
      <c r="A145" s="19">
        <v>2</v>
      </c>
      <c r="B145" s="20" t="s">
        <v>269</v>
      </c>
      <c r="C145" s="20" t="s">
        <v>270</v>
      </c>
      <c r="D145" s="20" t="s">
        <v>49</v>
      </c>
      <c r="E145" s="20">
        <v>34</v>
      </c>
      <c r="F145" s="21"/>
      <c r="G145" s="21">
        <f t="shared" si="7"/>
        <v>0</v>
      </c>
      <c r="H145" s="22" t="s">
        <v>55</v>
      </c>
    </row>
    <row r="146" ht="35" customHeight="1" spans="1:8">
      <c r="A146" s="19">
        <v>3</v>
      </c>
      <c r="B146" s="20" t="s">
        <v>56</v>
      </c>
      <c r="C146" s="20" t="s">
        <v>271</v>
      </c>
      <c r="D146" s="20" t="s">
        <v>49</v>
      </c>
      <c r="E146" s="20">
        <v>34</v>
      </c>
      <c r="F146" s="21"/>
      <c r="G146" s="21">
        <f t="shared" si="7"/>
        <v>0</v>
      </c>
      <c r="H146" s="22"/>
    </row>
    <row r="147" ht="35" customHeight="1" spans="1:8">
      <c r="A147" s="19">
        <v>4</v>
      </c>
      <c r="B147" s="20" t="s">
        <v>272</v>
      </c>
      <c r="C147" s="20" t="s">
        <v>273</v>
      </c>
      <c r="D147" s="20" t="s">
        <v>49</v>
      </c>
      <c r="E147" s="20">
        <f>(E144+E145+E146)*2</f>
        <v>240</v>
      </c>
      <c r="F147" s="21"/>
      <c r="G147" s="21">
        <f t="shared" si="7"/>
        <v>0</v>
      </c>
      <c r="H147" s="22" t="s">
        <v>91</v>
      </c>
    </row>
    <row r="148" ht="35" customHeight="1" spans="1:8">
      <c r="A148" s="19">
        <v>5</v>
      </c>
      <c r="B148" s="20" t="s">
        <v>274</v>
      </c>
      <c r="C148" s="20" t="s">
        <v>275</v>
      </c>
      <c r="D148" s="20" t="s">
        <v>276</v>
      </c>
      <c r="E148" s="20">
        <f>E34+E35</f>
        <v>176</v>
      </c>
      <c r="F148" s="26"/>
      <c r="G148" s="26">
        <f t="shared" si="7"/>
        <v>0</v>
      </c>
      <c r="H148" s="22"/>
    </row>
    <row r="149" ht="35" customHeight="1" spans="1:8">
      <c r="A149" s="19">
        <v>6</v>
      </c>
      <c r="B149" s="36" t="s">
        <v>277</v>
      </c>
      <c r="C149" s="20" t="s">
        <v>278</v>
      </c>
      <c r="D149" s="20" t="s">
        <v>49</v>
      </c>
      <c r="E149" s="20">
        <v>768</v>
      </c>
      <c r="F149" s="21"/>
      <c r="G149" s="26">
        <f t="shared" si="7"/>
        <v>0</v>
      </c>
      <c r="H149" s="22" t="s">
        <v>279</v>
      </c>
    </row>
    <row r="150" ht="35" customHeight="1" spans="1:8">
      <c r="A150" s="19">
        <v>7</v>
      </c>
      <c r="B150" s="38"/>
      <c r="C150" s="20" t="s">
        <v>280</v>
      </c>
      <c r="D150" s="20" t="s">
        <v>49</v>
      </c>
      <c r="E150" s="20">
        <v>192</v>
      </c>
      <c r="F150" s="21"/>
      <c r="G150" s="26">
        <f t="shared" si="7"/>
        <v>0</v>
      </c>
      <c r="H150" s="22" t="s">
        <v>279</v>
      </c>
    </row>
    <row r="151" ht="35" customHeight="1" spans="1:8">
      <c r="A151" s="19">
        <v>8</v>
      </c>
      <c r="B151" s="20" t="s">
        <v>281</v>
      </c>
      <c r="C151" s="20" t="s">
        <v>282</v>
      </c>
      <c r="D151" s="20" t="s">
        <v>39</v>
      </c>
      <c r="E151" s="20">
        <f>(E149+E150)/2</f>
        <v>480</v>
      </c>
      <c r="F151" s="26"/>
      <c r="G151" s="26">
        <f t="shared" si="7"/>
        <v>0</v>
      </c>
      <c r="H151" s="22"/>
    </row>
    <row r="152" ht="35" customHeight="1" spans="1:8">
      <c r="A152" s="19">
        <v>9</v>
      </c>
      <c r="B152" s="20" t="s">
        <v>283</v>
      </c>
      <c r="C152" s="20" t="s">
        <v>282</v>
      </c>
      <c r="D152" s="20" t="s">
        <v>39</v>
      </c>
      <c r="E152" s="20">
        <f>E149</f>
        <v>768</v>
      </c>
      <c r="F152" s="26"/>
      <c r="G152" s="26">
        <f t="shared" si="7"/>
        <v>0</v>
      </c>
      <c r="H152" s="22"/>
    </row>
    <row r="153" ht="35" customHeight="1" spans="1:8">
      <c r="A153" s="19">
        <v>10</v>
      </c>
      <c r="B153" s="20" t="s">
        <v>284</v>
      </c>
      <c r="C153" s="20" t="s">
        <v>285</v>
      </c>
      <c r="D153" s="20" t="s">
        <v>49</v>
      </c>
      <c r="E153" s="20">
        <f>ROUND((F3*G3-2)*E3/5.9,0)</f>
        <v>105</v>
      </c>
      <c r="F153" s="21"/>
      <c r="G153" s="26">
        <f t="shared" si="7"/>
        <v>0</v>
      </c>
      <c r="H153" s="22"/>
    </row>
    <row r="154" ht="35" customHeight="1" spans="1:8">
      <c r="A154" s="19">
        <v>11</v>
      </c>
      <c r="B154" s="20" t="s">
        <v>141</v>
      </c>
      <c r="C154" s="20" t="s">
        <v>286</v>
      </c>
      <c r="D154" s="20" t="s">
        <v>132</v>
      </c>
      <c r="E154" s="20">
        <f>E151</f>
        <v>480</v>
      </c>
      <c r="F154" s="26"/>
      <c r="G154" s="26">
        <f t="shared" si="7"/>
        <v>0</v>
      </c>
      <c r="H154" s="22"/>
    </row>
    <row r="155" ht="35" customHeight="1" spans="1:8">
      <c r="A155" s="19">
        <v>12</v>
      </c>
      <c r="B155" s="25" t="s">
        <v>119</v>
      </c>
      <c r="C155" s="25" t="s">
        <v>120</v>
      </c>
      <c r="D155" s="25" t="s">
        <v>49</v>
      </c>
      <c r="E155" s="25">
        <f>(F3*G3-2)*6/4*E3+8*G3+E3*20</f>
        <v>1258</v>
      </c>
      <c r="F155" s="21"/>
      <c r="G155" s="21">
        <f t="shared" si="7"/>
        <v>0</v>
      </c>
      <c r="H155" s="22" t="s">
        <v>121</v>
      </c>
    </row>
    <row r="156" ht="35" customHeight="1" spans="1:8">
      <c r="A156" s="19">
        <v>13</v>
      </c>
      <c r="B156" s="20" t="s">
        <v>122</v>
      </c>
      <c r="C156" s="20" t="s">
        <v>123</v>
      </c>
      <c r="D156" s="20" t="s">
        <v>49</v>
      </c>
      <c r="E156" s="20">
        <f>ROUND(E155*2.1,0)</f>
        <v>2642</v>
      </c>
      <c r="F156" s="26"/>
      <c r="G156" s="26">
        <f t="shared" si="7"/>
        <v>0</v>
      </c>
      <c r="H156" s="22"/>
    </row>
    <row r="157" ht="35" customHeight="1" spans="1:8">
      <c r="A157" s="19">
        <v>14</v>
      </c>
      <c r="B157" s="36" t="s">
        <v>287</v>
      </c>
      <c r="C157" s="20" t="s">
        <v>288</v>
      </c>
      <c r="D157" s="20" t="s">
        <v>49</v>
      </c>
      <c r="E157" s="20">
        <f>E3*4</f>
        <v>40</v>
      </c>
      <c r="F157" s="21"/>
      <c r="G157" s="26">
        <f t="shared" si="7"/>
        <v>0</v>
      </c>
      <c r="H157" s="22"/>
    </row>
    <row r="158" ht="35" customHeight="1" spans="1:8">
      <c r="A158" s="19">
        <v>15</v>
      </c>
      <c r="B158" s="37"/>
      <c r="C158" s="20" t="s">
        <v>289</v>
      </c>
      <c r="D158" s="20" t="s">
        <v>49</v>
      </c>
      <c r="E158" s="20">
        <f>E157</f>
        <v>40</v>
      </c>
      <c r="F158" s="21"/>
      <c r="G158" s="26">
        <f t="shared" si="7"/>
        <v>0</v>
      </c>
      <c r="H158" s="22"/>
    </row>
    <row r="159" ht="35" customHeight="1" spans="1:8">
      <c r="A159" s="19">
        <v>16</v>
      </c>
      <c r="B159" s="20" t="s">
        <v>290</v>
      </c>
      <c r="C159" s="20" t="s">
        <v>291</v>
      </c>
      <c r="D159" s="20" t="s">
        <v>132</v>
      </c>
      <c r="E159" s="20">
        <f>E157+E158</f>
        <v>80</v>
      </c>
      <c r="F159" s="26"/>
      <c r="G159" s="26">
        <f t="shared" si="7"/>
        <v>0</v>
      </c>
      <c r="H159" s="22"/>
    </row>
    <row r="160" ht="35" customHeight="1" spans="1:8">
      <c r="A160" s="19">
        <v>17</v>
      </c>
      <c r="B160" s="20" t="s">
        <v>125</v>
      </c>
      <c r="C160" s="20" t="s">
        <v>285</v>
      </c>
      <c r="D160" s="20" t="s">
        <v>49</v>
      </c>
      <c r="E160" s="20">
        <f>ROUND((F3*G3-2)/5.9*(E3+1)*2+(D3*E3*2-2.5*2)/5.9,0)</f>
        <v>257</v>
      </c>
      <c r="F160" s="21"/>
      <c r="G160" s="26">
        <f t="shared" si="7"/>
        <v>0</v>
      </c>
      <c r="H160" s="22"/>
    </row>
    <row r="161" ht="35" customHeight="1" spans="1:8">
      <c r="A161" s="19">
        <v>18</v>
      </c>
      <c r="B161" s="20" t="s">
        <v>292</v>
      </c>
      <c r="C161" s="20" t="s">
        <v>293</v>
      </c>
      <c r="D161" s="20" t="s">
        <v>49</v>
      </c>
      <c r="E161" s="20">
        <v>48</v>
      </c>
      <c r="F161" s="21"/>
      <c r="G161" s="26">
        <f t="shared" si="7"/>
        <v>0</v>
      </c>
      <c r="H161" s="22"/>
    </row>
    <row r="162" ht="35" customHeight="1" spans="1:8">
      <c r="A162" s="19">
        <v>19</v>
      </c>
      <c r="B162" s="20" t="s">
        <v>126</v>
      </c>
      <c r="C162" s="20" t="s">
        <v>127</v>
      </c>
      <c r="D162" s="20" t="s">
        <v>90</v>
      </c>
      <c r="E162" s="20">
        <f>E163+E164</f>
        <v>32</v>
      </c>
      <c r="F162" s="26"/>
      <c r="G162" s="21">
        <f t="shared" si="7"/>
        <v>0</v>
      </c>
      <c r="H162" s="22"/>
    </row>
    <row r="163" ht="35" customHeight="1" spans="1:8">
      <c r="A163" s="19">
        <v>20</v>
      </c>
      <c r="B163" s="20" t="s">
        <v>128</v>
      </c>
      <c r="C163" s="20" t="s">
        <v>129</v>
      </c>
      <c r="D163" s="20" t="s">
        <v>90</v>
      </c>
      <c r="E163" s="20">
        <f>E3*2</f>
        <v>20</v>
      </c>
      <c r="F163" s="21"/>
      <c r="G163" s="21">
        <f t="shared" si="7"/>
        <v>0</v>
      </c>
      <c r="H163" s="22" t="s">
        <v>71</v>
      </c>
    </row>
    <row r="164" ht="35" customHeight="1" spans="1:8">
      <c r="A164" s="19">
        <v>21</v>
      </c>
      <c r="B164" s="20" t="s">
        <v>130</v>
      </c>
      <c r="C164" s="20" t="s">
        <v>131</v>
      </c>
      <c r="D164" s="20" t="s">
        <v>132</v>
      </c>
      <c r="E164" s="20">
        <v>12</v>
      </c>
      <c r="F164" s="26"/>
      <c r="G164" s="21">
        <f t="shared" si="7"/>
        <v>0</v>
      </c>
      <c r="H164" s="22"/>
    </row>
    <row r="165" ht="35" customHeight="1" spans="1:8">
      <c r="A165" s="19">
        <v>22</v>
      </c>
      <c r="B165" s="20" t="s">
        <v>133</v>
      </c>
      <c r="C165" s="20" t="s">
        <v>134</v>
      </c>
      <c r="D165" s="20" t="s">
        <v>49</v>
      </c>
      <c r="E165" s="20">
        <f>E164</f>
        <v>12</v>
      </c>
      <c r="F165" s="21"/>
      <c r="G165" s="21">
        <f t="shared" si="7"/>
        <v>0</v>
      </c>
      <c r="H165" s="22" t="s">
        <v>71</v>
      </c>
    </row>
    <row r="166" ht="35" customHeight="1" spans="1:8">
      <c r="A166" s="19">
        <v>23</v>
      </c>
      <c r="B166" s="36" t="s">
        <v>139</v>
      </c>
      <c r="C166" s="20" t="s">
        <v>140</v>
      </c>
      <c r="D166" s="20" t="s">
        <v>132</v>
      </c>
      <c r="E166" s="20">
        <f>E160*6/0.5</f>
        <v>3084</v>
      </c>
      <c r="F166" s="26"/>
      <c r="G166" s="26">
        <f t="shared" si="7"/>
        <v>0</v>
      </c>
      <c r="H166" s="22"/>
    </row>
    <row r="167" ht="35" customHeight="1" spans="1:8">
      <c r="A167" s="19">
        <v>24</v>
      </c>
      <c r="B167" s="36" t="s">
        <v>139</v>
      </c>
      <c r="C167" s="20" t="s">
        <v>294</v>
      </c>
      <c r="D167" s="20" t="s">
        <v>132</v>
      </c>
      <c r="E167" s="20">
        <f>E161*6/0.5</f>
        <v>576</v>
      </c>
      <c r="F167" s="26"/>
      <c r="G167" s="26">
        <f t="shared" si="7"/>
        <v>0</v>
      </c>
      <c r="H167" s="22"/>
    </row>
    <row r="168" ht="35" customHeight="1" spans="1:8">
      <c r="A168" s="19">
        <v>25</v>
      </c>
      <c r="B168" s="20" t="s">
        <v>159</v>
      </c>
      <c r="C168" s="20" t="s">
        <v>160</v>
      </c>
      <c r="D168" s="20" t="s">
        <v>49</v>
      </c>
      <c r="E168" s="20">
        <v>2</v>
      </c>
      <c r="F168" s="21"/>
      <c r="G168" s="21">
        <f t="shared" si="7"/>
        <v>0</v>
      </c>
      <c r="H168" s="22" t="s">
        <v>55</v>
      </c>
    </row>
    <row r="169" ht="35" customHeight="1" spans="1:8">
      <c r="A169" s="19">
        <v>26</v>
      </c>
      <c r="B169" s="20" t="s">
        <v>295</v>
      </c>
      <c r="C169" s="20" t="s">
        <v>296</v>
      </c>
      <c r="D169" s="20" t="s">
        <v>163</v>
      </c>
      <c r="E169" s="20">
        <v>2</v>
      </c>
      <c r="F169" s="21"/>
      <c r="G169" s="21">
        <f t="shared" si="7"/>
        <v>0</v>
      </c>
      <c r="H169" s="22" t="s">
        <v>164</v>
      </c>
    </row>
    <row r="170" ht="35" customHeight="1" spans="1:8">
      <c r="A170" s="19">
        <v>27</v>
      </c>
      <c r="B170" s="20" t="s">
        <v>145</v>
      </c>
      <c r="C170" s="27" t="s">
        <v>146</v>
      </c>
      <c r="D170" s="20" t="s">
        <v>90</v>
      </c>
      <c r="E170" s="20">
        <f>E3*2</f>
        <v>20</v>
      </c>
      <c r="F170" s="26"/>
      <c r="G170" s="26">
        <f t="shared" si="7"/>
        <v>0</v>
      </c>
      <c r="H170" s="22"/>
    </row>
    <row r="171" ht="35" customHeight="1" spans="1:8">
      <c r="A171" s="19">
        <v>28</v>
      </c>
      <c r="B171" s="20" t="s">
        <v>262</v>
      </c>
      <c r="C171" s="20"/>
      <c r="D171" s="20" t="s">
        <v>297</v>
      </c>
      <c r="E171" s="20">
        <f>H3</f>
        <v>5120</v>
      </c>
      <c r="F171" s="26"/>
      <c r="G171" s="26">
        <f t="shared" si="7"/>
        <v>0</v>
      </c>
      <c r="H171" s="22"/>
    </row>
    <row r="172" ht="35" customHeight="1" spans="1:8">
      <c r="A172" s="19">
        <v>29</v>
      </c>
      <c r="B172" s="13" t="s">
        <v>298</v>
      </c>
      <c r="C172" s="20"/>
      <c r="D172" s="20"/>
      <c r="E172" s="20"/>
      <c r="F172" s="21"/>
      <c r="G172" s="14">
        <f>SUM(G144:G171)</f>
        <v>0</v>
      </c>
      <c r="H172" s="22"/>
    </row>
    <row r="173" ht="35" customHeight="1" spans="1:8">
      <c r="A173" s="47" t="s">
        <v>299</v>
      </c>
      <c r="B173" s="48"/>
      <c r="C173" s="48"/>
      <c r="D173" s="48"/>
      <c r="E173" s="48"/>
      <c r="F173" s="49"/>
      <c r="G173" s="49"/>
      <c r="H173" s="50"/>
    </row>
    <row r="174" ht="35" customHeight="1" spans="1:8">
      <c r="A174" s="51">
        <v>1</v>
      </c>
      <c r="B174" s="52" t="s">
        <v>300</v>
      </c>
      <c r="C174" s="52" t="s">
        <v>301</v>
      </c>
      <c r="D174" s="52" t="s">
        <v>302</v>
      </c>
      <c r="E174" s="52">
        <v>20</v>
      </c>
      <c r="F174" s="21"/>
      <c r="G174" s="53">
        <f t="shared" ref="G174:G178" si="8">E174*F174</f>
        <v>0</v>
      </c>
      <c r="H174" s="54" t="s">
        <v>156</v>
      </c>
    </row>
    <row r="175" ht="35" customHeight="1" spans="1:8">
      <c r="A175" s="51">
        <v>2</v>
      </c>
      <c r="B175" s="52" t="s">
        <v>303</v>
      </c>
      <c r="C175" s="52" t="s">
        <v>304</v>
      </c>
      <c r="D175" s="52" t="s">
        <v>166</v>
      </c>
      <c r="E175" s="52">
        <v>133.2</v>
      </c>
      <c r="F175" s="21"/>
      <c r="G175" s="53">
        <f t="shared" si="8"/>
        <v>0</v>
      </c>
      <c r="H175" s="54" t="s">
        <v>156</v>
      </c>
    </row>
    <row r="176" ht="35" customHeight="1" spans="1:8">
      <c r="A176" s="51">
        <v>3</v>
      </c>
      <c r="B176" s="52" t="s">
        <v>305</v>
      </c>
      <c r="C176" s="55" t="s">
        <v>306</v>
      </c>
      <c r="D176" s="52" t="s">
        <v>302</v>
      </c>
      <c r="E176" s="52">
        <v>2</v>
      </c>
      <c r="F176" s="21"/>
      <c r="G176" s="53">
        <f t="shared" si="8"/>
        <v>0</v>
      </c>
      <c r="H176" s="56"/>
    </row>
    <row r="177" ht="35" customHeight="1" spans="1:8">
      <c r="A177" s="51">
        <v>4</v>
      </c>
      <c r="B177" s="52" t="s">
        <v>307</v>
      </c>
      <c r="C177" s="52" t="s">
        <v>308</v>
      </c>
      <c r="D177" s="52" t="s">
        <v>132</v>
      </c>
      <c r="E177" s="52">
        <f>E176</f>
        <v>2</v>
      </c>
      <c r="F177" s="21"/>
      <c r="G177" s="53">
        <f t="shared" si="8"/>
        <v>0</v>
      </c>
      <c r="H177" s="56"/>
    </row>
    <row r="178" ht="35" customHeight="1" spans="1:8">
      <c r="A178" s="51">
        <v>5</v>
      </c>
      <c r="B178" s="32" t="s">
        <v>309</v>
      </c>
      <c r="C178" s="32" t="s">
        <v>310</v>
      </c>
      <c r="D178" s="32" t="s">
        <v>90</v>
      </c>
      <c r="E178" s="52">
        <f>E176</f>
        <v>2</v>
      </c>
      <c r="F178" s="21"/>
      <c r="G178" s="53">
        <f t="shared" si="8"/>
        <v>0</v>
      </c>
      <c r="H178" s="54"/>
    </row>
    <row r="179" ht="35" customHeight="1" spans="1:8">
      <c r="A179" s="51">
        <v>6</v>
      </c>
      <c r="B179" s="57" t="s">
        <v>311</v>
      </c>
      <c r="C179" s="32"/>
      <c r="D179" s="32"/>
      <c r="E179" s="32"/>
      <c r="F179" s="53"/>
      <c r="G179" s="58">
        <f>SUM(G174:G178)</f>
        <v>0</v>
      </c>
      <c r="H179" s="54"/>
    </row>
    <row r="180" ht="35" customHeight="1" spans="1:8">
      <c r="A180" s="12" t="s">
        <v>312</v>
      </c>
      <c r="B180" s="13"/>
      <c r="C180" s="13"/>
      <c r="D180" s="13"/>
      <c r="E180" s="13"/>
      <c r="F180" s="14"/>
      <c r="G180" s="14"/>
      <c r="H180" s="15"/>
    </row>
    <row r="181" ht="60" customHeight="1" spans="1:8">
      <c r="A181" s="59">
        <v>1</v>
      </c>
      <c r="B181" s="20" t="s">
        <v>313</v>
      </c>
      <c r="C181" s="32" t="s">
        <v>314</v>
      </c>
      <c r="D181" s="20" t="s">
        <v>302</v>
      </c>
      <c r="E181" s="20">
        <v>1</v>
      </c>
      <c r="F181" s="21"/>
      <c r="G181" s="21">
        <f t="shared" ref="G181:G185" si="9">E181*F181</f>
        <v>0</v>
      </c>
      <c r="H181" s="22"/>
    </row>
    <row r="182" ht="35" customHeight="1" spans="1:8">
      <c r="A182" s="59">
        <v>3</v>
      </c>
      <c r="B182" s="20" t="s">
        <v>315</v>
      </c>
      <c r="C182" s="20" t="s">
        <v>316</v>
      </c>
      <c r="D182" s="20" t="s">
        <v>317</v>
      </c>
      <c r="E182" s="20">
        <v>130</v>
      </c>
      <c r="F182" s="21"/>
      <c r="G182" s="21">
        <f t="shared" si="9"/>
        <v>0</v>
      </c>
      <c r="H182" s="22" t="s">
        <v>318</v>
      </c>
    </row>
    <row r="183" ht="35" customHeight="1" spans="1:8">
      <c r="A183" s="59">
        <v>4</v>
      </c>
      <c r="B183" s="20" t="s">
        <v>315</v>
      </c>
      <c r="C183" s="20" t="s">
        <v>319</v>
      </c>
      <c r="D183" s="20" t="s">
        <v>317</v>
      </c>
      <c r="E183" s="20">
        <v>460</v>
      </c>
      <c r="F183" s="21"/>
      <c r="G183" s="21">
        <f t="shared" si="9"/>
        <v>0</v>
      </c>
      <c r="H183" s="22" t="s">
        <v>320</v>
      </c>
    </row>
    <row r="184" ht="35" customHeight="1" spans="1:8">
      <c r="A184" s="59">
        <v>5</v>
      </c>
      <c r="B184" s="20" t="s">
        <v>315</v>
      </c>
      <c r="C184" s="20" t="s">
        <v>321</v>
      </c>
      <c r="D184" s="20" t="s">
        <v>317</v>
      </c>
      <c r="E184" s="20">
        <v>480</v>
      </c>
      <c r="F184" s="21"/>
      <c r="G184" s="21">
        <f t="shared" si="9"/>
        <v>0</v>
      </c>
      <c r="H184" s="22" t="s">
        <v>322</v>
      </c>
    </row>
    <row r="185" ht="35" customHeight="1" spans="1:8">
      <c r="A185" s="59">
        <v>8</v>
      </c>
      <c r="B185" s="25" t="s">
        <v>323</v>
      </c>
      <c r="C185" s="25" t="s">
        <v>324</v>
      </c>
      <c r="D185" s="25" t="s">
        <v>325</v>
      </c>
      <c r="E185" s="25">
        <v>1</v>
      </c>
      <c r="F185" s="21"/>
      <c r="G185" s="21">
        <f t="shared" si="9"/>
        <v>0</v>
      </c>
      <c r="H185" s="40"/>
    </row>
    <row r="186" ht="35" customHeight="1" spans="1:8">
      <c r="A186" s="59">
        <v>9</v>
      </c>
      <c r="B186" s="41" t="s">
        <v>326</v>
      </c>
      <c r="C186" s="25"/>
      <c r="D186" s="25"/>
      <c r="E186" s="25"/>
      <c r="F186" s="21"/>
      <c r="G186" s="14">
        <f>SUM(G181:G185)</f>
        <v>0</v>
      </c>
      <c r="H186" s="40"/>
    </row>
    <row r="187" ht="35" customHeight="1" spans="1:8">
      <c r="A187" s="12" t="s">
        <v>327</v>
      </c>
      <c r="B187" s="60" t="s">
        <v>328</v>
      </c>
      <c r="C187" s="60"/>
      <c r="D187" s="60"/>
      <c r="E187" s="60"/>
      <c r="F187" s="60"/>
      <c r="G187" s="60"/>
      <c r="H187" s="61"/>
    </row>
    <row r="188" ht="35" customHeight="1" spans="1:8">
      <c r="A188" s="12"/>
      <c r="B188" s="20" t="s">
        <v>329</v>
      </c>
      <c r="C188" s="20"/>
      <c r="D188" s="20" t="s">
        <v>297</v>
      </c>
      <c r="E188" s="20">
        <f>H3</f>
        <v>5120</v>
      </c>
      <c r="F188" s="21"/>
      <c r="G188" s="14">
        <f t="shared" ref="G188:G192" si="10">E188*F188</f>
        <v>0</v>
      </c>
      <c r="H188" s="22"/>
    </row>
    <row r="189" ht="35" customHeight="1" spans="1:8">
      <c r="A189" s="12" t="s">
        <v>330</v>
      </c>
      <c r="B189" s="60" t="s">
        <v>331</v>
      </c>
      <c r="C189" s="60"/>
      <c r="D189" s="60"/>
      <c r="E189" s="60"/>
      <c r="F189" s="60"/>
      <c r="G189" s="60"/>
      <c r="H189" s="61"/>
    </row>
    <row r="190" ht="35" customHeight="1" spans="1:8">
      <c r="A190" s="12"/>
      <c r="B190" s="20" t="s">
        <v>332</v>
      </c>
      <c r="C190" s="62"/>
      <c r="D190" s="20" t="s">
        <v>297</v>
      </c>
      <c r="E190" s="20">
        <f>H3</f>
        <v>5120</v>
      </c>
      <c r="F190" s="21"/>
      <c r="G190" s="14">
        <f t="shared" si="10"/>
        <v>0</v>
      </c>
      <c r="H190" s="22"/>
    </row>
    <row r="191" ht="35" customHeight="1" spans="1:8">
      <c r="A191" s="12" t="s">
        <v>333</v>
      </c>
      <c r="B191" s="63" t="s">
        <v>334</v>
      </c>
      <c r="C191" s="63"/>
      <c r="D191" s="63"/>
      <c r="E191" s="63"/>
      <c r="F191" s="63"/>
      <c r="G191" s="63"/>
      <c r="H191" s="64"/>
    </row>
    <row r="192" ht="35" customHeight="1" spans="1:8">
      <c r="A192" s="65"/>
      <c r="B192" s="20" t="s">
        <v>335</v>
      </c>
      <c r="C192" s="20" t="s">
        <v>336</v>
      </c>
      <c r="D192" s="20" t="s">
        <v>297</v>
      </c>
      <c r="E192" s="20">
        <f>H3</f>
        <v>5120</v>
      </c>
      <c r="F192" s="21"/>
      <c r="G192" s="14">
        <f t="shared" si="10"/>
        <v>0</v>
      </c>
      <c r="H192" s="22"/>
    </row>
    <row r="193" ht="35" customHeight="1" spans="1:8">
      <c r="A193" s="66" t="s">
        <v>337</v>
      </c>
      <c r="B193" s="67" t="s">
        <v>338</v>
      </c>
      <c r="C193" s="68">
        <f>G9+G63+G85+G118+G142+G172+G179+G186+G188+G190+G192</f>
        <v>0</v>
      </c>
      <c r="D193" s="69"/>
      <c r="E193" s="69"/>
      <c r="F193" s="69"/>
      <c r="G193" s="69"/>
      <c r="H193" s="70"/>
    </row>
  </sheetData>
  <mergeCells count="26">
    <mergeCell ref="A1:H1"/>
    <mergeCell ref="A5:H5"/>
    <mergeCell ref="A10:H10"/>
    <mergeCell ref="A64:H64"/>
    <mergeCell ref="A86:H86"/>
    <mergeCell ref="A119:H119"/>
    <mergeCell ref="A143:H143"/>
    <mergeCell ref="A173:H173"/>
    <mergeCell ref="A180:H180"/>
    <mergeCell ref="B187:H187"/>
    <mergeCell ref="B189:H189"/>
    <mergeCell ref="B191:H191"/>
    <mergeCell ref="C193:H193"/>
    <mergeCell ref="B12:B13"/>
    <mergeCell ref="B68:B69"/>
    <mergeCell ref="B71:B73"/>
    <mergeCell ref="B77:B79"/>
    <mergeCell ref="B80:B81"/>
    <mergeCell ref="B82:B84"/>
    <mergeCell ref="B149:B150"/>
    <mergeCell ref="B157:B158"/>
    <mergeCell ref="H65:H70"/>
    <mergeCell ref="H71:H73"/>
    <mergeCell ref="H74:H81"/>
    <mergeCell ref="H82:H85"/>
    <mergeCell ref="A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WPS_1661311501</cp:lastModifiedBy>
  <dcterms:created xsi:type="dcterms:W3CDTF">2017-05-22T08:48:00Z</dcterms:created>
  <dcterms:modified xsi:type="dcterms:W3CDTF">2025-04-21T02:39:04Z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16DB6768673A47369D8B56965F51F953</vt:lpwstr>
  </property>
  <property fmtid="{D5CDD505-2E9C-101B-9397-08002B2CF9AE}" pid="4" name="KSOReadingLayout">
    <vt:bool>true</vt:bool>
  </property>
</Properties>
</file>