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activeTab="1"/>
  </bookViews>
  <sheets>
    <sheet name="总表" sheetId="1" r:id="rId1"/>
    <sheet name="面积表" sheetId="2" r:id="rId2"/>
    <sheet name="行道树" sheetId="3" r:id="rId3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君威电商移交面积确定更改</t>
        </r>
      </text>
    </comment>
    <comment ref="B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由原锡霞路标段并入3442㎡，其中色块511㎡，林带2931㎡。</t>
        </r>
      </text>
    </comment>
    <comment ref="D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其中9071㎡原先为林带面积，改造种植的麦冬。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由新锡路（半夜帮桥-伯渎河）及新锡路（伯渎河-312国道）2段合并汇总</t>
        </r>
      </text>
    </comment>
    <comment ref="B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招标清单内漏项，按照现场实际清点</t>
        </r>
      </text>
    </comment>
  </commentList>
</comments>
</file>

<file path=xl/sharedStrings.xml><?xml version="1.0" encoding="utf-8"?>
<sst xmlns="http://schemas.openxmlformats.org/spreadsheetml/2006/main" count="741" uniqueCount="172">
  <si>
    <t>2026-2028年新吴区绿化养护项目（四标段）总价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</si>
  <si>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</si>
  <si>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</si>
  <si>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</si>
  <si>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</si>
  <si>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</si>
  <si>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</si>
  <si>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</si>
  <si>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</si>
  <si>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</si>
  <si>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四标</t>
  </si>
  <si>
    <t xml:space="preserve">    2026-2028年新吴区绿化养护项目（四标段）绿地养护路段明细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</si>
  <si>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</si>
  <si>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</si>
  <si>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</si>
  <si>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</si>
  <si>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</si>
  <si>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</si>
  <si>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</si>
  <si>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</si>
  <si>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</si>
  <si>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</si>
  <si>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</si>
  <si>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</si>
  <si>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</si>
  <si>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</si>
  <si>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</si>
  <si>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</si>
  <si>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</si>
  <si>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</si>
  <si>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</si>
  <si>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</si>
  <si>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</si>
  <si>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</si>
  <si>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</si>
  <si>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</si>
  <si>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纺城大道（东安路-团结南路）</t>
  </si>
  <si>
    <t>一级道路</t>
  </si>
  <si>
    <r>
      <rPr>
        <sz val="11"/>
        <color theme="1"/>
        <rFont val="宋体"/>
        <charset val="134"/>
        <scheme val="minor"/>
      </rPr>
      <t>锡山大</t>
    </r>
    <r>
      <rPr>
        <sz val="11"/>
        <rFont val="宋体"/>
        <charset val="134"/>
        <scheme val="minor"/>
      </rPr>
      <t>道（新洲路-竹园浜</t>
    </r>
    <r>
      <rPr>
        <sz val="11"/>
        <color theme="1"/>
        <rFont val="宋体"/>
        <charset val="134"/>
        <scheme val="minor"/>
      </rPr>
      <t>桥）</t>
    </r>
  </si>
  <si>
    <t>金城东路（新锡路-纺城大道）；林带（团结路-新锡路）两测</t>
  </si>
  <si>
    <t>新锡路（半夜浜桥-312国道）</t>
  </si>
  <si>
    <t>高浪路（伯渎河-沪宁高速；含新锡路）</t>
  </si>
  <si>
    <t>泰伯大道（春华路-新华路）</t>
  </si>
  <si>
    <t>东安路（纺城大道-杜正路）</t>
  </si>
  <si>
    <t>锡梅路（泰伯大道-新韵路）</t>
  </si>
  <si>
    <t>经一路（新梅路-华友中路）</t>
  </si>
  <si>
    <t>待移交</t>
  </si>
  <si>
    <t>新华路（312国道-梅育路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</si>
  <si>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</si>
  <si>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</si>
  <si>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</si>
  <si>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</si>
  <si>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梅西路（梅育路-锡梅路）</t>
  </si>
  <si>
    <t>二级道路</t>
  </si>
  <si>
    <t>锡霞路（新祥路-新洲路）</t>
  </si>
  <si>
    <t>新祥路（312国道-中兴电力）</t>
  </si>
  <si>
    <t>新洲路（312国道-沪宁高速）</t>
  </si>
  <si>
    <t>梅育路（新锡路-凤凰浜）；（新洲路-梅西路）北侧；（新华路-新锡路）北侧</t>
  </si>
  <si>
    <t>锡协路（新华路-新锦路）</t>
  </si>
  <si>
    <t>新友南路（梅育路—锡协路）</t>
  </si>
  <si>
    <t>新锦路（锡协路-梅育路）</t>
  </si>
  <si>
    <t>二级养护单价限价（元/㎡或盆）</t>
  </si>
  <si>
    <t>二级养护单价报价（元/㎡或盆）</t>
  </si>
  <si>
    <t>二级养护合计面积（㎡、盆）</t>
  </si>
  <si>
    <t>二级养护合计（元）</t>
  </si>
  <si>
    <t>一级、二级合计总面积（㎡、盆）</t>
  </si>
  <si>
    <t>一级、二级合计年养护费（元）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</si>
  <si>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</si>
  <si>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</si>
  <si>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</si>
  <si>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</si>
  <si>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</si>
  <si>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</si>
  <si>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</si>
  <si>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</si>
  <si>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</si>
  <si>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</si>
  <si>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</si>
  <si>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</si>
  <si>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</si>
  <si>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</si>
  <si>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 xml:space="preserve"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
</t>
  </si>
  <si>
    <t>2026-2028年新吴区绿化养护项目（四标段）行道树明细</t>
  </si>
  <si>
    <t>绿地名称</t>
  </si>
  <si>
    <t>纺城大道（团结路-东安路）</t>
  </si>
  <si>
    <t>一级养护限价（元）</t>
  </si>
  <si>
    <t>一级养护报价（元）</t>
  </si>
  <si>
    <t>总价（元）</t>
  </si>
  <si>
    <t>单位</t>
  </si>
  <si>
    <t>苗木分类</t>
  </si>
  <si>
    <t>规格</t>
  </si>
  <si>
    <t>苗木品种及数量</t>
  </si>
  <si>
    <t>小计</t>
  </si>
  <si>
    <t>常绿乔木（株）</t>
  </si>
  <si>
    <t>胸径10cm以下</t>
  </si>
  <si>
    <t>不论品种</t>
  </si>
  <si>
    <t>落叶乔木（株）</t>
  </si>
  <si>
    <t>20cm以下</t>
  </si>
  <si>
    <t>无患子178+栾树95</t>
  </si>
  <si>
    <t>30cm以下</t>
  </si>
  <si>
    <t>香樟84</t>
  </si>
  <si>
    <t>无患子8+栾树123</t>
  </si>
  <si>
    <t>40cm以下</t>
  </si>
  <si>
    <t>香樟150</t>
  </si>
  <si>
    <t>栾树47</t>
  </si>
  <si>
    <t>50cm以下</t>
  </si>
  <si>
    <t>香樟42+香樟28</t>
  </si>
  <si>
    <t>锡山大道（竹园浜桥-新洲路）</t>
  </si>
  <si>
    <t>无患子1421</t>
  </si>
  <si>
    <t>香樟318</t>
  </si>
  <si>
    <t>无患子197</t>
  </si>
  <si>
    <t>香樟3</t>
  </si>
  <si>
    <t>金城东路（纺城大道-张公路）</t>
  </si>
  <si>
    <t>法梧15+栾树85+无患子74+重阳木74</t>
  </si>
  <si>
    <t>香樟162</t>
  </si>
  <si>
    <t>法梧223+栾树89+重阳木76</t>
  </si>
  <si>
    <t>栾树3</t>
  </si>
  <si>
    <t>香樟138</t>
  </si>
  <si>
    <t>槐树52+椿树38+银杏88</t>
  </si>
  <si>
    <t>香樟240</t>
  </si>
  <si>
    <t>栾树837+无患子46</t>
  </si>
  <si>
    <t>香樟103</t>
  </si>
  <si>
    <t>高浪路（伯渎河-沪宁高速）</t>
  </si>
  <si>
    <t>常绿行道树（株）</t>
  </si>
  <si>
    <t>落叶行道树（株）</t>
  </si>
  <si>
    <t>栾树65</t>
  </si>
  <si>
    <t>栾树111</t>
  </si>
  <si>
    <t>独杆女贞114</t>
  </si>
  <si>
    <t>无患子196</t>
  </si>
  <si>
    <t>香樟4</t>
  </si>
  <si>
    <t>锡梅路（新洲路-泰伯大道）</t>
  </si>
  <si>
    <t>独杆女贞83</t>
  </si>
  <si>
    <t>国槐164</t>
  </si>
  <si>
    <t>香樟271+女贞65+广玉兰60</t>
  </si>
  <si>
    <t>国槐675</t>
  </si>
  <si>
    <t>香樟225</t>
  </si>
  <si>
    <t>国槐47</t>
  </si>
  <si>
    <t>新华路（梅育路-312国道）</t>
  </si>
  <si>
    <t>栾树38</t>
  </si>
  <si>
    <t>香樟74</t>
  </si>
  <si>
    <t>栾树44</t>
  </si>
  <si>
    <t>香樟52</t>
  </si>
  <si>
    <t>栾树14</t>
  </si>
  <si>
    <t>二级养护限价（元）</t>
  </si>
  <si>
    <t>二级养护报价（元）</t>
  </si>
  <si>
    <t>无患子194</t>
  </si>
  <si>
    <t>无患子122</t>
  </si>
  <si>
    <t>锡霞路（新洲路-新祥路）含新祥路机电园</t>
  </si>
  <si>
    <t>香樟24</t>
  </si>
  <si>
    <t>香樟165</t>
  </si>
  <si>
    <t>香樟79</t>
  </si>
  <si>
    <t>新祥路（312国道-锡霞路）</t>
  </si>
  <si>
    <t>香樟2</t>
  </si>
  <si>
    <t>香樟38</t>
  </si>
  <si>
    <t>香樟16</t>
  </si>
  <si>
    <t>香樟64</t>
  </si>
  <si>
    <t>梅育路（新锡路-凤凰浜）</t>
  </si>
  <si>
    <t>香樟98+香樟149</t>
  </si>
  <si>
    <t>香樟135</t>
  </si>
  <si>
    <t>锡协路（锡梅路-新锦路）</t>
  </si>
  <si>
    <t>香樟248</t>
  </si>
  <si>
    <t>香樟234</t>
  </si>
  <si>
    <t>香樟87</t>
  </si>
  <si>
    <t>新友南路（梅育路-锡协路）</t>
  </si>
  <si>
    <t>香樟123</t>
  </si>
  <si>
    <t>香樟62</t>
  </si>
  <si>
    <t>新锦路（锡协路-泰伯大道）</t>
  </si>
  <si>
    <t>香樟117</t>
  </si>
  <si>
    <t>香樟125</t>
  </si>
  <si>
    <t>行道树数量合计</t>
  </si>
  <si>
    <t>总价合计（元）</t>
  </si>
  <si>
    <r>
      <rPr>
        <b/>
        <sz val="11"/>
        <rFont val="宋体"/>
        <charset val="134"/>
        <scheme val="minor"/>
      </rP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</si>
</sst>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_ "/>
    <numFmt numFmtId="179" formatCode="0.00_);[Red]\(0.00\)"/>
    <numFmt numFmtId="180" formatCode="0_);[Red]\(0\)"/>
  </numFmts>
  <fonts count="4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微软雅黑"/>
      <charset val="134"/>
    </font>
    <font>
      <b/>
      <sz val="12"/>
      <name val="SimSun"/>
      <charset val="134"/>
    </font>
    <font>
      <sz val="10"/>
      <name val="宋体"/>
      <charset val="134"/>
      <scheme val="minor"/>
    </font>
    <font>
      <sz val="12"/>
      <name val="SimSun"/>
      <charset val="134"/>
    </font>
    <font>
      <b/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41" fillId="0" borderId="0"/>
  </cellStyleXfs>
  <cellXfs count="9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 readingOrder="1"/>
    </xf>
    <xf numFmtId="177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2" borderId="2" xfId="0" applyFont="1" applyFill="1" applyBorder="1" applyProtection="1">
      <alignment vertical="center"/>
      <protection locked="0"/>
    </xf>
    <xf numFmtId="177" fontId="10" fillId="0" borderId="2" xfId="0" applyNumberFormat="1" applyFont="1" applyFill="1" applyBorder="1" applyAlignment="1">
      <alignment horizontal="center" vertical="center" wrapText="1" readingOrder="1"/>
    </xf>
    <xf numFmtId="177" fontId="10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178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176" fontId="12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79" fontId="12" fillId="0" borderId="2" xfId="49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76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179" fontId="0" fillId="0" borderId="3" xfId="0" applyNumberFormat="1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2" borderId="2" xfId="0" applyNumberFormat="1" applyFont="1" applyFill="1" applyBorder="1" applyAlignment="1" applyProtection="1">
      <alignment horizontal="center" vertical="center"/>
      <protection locked="0"/>
    </xf>
    <xf numFmtId="179" fontId="18" fillId="0" borderId="2" xfId="5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9" fontId="19" fillId="0" borderId="2" xfId="51" applyNumberFormat="1" applyFont="1" applyFill="1" applyBorder="1" applyAlignment="1" applyProtection="1">
      <alignment horizontal="center" vertical="center" wrapText="1"/>
      <protection locked="0"/>
    </xf>
    <xf numFmtId="179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180" fontId="20" fillId="0" borderId="2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中标单价汇总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08;&#26631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面积表"/>
      <sheetName val="行道树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opLeftCell="C1" workbookViewId="0">
      <selection activeCell="G2" sqref="G2:J3"/>
    </sheetView>
  </sheetViews>
  <sheetFormatPr defaultColWidth="9" defaultRowHeight="14" outlineLevelRow="2"/>
  <cols>
    <col min="1" max="1" width="9.44545454545455" style="50" customWidth="1"/>
    <col min="2" max="2" width="11.1272727272727" style="50" customWidth="1"/>
    <col min="3" max="4" width="24.6272727272727" style="50" customWidth="1"/>
    <col min="5" max="7" width="21.6636363636364" style="50" customWidth="1"/>
    <col min="8" max="8" width="25.0909090909091" style="50" customWidth="1"/>
    <col min="9" max="9" width="33" style="50" customWidth="1"/>
    <col min="10" max="10" width="23.7272727272727" style="50" customWidth="1"/>
    <col min="11" max="16384" width="9" style="50"/>
  </cols>
  <sheetData>
    <row r="1" s="50" customFormat="1" ht="33" customHeight="1" spans="1:10">
      <c r="A1" s="91" t="s">
        <v>0</v>
      </c>
      <c r="B1" s="91"/>
      <c r="C1" s="91"/>
      <c r="D1" s="91"/>
      <c r="E1" s="91"/>
      <c r="F1" s="91"/>
      <c r="G1" s="91"/>
      <c r="H1" s="91"/>
    </row>
    <row r="2" s="50" customFormat="1" ht="76.5" spans="1:10">
      <c r="A2" s="91" t="s">
        <v>1</v>
      </c>
      <c r="B2" s="92" t="s">
        <v>2</v>
      </c>
      <c r="C2" s="92" t="s">
        <v>3</v>
      </c>
      <c r="D2" s="92" t="s">
        <v>4</v>
      </c>
      <c r="E2" s="92" t="s">
        <v>5</v>
      </c>
      <c r="F2" s="92" t="s">
        <v>5</v>
      </c>
      <c r="G2" s="92" t="s">
        <v>6</v>
      </c>
      <c r="H2" s="92" t="s">
        <v>7</v>
      </c>
      <c r="I2" s="92" t="s">
        <v>8</v>
      </c>
      <c r="J2" s="92" t="s">
        <v>9</v>
      </c>
    </row>
    <row r="3" s="50" customFormat="1" ht="42" customHeight="1" spans="1:10">
      <c r="A3" s="91">
        <v>1</v>
      </c>
      <c r="B3" s="91" t="s">
        <v>10</v>
      </c>
      <c r="C3" s="93">
        <f>面积表!S31</f>
        <v>1149628.765</v>
      </c>
      <c r="D3" s="94">
        <f>面积表!S32</f>
        <v>0</v>
      </c>
      <c r="E3" s="95"/>
      <c r="F3" s="95">
        <f>[1]行道树!K115</f>
        <v>0</v>
      </c>
      <c r="G3" s="95">
        <v>240000</v>
      </c>
      <c r="H3" s="96"/>
      <c r="I3" s="95">
        <v>720000</v>
      </c>
      <c r="J3" s="96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"/>
  <sheetViews>
    <sheetView tabSelected="1" zoomScale="80" zoomScaleNormal="80" topLeftCell="A10" workbookViewId="0">
      <selection activeCell="M24" sqref="M24"/>
    </sheetView>
  </sheetViews>
  <sheetFormatPr defaultColWidth="8.87272727272727" defaultRowHeight="14"/>
  <cols>
    <col min="1" max="1" width="6.5" style="52" customWidth="1"/>
    <col min="2" max="2" width="38.8727272727273" style="50" customWidth="1"/>
    <col min="3" max="3" width="11.8727272727273" style="50" customWidth="1"/>
    <col min="4" max="4" width="13.7545454545455" style="50" customWidth="1"/>
    <col min="5" max="5" width="13.1272727272727" style="50" customWidth="1"/>
    <col min="6" max="6" width="14.2545454545455" style="50" customWidth="1"/>
    <col min="7" max="7" width="10.7545454545455" style="50" customWidth="1"/>
    <col min="8" max="9" width="13.8727272727273" style="50" customWidth="1"/>
    <col min="10" max="10" width="10.5" style="50" customWidth="1"/>
    <col min="11" max="11" width="9.75454545454545" style="50" customWidth="1"/>
    <col min="12" max="12" width="8.5" style="50" customWidth="1"/>
    <col min="13" max="13" width="9.62727272727273" style="50" customWidth="1"/>
    <col min="14" max="14" width="11.3727272727273" style="50" customWidth="1"/>
    <col min="15" max="15" width="10.3727272727273" style="50" customWidth="1"/>
    <col min="16" max="16" width="9.5" style="50" customWidth="1"/>
    <col min="17" max="17" width="12.5" style="50" customWidth="1"/>
    <col min="18" max="18" width="11.8727272727273" style="50" customWidth="1"/>
    <col min="19" max="19" width="18.7545454545455" style="50" customWidth="1"/>
    <col min="20" max="20" width="12.2727272727273" style="50" customWidth="1"/>
    <col min="21" max="21" width="27.8727272727273" style="50" customWidth="1"/>
    <col min="22" max="16384" width="8.87272727272727" style="50"/>
  </cols>
  <sheetData>
    <row r="1" s="50" customFormat="1" ht="60" customHeight="1" spans="1:21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="50" customFormat="1" ht="28.5" customHeight="1" spans="1:21">
      <c r="A2" s="54" t="s">
        <v>12</v>
      </c>
      <c r="B2" s="54"/>
      <c r="C2" s="55"/>
      <c r="D2" s="55"/>
      <c r="E2" s="55"/>
      <c r="F2" s="55"/>
      <c r="G2" s="55"/>
    </row>
    <row r="3" s="50" customFormat="1" ht="70" spans="1:21">
      <c r="A3" s="56" t="s">
        <v>1</v>
      </c>
      <c r="B3" s="56" t="s">
        <v>13</v>
      </c>
      <c r="C3" s="57" t="s">
        <v>14</v>
      </c>
      <c r="D3" s="57" t="s">
        <v>15</v>
      </c>
      <c r="E3" s="57" t="s">
        <v>16</v>
      </c>
      <c r="F3" s="57" t="s">
        <v>17</v>
      </c>
      <c r="G3" s="57" t="s">
        <v>18</v>
      </c>
      <c r="H3" s="57" t="s">
        <v>19</v>
      </c>
      <c r="I3" s="57" t="s">
        <v>20</v>
      </c>
      <c r="J3" s="57" t="s">
        <v>21</v>
      </c>
      <c r="K3" s="57" t="s">
        <v>22</v>
      </c>
      <c r="L3" s="57" t="s">
        <v>23</v>
      </c>
      <c r="M3" s="57" t="s">
        <v>24</v>
      </c>
      <c r="N3" s="57" t="s">
        <v>25</v>
      </c>
      <c r="O3" s="57" t="s">
        <v>26</v>
      </c>
      <c r="P3" s="57" t="s">
        <v>27</v>
      </c>
      <c r="Q3" s="57" t="s">
        <v>28</v>
      </c>
      <c r="R3" s="57" t="s">
        <v>29</v>
      </c>
      <c r="S3" s="57" t="s">
        <v>30</v>
      </c>
      <c r="T3" s="56" t="s">
        <v>31</v>
      </c>
      <c r="U3" s="58" t="s">
        <v>32</v>
      </c>
    </row>
    <row r="4" s="50" customFormat="1" ht="24" customHeight="1" spans="1:21">
      <c r="A4" s="56"/>
      <c r="B4" s="56"/>
      <c r="C4" s="56" t="s">
        <v>33</v>
      </c>
      <c r="D4" s="56" t="s">
        <v>33</v>
      </c>
      <c r="E4" s="56" t="s">
        <v>33</v>
      </c>
      <c r="F4" s="56" t="s">
        <v>33</v>
      </c>
      <c r="G4" s="56" t="s">
        <v>33</v>
      </c>
      <c r="H4" s="56" t="s">
        <v>34</v>
      </c>
      <c r="I4" s="56" t="s">
        <v>34</v>
      </c>
      <c r="J4" s="59" t="s">
        <v>35</v>
      </c>
      <c r="K4" s="56" t="s">
        <v>33</v>
      </c>
      <c r="L4" s="56" t="s">
        <v>33</v>
      </c>
      <c r="M4" s="56" t="s">
        <v>33</v>
      </c>
      <c r="N4" s="56" t="s">
        <v>33</v>
      </c>
      <c r="O4" s="56" t="s">
        <v>33</v>
      </c>
      <c r="P4" s="56" t="s">
        <v>33</v>
      </c>
      <c r="Q4" s="56" t="s">
        <v>33</v>
      </c>
      <c r="R4" s="56" t="s">
        <v>35</v>
      </c>
      <c r="S4" s="56" t="s">
        <v>33</v>
      </c>
      <c r="T4" s="56"/>
      <c r="U4" s="58"/>
    </row>
    <row r="5" s="50" customFormat="1" ht="27.95" customHeight="1" spans="1:21">
      <c r="A5" s="56">
        <v>1</v>
      </c>
      <c r="B5" s="57" t="s">
        <v>36</v>
      </c>
      <c r="C5" s="56">
        <f>22633.13+754+6500+546.8</f>
        <v>30433.93</v>
      </c>
      <c r="D5" s="56">
        <f>500</f>
        <v>500</v>
      </c>
      <c r="E5" s="56">
        <f>6369.84+852.2+876.4</f>
        <v>8098.44</v>
      </c>
      <c r="F5" s="56">
        <v>5184.65</v>
      </c>
      <c r="G5" s="56"/>
      <c r="H5" s="56"/>
      <c r="I5" s="56"/>
      <c r="J5" s="56"/>
      <c r="K5" s="56"/>
      <c r="L5" s="56"/>
      <c r="M5" s="56"/>
      <c r="N5" s="56">
        <f>0+2042</f>
        <v>2042</v>
      </c>
      <c r="O5" s="56"/>
      <c r="P5" s="56">
        <f>992.9+1706.75</f>
        <v>2699.65</v>
      </c>
      <c r="Q5" s="56">
        <v>550</v>
      </c>
      <c r="R5" s="56"/>
      <c r="S5" s="56">
        <f t="shared" ref="S5:S14" si="0">SUM(C5:Q5)-H5-I5+(H5+I5)*0.66*0.33-J5</f>
        <v>49508.67</v>
      </c>
      <c r="T5" s="56" t="s">
        <v>37</v>
      </c>
      <c r="U5" s="60"/>
    </row>
    <row r="6" s="50" customFormat="1" ht="27.95" customHeight="1" spans="1:21">
      <c r="A6" s="56">
        <v>2</v>
      </c>
      <c r="B6" s="57" t="s">
        <v>38</v>
      </c>
      <c r="C6" s="56">
        <f>56642.31-42523.31+55157+38725.16-3.35</f>
        <v>107997.81</v>
      </c>
      <c r="D6" s="56">
        <f>192-45+2074+10118.89</f>
        <v>12339.89</v>
      </c>
      <c r="E6" s="56">
        <f>5911.7-4281.7+7621+5625.83</f>
        <v>14876.83</v>
      </c>
      <c r="F6" s="56">
        <f>90-90</f>
        <v>0</v>
      </c>
      <c r="G6" s="56"/>
      <c r="H6" s="56"/>
      <c r="I6" s="56"/>
      <c r="J6" s="56"/>
      <c r="K6" s="56"/>
      <c r="L6" s="56">
        <f>2100</f>
        <v>2100</v>
      </c>
      <c r="M6" s="56"/>
      <c r="N6" s="56">
        <f>8222+1105</f>
        <v>9327</v>
      </c>
      <c r="O6" s="56"/>
      <c r="P6" s="56">
        <f>922.4+5275+3651.85</f>
        <v>9849.25</v>
      </c>
      <c r="Q6" s="56">
        <v>280</v>
      </c>
      <c r="R6" s="56"/>
      <c r="S6" s="56">
        <f t="shared" si="0"/>
        <v>156770.78</v>
      </c>
      <c r="T6" s="56" t="s">
        <v>37</v>
      </c>
      <c r="U6" s="60"/>
    </row>
    <row r="7" s="50" customFormat="1" ht="27.95" customHeight="1" spans="1:21">
      <c r="A7" s="56">
        <v>3</v>
      </c>
      <c r="B7" s="57" t="s">
        <v>39</v>
      </c>
      <c r="C7" s="56">
        <f>39408.8+7439+280.84-2435+2149.292</f>
        <v>46842.932</v>
      </c>
      <c r="D7" s="56">
        <v>145.41</v>
      </c>
      <c r="E7" s="56">
        <f>15294.65+311-276+273.666</f>
        <v>15603.316</v>
      </c>
      <c r="F7" s="56">
        <f>7530.76+7316</f>
        <v>14846.76</v>
      </c>
      <c r="G7" s="56">
        <v>15995.83</v>
      </c>
      <c r="H7" s="56"/>
      <c r="I7" s="56"/>
      <c r="J7" s="56"/>
      <c r="K7" s="56"/>
      <c r="L7" s="56"/>
      <c r="M7" s="56"/>
      <c r="N7" s="56"/>
      <c r="O7" s="56"/>
      <c r="P7" s="56">
        <f>410-410+358.461</f>
        <v>358.461</v>
      </c>
      <c r="Q7" s="56"/>
      <c r="R7" s="56"/>
      <c r="S7" s="56">
        <f t="shared" si="0"/>
        <v>93792.709</v>
      </c>
      <c r="T7" s="56" t="s">
        <v>37</v>
      </c>
      <c r="U7" s="60"/>
    </row>
    <row r="8" s="50" customFormat="1" ht="27.95" customHeight="1" spans="1:21">
      <c r="A8" s="56">
        <v>4</v>
      </c>
      <c r="B8" s="57" t="s">
        <v>40</v>
      </c>
      <c r="C8" s="56">
        <f>75189.39+25166.44</f>
        <v>100355.83</v>
      </c>
      <c r="D8" s="56">
        <f>1835.74+3417.26</f>
        <v>5253</v>
      </c>
      <c r="E8" s="56">
        <f>35201.44+2012.26+511</f>
        <v>37724.7</v>
      </c>
      <c r="F8" s="56">
        <f>5837.24+2665.98+2931</f>
        <v>11434.22</v>
      </c>
      <c r="G8" s="56">
        <f>33838.93+622.68+3067.65</f>
        <v>37529.26</v>
      </c>
      <c r="H8" s="56"/>
      <c r="I8" s="56"/>
      <c r="J8" s="56"/>
      <c r="K8" s="56"/>
      <c r="L8" s="56"/>
      <c r="M8" s="56">
        <v>5647.96</v>
      </c>
      <c r="N8" s="56">
        <f>18.92</f>
        <v>18.92</v>
      </c>
      <c r="O8" s="56">
        <v>957.19</v>
      </c>
      <c r="P8" s="56">
        <f>936+1881.99</f>
        <v>2817.99</v>
      </c>
      <c r="Q8" s="56"/>
      <c r="R8" s="56"/>
      <c r="S8" s="56">
        <f t="shared" si="0"/>
        <v>201739.07</v>
      </c>
      <c r="T8" s="56" t="s">
        <v>37</v>
      </c>
      <c r="U8" s="60"/>
    </row>
    <row r="9" s="50" customFormat="1" ht="27.95" customHeight="1" spans="1:21">
      <c r="A9" s="56">
        <v>5</v>
      </c>
      <c r="B9" s="57" t="s">
        <v>41</v>
      </c>
      <c r="C9" s="56">
        <v>31117.91</v>
      </c>
      <c r="D9" s="56">
        <v>338.39</v>
      </c>
      <c r="E9" s="56">
        <v>4582.2</v>
      </c>
      <c r="F9" s="56">
        <v>4121.68</v>
      </c>
      <c r="G9" s="56">
        <v>16163.78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>
        <f t="shared" si="0"/>
        <v>56323.96</v>
      </c>
      <c r="T9" s="56" t="s">
        <v>37</v>
      </c>
      <c r="U9" s="60"/>
    </row>
    <row r="10" s="50" customFormat="1" ht="27.95" customHeight="1" spans="1:21">
      <c r="A10" s="56">
        <v>6</v>
      </c>
      <c r="B10" s="57" t="s">
        <v>42</v>
      </c>
      <c r="C10" s="56">
        <f>140368.33+621.58</f>
        <v>140989.91</v>
      </c>
      <c r="D10" s="56">
        <v>5000.32</v>
      </c>
      <c r="E10" s="56">
        <v>11232.09</v>
      </c>
      <c r="F10" s="56">
        <v>624.46</v>
      </c>
      <c r="G10" s="56">
        <f>4009.29+200</f>
        <v>4209.29</v>
      </c>
      <c r="H10" s="56"/>
      <c r="I10" s="56"/>
      <c r="J10" s="56"/>
      <c r="K10" s="56"/>
      <c r="L10" s="56"/>
      <c r="M10" s="56">
        <v>14174.3</v>
      </c>
      <c r="N10" s="56">
        <v>112</v>
      </c>
      <c r="O10" s="56"/>
      <c r="P10" s="56">
        <v>768.75</v>
      </c>
      <c r="Q10" s="56">
        <v>870.5</v>
      </c>
      <c r="R10" s="56"/>
      <c r="S10" s="56">
        <f t="shared" si="0"/>
        <v>177981.62</v>
      </c>
      <c r="T10" s="56" t="s">
        <v>37</v>
      </c>
      <c r="U10" s="60"/>
    </row>
    <row r="11" s="50" customFormat="1" ht="27.95" customHeight="1" spans="1:21">
      <c r="A11" s="56">
        <v>7</v>
      </c>
      <c r="B11" s="57" t="s">
        <v>43</v>
      </c>
      <c r="C11" s="56">
        <f>2651.8-7+6500</f>
        <v>9144.8</v>
      </c>
      <c r="D11" s="56">
        <f>74+300</f>
        <v>374</v>
      </c>
      <c r="E11" s="56">
        <f>462.75-22.4-23+600</f>
        <v>1017.35</v>
      </c>
      <c r="F11" s="56"/>
      <c r="G11" s="56">
        <v>6398.5</v>
      </c>
      <c r="H11" s="56"/>
      <c r="I11" s="56"/>
      <c r="J11" s="56"/>
      <c r="K11" s="56"/>
      <c r="L11" s="56"/>
      <c r="M11" s="56"/>
      <c r="N11" s="56">
        <f>300</f>
        <v>300</v>
      </c>
      <c r="O11" s="56"/>
      <c r="P11" s="56">
        <f>300</f>
        <v>300</v>
      </c>
      <c r="Q11" s="56"/>
      <c r="R11" s="56"/>
      <c r="S11" s="56">
        <f t="shared" si="0"/>
        <v>17534.65</v>
      </c>
      <c r="T11" s="56" t="s">
        <v>37</v>
      </c>
      <c r="U11" s="60"/>
    </row>
    <row r="12" s="50" customFormat="1" ht="27.95" customHeight="1" spans="1:21">
      <c r="A12" s="56">
        <v>8</v>
      </c>
      <c r="B12" s="57" t="s">
        <v>44</v>
      </c>
      <c r="C12" s="56">
        <v>64333.62</v>
      </c>
      <c r="D12" s="56">
        <v>18561.09</v>
      </c>
      <c r="E12" s="56">
        <v>5552.96</v>
      </c>
      <c r="F12" s="56">
        <v>11207.89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>
        <f t="shared" si="0"/>
        <v>99655.56</v>
      </c>
      <c r="T12" s="56" t="s">
        <v>37</v>
      </c>
      <c r="U12" s="60"/>
    </row>
    <row r="13" s="50" customFormat="1" ht="27.95" customHeight="1" spans="1:21">
      <c r="A13" s="56">
        <v>9</v>
      </c>
      <c r="B13" s="61" t="s">
        <v>45</v>
      </c>
      <c r="C13" s="62">
        <v>100000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6">
        <f t="shared" si="0"/>
        <v>100000</v>
      </c>
      <c r="T13" s="56" t="s">
        <v>37</v>
      </c>
      <c r="U13" s="63" t="s">
        <v>46</v>
      </c>
    </row>
    <row r="14" s="50" customFormat="1" ht="27.95" customHeight="1" spans="1:21">
      <c r="A14" s="56">
        <v>10</v>
      </c>
      <c r="B14" s="57" t="s">
        <v>47</v>
      </c>
      <c r="C14" s="56">
        <v>23926.17</v>
      </c>
      <c r="D14" s="56">
        <v>17473.17</v>
      </c>
      <c r="E14" s="56">
        <v>5069</v>
      </c>
      <c r="F14" s="56"/>
      <c r="G14" s="56">
        <v>1049.28</v>
      </c>
      <c r="H14" s="56"/>
      <c r="I14" s="56"/>
      <c r="J14" s="56"/>
      <c r="K14" s="56">
        <v>22037.4</v>
      </c>
      <c r="L14" s="56">
        <v>4852.68</v>
      </c>
      <c r="M14" s="56"/>
      <c r="N14" s="56"/>
      <c r="O14" s="56">
        <v>3690.19</v>
      </c>
      <c r="P14" s="56">
        <v>734.44</v>
      </c>
      <c r="Q14" s="56"/>
      <c r="R14" s="56"/>
      <c r="S14" s="56">
        <f t="shared" si="0"/>
        <v>78832.33</v>
      </c>
      <c r="T14" s="56" t="s">
        <v>37</v>
      </c>
      <c r="U14" s="60"/>
    </row>
    <row r="15" s="50" customFormat="1" ht="24" customHeight="1" spans="1:21">
      <c r="A15" s="64" t="s">
        <v>48</v>
      </c>
      <c r="B15" s="64"/>
      <c r="C15" s="65">
        <v>5.68</v>
      </c>
      <c r="D15" s="65">
        <v>2.19</v>
      </c>
      <c r="E15" s="65">
        <v>4.51</v>
      </c>
      <c r="F15" s="65">
        <v>3.09</v>
      </c>
      <c r="G15" s="65">
        <v>6.16</v>
      </c>
      <c r="H15" s="65">
        <v>18</v>
      </c>
      <c r="I15" s="65">
        <v>35</v>
      </c>
      <c r="J15" s="65">
        <v>0.89</v>
      </c>
      <c r="K15" s="65">
        <v>1.77</v>
      </c>
      <c r="L15" s="65">
        <v>1.68</v>
      </c>
      <c r="M15" s="65">
        <v>1.77</v>
      </c>
      <c r="N15" s="65">
        <v>4.9</v>
      </c>
      <c r="O15" s="65">
        <v>1.22</v>
      </c>
      <c r="P15" s="65">
        <v>5.77</v>
      </c>
      <c r="Q15" s="65">
        <v>337.43</v>
      </c>
      <c r="R15" s="65">
        <v>10</v>
      </c>
      <c r="S15" s="66"/>
      <c r="T15" s="56"/>
      <c r="U15" s="58"/>
    </row>
    <row r="16" s="50" customFormat="1" ht="24.75" customHeight="1" spans="1:21">
      <c r="A16" s="64" t="s">
        <v>49</v>
      </c>
      <c r="B16" s="64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56"/>
      <c r="U16" s="58"/>
    </row>
    <row r="17" s="50" customFormat="1" ht="24.75" customHeight="1" spans="1:21">
      <c r="A17" s="69" t="s">
        <v>50</v>
      </c>
      <c r="B17" s="70"/>
      <c r="C17" s="71">
        <f t="shared" ref="C17:R17" si="1">SUM(C5:C14)</f>
        <v>655142.912</v>
      </c>
      <c r="D17" s="71">
        <f t="shared" si="1"/>
        <v>59985.27</v>
      </c>
      <c r="E17" s="71">
        <f t="shared" si="1"/>
        <v>103756.886</v>
      </c>
      <c r="F17" s="71">
        <f t="shared" si="1"/>
        <v>47419.66</v>
      </c>
      <c r="G17" s="71">
        <f t="shared" si="1"/>
        <v>81345.94</v>
      </c>
      <c r="H17" s="71">
        <f t="shared" si="1"/>
        <v>0</v>
      </c>
      <c r="I17" s="71">
        <f t="shared" si="1"/>
        <v>0</v>
      </c>
      <c r="J17" s="71">
        <f t="shared" si="1"/>
        <v>0</v>
      </c>
      <c r="K17" s="71">
        <f t="shared" si="1"/>
        <v>22037.4</v>
      </c>
      <c r="L17" s="71">
        <f t="shared" si="1"/>
        <v>6952.68</v>
      </c>
      <c r="M17" s="71">
        <f t="shared" si="1"/>
        <v>19822.26</v>
      </c>
      <c r="N17" s="71">
        <f t="shared" si="1"/>
        <v>11799.92</v>
      </c>
      <c r="O17" s="71">
        <f t="shared" si="1"/>
        <v>4647.38</v>
      </c>
      <c r="P17" s="71">
        <f t="shared" si="1"/>
        <v>17528.541</v>
      </c>
      <c r="Q17" s="71">
        <f t="shared" si="1"/>
        <v>1700.5</v>
      </c>
      <c r="R17" s="71">
        <f t="shared" si="1"/>
        <v>0</v>
      </c>
      <c r="S17" s="71">
        <f>SUM(C17:Q17)-H17+H17*0.66*0.33</f>
        <v>1032139.349</v>
      </c>
      <c r="T17" s="56"/>
      <c r="U17" s="58"/>
    </row>
    <row r="18" s="50" customFormat="1" ht="24.75" customHeight="1" spans="1:21">
      <c r="A18" s="69" t="s">
        <v>51</v>
      </c>
      <c r="B18" s="70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56"/>
      <c r="U18" s="58"/>
    </row>
    <row r="19" s="50" customFormat="1" ht="24.75" customHeight="1" spans="1:21">
      <c r="A19" s="56">
        <v>1</v>
      </c>
      <c r="B19" s="73" t="s">
        <v>52</v>
      </c>
      <c r="C19" s="74">
        <f>3113.35-16.5</f>
        <v>3096.85</v>
      </c>
      <c r="D19" s="74">
        <v>762.87</v>
      </c>
      <c r="E19" s="74">
        <f>555.13-4.5</f>
        <v>550.63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56"/>
      <c r="S19" s="56">
        <f t="shared" ref="S19:S26" si="2">SUM(C19:Q19)-H19-I19+(H19+I19)*0.66*0.33-J19</f>
        <v>4410.35</v>
      </c>
      <c r="T19" s="74" t="s">
        <v>53</v>
      </c>
      <c r="U19" s="60"/>
    </row>
    <row r="20" s="50" customFormat="1" ht="24.75" customHeight="1" spans="1:21">
      <c r="A20" s="56">
        <v>2</v>
      </c>
      <c r="B20" s="73" t="s">
        <v>54</v>
      </c>
      <c r="C20" s="74">
        <v>2301.4</v>
      </c>
      <c r="D20" s="74">
        <f>9525.73</f>
        <v>9525.73</v>
      </c>
      <c r="E20" s="74">
        <v>371.3</v>
      </c>
      <c r="F20" s="74"/>
      <c r="G20" s="74"/>
      <c r="H20" s="74"/>
      <c r="I20" s="74"/>
      <c r="J20" s="74"/>
      <c r="K20" s="74"/>
      <c r="L20" s="74"/>
      <c r="M20" s="74"/>
      <c r="N20" s="74">
        <f>259.9</f>
        <v>259.9</v>
      </c>
      <c r="O20" s="74"/>
      <c r="P20" s="74"/>
      <c r="Q20" s="74"/>
      <c r="R20" s="56"/>
      <c r="S20" s="56">
        <f t="shared" si="2"/>
        <v>12458.33</v>
      </c>
      <c r="T20" s="74" t="s">
        <v>53</v>
      </c>
      <c r="U20" s="60"/>
    </row>
    <row r="21" s="50" customFormat="1" ht="27.95" customHeight="1" spans="1:21">
      <c r="A21" s="56">
        <v>3</v>
      </c>
      <c r="B21" s="73" t="s">
        <v>55</v>
      </c>
      <c r="C21" s="74">
        <v>2000</v>
      </c>
      <c r="D21" s="74"/>
      <c r="E21" s="74"/>
      <c r="F21" s="74">
        <v>6657</v>
      </c>
      <c r="G21" s="74"/>
      <c r="H21" s="74"/>
      <c r="I21" s="74"/>
      <c r="J21" s="74"/>
      <c r="K21" s="74"/>
      <c r="L21" s="74"/>
      <c r="M21" s="74"/>
      <c r="N21" s="74"/>
      <c r="O21" s="74">
        <v>426.29</v>
      </c>
      <c r="P21" s="74"/>
      <c r="Q21" s="74"/>
      <c r="R21" s="56"/>
      <c r="S21" s="56">
        <f t="shared" si="2"/>
        <v>9083.29</v>
      </c>
      <c r="T21" s="74" t="s">
        <v>53</v>
      </c>
      <c r="U21" s="60"/>
    </row>
    <row r="22" s="50" customFormat="1" ht="27.95" customHeight="1" spans="1:21">
      <c r="A22" s="56">
        <v>4</v>
      </c>
      <c r="B22" s="73" t="s">
        <v>56</v>
      </c>
      <c r="C22" s="74">
        <v>444.19</v>
      </c>
      <c r="D22" s="74"/>
      <c r="E22" s="74"/>
      <c r="F22" s="74">
        <v>4245.58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56"/>
      <c r="S22" s="56">
        <f t="shared" si="2"/>
        <v>4689.77</v>
      </c>
      <c r="T22" s="74" t="s">
        <v>53</v>
      </c>
      <c r="U22" s="60"/>
    </row>
    <row r="23" s="50" customFormat="1" ht="27.95" customHeight="1" spans="1:21">
      <c r="A23" s="56">
        <v>5</v>
      </c>
      <c r="B23" s="73" t="s">
        <v>57</v>
      </c>
      <c r="C23" s="74">
        <f>11381.887+5789+9985.87+288.27</f>
        <v>27445.027</v>
      </c>
      <c r="D23" s="74">
        <f>1999</f>
        <v>1999</v>
      </c>
      <c r="E23" s="74">
        <f>966.66+1347.84</f>
        <v>2314.5</v>
      </c>
      <c r="F23" s="74">
        <f>460</f>
        <v>460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56"/>
      <c r="S23" s="56">
        <f t="shared" si="2"/>
        <v>32218.527</v>
      </c>
      <c r="T23" s="74" t="s">
        <v>53</v>
      </c>
      <c r="U23" s="60"/>
    </row>
    <row r="24" s="50" customFormat="1" ht="27.95" customHeight="1" spans="1:21">
      <c r="A24" s="56">
        <v>6</v>
      </c>
      <c r="B24" s="73" t="s">
        <v>58</v>
      </c>
      <c r="C24" s="74">
        <f>10985.627-47</f>
        <v>10938.627</v>
      </c>
      <c r="D24" s="74">
        <v>1844.096</v>
      </c>
      <c r="E24" s="74">
        <v>4078.924</v>
      </c>
      <c r="F24" s="74">
        <v>12462.759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56"/>
      <c r="S24" s="56">
        <f t="shared" si="2"/>
        <v>29324.406</v>
      </c>
      <c r="T24" s="74" t="s">
        <v>53</v>
      </c>
      <c r="U24" s="60"/>
    </row>
    <row r="25" s="50" customFormat="1" ht="27.95" customHeight="1" spans="1:21">
      <c r="A25" s="56">
        <v>7</v>
      </c>
      <c r="B25" s="73" t="s">
        <v>59</v>
      </c>
      <c r="C25" s="74">
        <v>1626.774</v>
      </c>
      <c r="D25" s="74"/>
      <c r="E25" s="74">
        <v>1757.18</v>
      </c>
      <c r="F25" s="74">
        <v>7987.971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56"/>
      <c r="S25" s="56">
        <f t="shared" si="2"/>
        <v>11371.925</v>
      </c>
      <c r="T25" s="74" t="s">
        <v>53</v>
      </c>
      <c r="U25" s="60"/>
    </row>
    <row r="26" s="50" customFormat="1" ht="27.95" customHeight="1" spans="1:21">
      <c r="A26" s="56">
        <v>8</v>
      </c>
      <c r="B26" s="73" t="s">
        <v>60</v>
      </c>
      <c r="C26" s="74">
        <f>5606.7-2.14-32</f>
        <v>5572.56</v>
      </c>
      <c r="D26" s="74"/>
      <c r="E26" s="74">
        <f>8061.064-22</f>
        <v>8039.064</v>
      </c>
      <c r="F26" s="74">
        <v>321.194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56"/>
      <c r="S26" s="56">
        <f t="shared" si="2"/>
        <v>13932.818</v>
      </c>
      <c r="T26" s="74" t="s">
        <v>53</v>
      </c>
      <c r="U26" s="60"/>
    </row>
    <row r="27" s="50" customFormat="1" ht="24.75" customHeight="1" spans="1:21">
      <c r="A27" s="75" t="s">
        <v>61</v>
      </c>
      <c r="B27" s="76"/>
      <c r="C27" s="77">
        <v>4.87</v>
      </c>
      <c r="D27" s="77">
        <v>1.69</v>
      </c>
      <c r="E27" s="77">
        <v>3.54</v>
      </c>
      <c r="F27" s="77">
        <v>3.09</v>
      </c>
      <c r="G27" s="77">
        <v>3.53</v>
      </c>
      <c r="H27" s="77">
        <v>18</v>
      </c>
      <c r="I27" s="77">
        <v>35</v>
      </c>
      <c r="J27" s="65">
        <v>0.87</v>
      </c>
      <c r="K27" s="65">
        <v>1.77</v>
      </c>
      <c r="L27" s="65">
        <v>1.68</v>
      </c>
      <c r="M27" s="65">
        <v>1.76</v>
      </c>
      <c r="N27" s="77">
        <v>3.77</v>
      </c>
      <c r="O27" s="77">
        <v>0.95</v>
      </c>
      <c r="P27" s="65">
        <v>5.77</v>
      </c>
      <c r="Q27" s="77">
        <v>313.68</v>
      </c>
      <c r="R27" s="65">
        <v>10</v>
      </c>
      <c r="S27" s="71"/>
      <c r="T27" s="56"/>
      <c r="U27" s="58"/>
    </row>
    <row r="28" s="50" customFormat="1" ht="24.75" customHeight="1" spans="1:21">
      <c r="A28" s="64" t="s">
        <v>62</v>
      </c>
      <c r="B28" s="64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2"/>
      <c r="T28" s="56"/>
      <c r="U28" s="58"/>
    </row>
    <row r="29" s="50" customFormat="1" ht="24.75" customHeight="1" spans="1:21">
      <c r="A29" s="69" t="s">
        <v>63</v>
      </c>
      <c r="B29" s="70"/>
      <c r="C29" s="71">
        <f t="shared" ref="C29:H29" si="3">SUM(C19:C26)</f>
        <v>53425.428</v>
      </c>
      <c r="D29" s="71">
        <f t="shared" si="3"/>
        <v>14131.696</v>
      </c>
      <c r="E29" s="71">
        <f t="shared" si="3"/>
        <v>17111.598</v>
      </c>
      <c r="F29" s="71">
        <f t="shared" si="3"/>
        <v>32134.504</v>
      </c>
      <c r="G29" s="71">
        <f t="shared" si="3"/>
        <v>0</v>
      </c>
      <c r="H29" s="71">
        <f t="shared" si="3"/>
        <v>0</v>
      </c>
      <c r="I29" s="71"/>
      <c r="J29" s="71">
        <f t="shared" ref="J29:S29" si="4">SUM(J19:J26)</f>
        <v>0</v>
      </c>
      <c r="K29" s="71">
        <f t="shared" si="4"/>
        <v>0</v>
      </c>
      <c r="L29" s="71">
        <f t="shared" si="4"/>
        <v>0</v>
      </c>
      <c r="M29" s="71">
        <f t="shared" si="4"/>
        <v>0</v>
      </c>
      <c r="N29" s="71">
        <f t="shared" si="4"/>
        <v>259.9</v>
      </c>
      <c r="O29" s="71">
        <f t="shared" si="4"/>
        <v>426.29</v>
      </c>
      <c r="P29" s="71">
        <f t="shared" si="4"/>
        <v>0</v>
      </c>
      <c r="Q29" s="71">
        <f t="shared" si="4"/>
        <v>0</v>
      </c>
      <c r="R29" s="71">
        <f t="shared" si="4"/>
        <v>0</v>
      </c>
      <c r="S29" s="71">
        <f t="shared" si="4"/>
        <v>117489.416</v>
      </c>
      <c r="T29" s="56"/>
      <c r="U29" s="58"/>
    </row>
    <row r="30" s="50" customFormat="1" ht="24.75" customHeight="1" spans="1:21">
      <c r="A30" s="69" t="s">
        <v>64</v>
      </c>
      <c r="B30" s="70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56"/>
      <c r="U30" s="58"/>
    </row>
    <row r="31" s="50" customFormat="1" ht="24.75" customHeight="1" spans="1:21">
      <c r="A31" s="79" t="s">
        <v>65</v>
      </c>
      <c r="B31" s="80"/>
      <c r="C31" s="71">
        <f t="shared" ref="C31:H31" si="5">C17+C29</f>
        <v>708568.34</v>
      </c>
      <c r="D31" s="71">
        <f t="shared" si="5"/>
        <v>74116.966</v>
      </c>
      <c r="E31" s="71">
        <f t="shared" si="5"/>
        <v>120868.484</v>
      </c>
      <c r="F31" s="71">
        <f t="shared" si="5"/>
        <v>79554.164</v>
      </c>
      <c r="G31" s="71">
        <f t="shared" si="5"/>
        <v>81345.94</v>
      </c>
      <c r="H31" s="71">
        <f t="shared" si="5"/>
        <v>0</v>
      </c>
      <c r="I31" s="71"/>
      <c r="J31" s="71">
        <f t="shared" ref="J31:R31" si="6">J17+J29</f>
        <v>0</v>
      </c>
      <c r="K31" s="71">
        <f t="shared" si="6"/>
        <v>22037.4</v>
      </c>
      <c r="L31" s="71">
        <f t="shared" si="6"/>
        <v>6952.68</v>
      </c>
      <c r="M31" s="71">
        <f t="shared" si="6"/>
        <v>19822.26</v>
      </c>
      <c r="N31" s="71">
        <f t="shared" si="6"/>
        <v>12059.82</v>
      </c>
      <c r="O31" s="71">
        <f t="shared" si="6"/>
        <v>5073.67</v>
      </c>
      <c r="P31" s="71">
        <f t="shared" si="6"/>
        <v>17528.541</v>
      </c>
      <c r="Q31" s="71">
        <f t="shared" si="6"/>
        <v>1700.5</v>
      </c>
      <c r="R31" s="71">
        <f t="shared" si="6"/>
        <v>0</v>
      </c>
      <c r="S31" s="71">
        <f>S29+S17</f>
        <v>1149628.765</v>
      </c>
      <c r="T31" s="56"/>
      <c r="U31" s="58"/>
    </row>
    <row r="32" s="50" customFormat="1" ht="24.75" customHeight="1" spans="1:21">
      <c r="A32" s="79" t="s">
        <v>66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56"/>
      <c r="U32" s="58"/>
    </row>
    <row r="33" s="50" customFormat="1" ht="24.75" customHeight="1" spans="1:21">
      <c r="A33" s="52"/>
      <c r="B33" s="8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83"/>
      <c r="T33" s="52"/>
      <c r="U33" s="52"/>
    </row>
    <row r="34" s="51" customFormat="1" spans="1:21">
      <c r="A34" s="84" t="s">
        <v>67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</row>
    <row r="35" s="51" customFormat="1" spans="1:21">
      <c r="A35" s="84" t="s">
        <v>68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</row>
    <row r="36" s="51" customFormat="1" spans="1:21">
      <c r="A36" s="84" t="s">
        <v>69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</row>
    <row r="37" s="51" customFormat="1" spans="1:21">
      <c r="A37" s="85" t="s">
        <v>70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</row>
    <row r="38" s="51" customFormat="1" spans="1:21">
      <c r="A38" s="85" t="s">
        <v>71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</row>
    <row r="39" s="51" customFormat="1" spans="1:21">
      <c r="A39" s="85" t="s">
        <v>72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</row>
    <row r="40" s="51" customFormat="1" spans="1:21">
      <c r="A40" s="85" t="s">
        <v>73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</row>
    <row r="41" s="51" customFormat="1" spans="1:21">
      <c r="A41" s="85" t="s">
        <v>74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</row>
    <row r="42" s="51" customFormat="1" spans="1:21">
      <c r="A42" s="85" t="s">
        <v>75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</row>
    <row r="43" s="51" customFormat="1" spans="1:21">
      <c r="A43" s="85" t="s">
        <v>76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</row>
    <row r="44" s="51" customFormat="1" spans="1:21">
      <c r="A44" s="85" t="s">
        <v>77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</row>
    <row r="45" s="51" customFormat="1" spans="1:21">
      <c r="A45" s="85" t="s">
        <v>78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</row>
    <row r="46" s="51" customFormat="1" spans="1:21">
      <c r="A46" s="86" t="s">
        <v>79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8"/>
    </row>
    <row r="47" s="51" customFormat="1" spans="1:21">
      <c r="A47" s="84" t="s">
        <v>80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</row>
    <row r="49" s="50" customFormat="1" spans="1:14">
      <c r="A49" s="89" t="s">
        <v>81</v>
      </c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="50" customFormat="1" ht="116" customHeight="1" spans="1:14">
      <c r="A50" s="90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</sheetData>
  <sheetProtection sheet="1" objects="1"/>
  <mergeCells count="30">
    <mergeCell ref="A1:U1"/>
    <mergeCell ref="A15:B15"/>
    <mergeCell ref="A16:B16"/>
    <mergeCell ref="A17:B17"/>
    <mergeCell ref="A18:B18"/>
    <mergeCell ref="A27:B27"/>
    <mergeCell ref="A28:B28"/>
    <mergeCell ref="A29:B29"/>
    <mergeCell ref="A30:B30"/>
    <mergeCell ref="A31:B31"/>
    <mergeCell ref="A32:B32"/>
    <mergeCell ref="A34:T34"/>
    <mergeCell ref="A35:T35"/>
    <mergeCell ref="A36:T36"/>
    <mergeCell ref="A37:T37"/>
    <mergeCell ref="A38:T38"/>
    <mergeCell ref="A39:T39"/>
    <mergeCell ref="A40:T40"/>
    <mergeCell ref="A41:T41"/>
    <mergeCell ref="A42:T42"/>
    <mergeCell ref="A43:T43"/>
    <mergeCell ref="A44:T44"/>
    <mergeCell ref="A45:T45"/>
    <mergeCell ref="A46:T46"/>
    <mergeCell ref="A47:T47"/>
    <mergeCell ref="A3:A4"/>
    <mergeCell ref="B3:B4"/>
    <mergeCell ref="T3:T4"/>
    <mergeCell ref="U3:U4"/>
    <mergeCell ref="A49:N50"/>
  </mergeCells>
  <conditionalFormatting sqref="S19 S21:S26">
    <cfRule type="duplicateValues" dxfId="0" priority="1"/>
  </conditionalFormatting>
  <pageMargins left="0.2125" right="0.2125" top="0.2125" bottom="0.2125" header="0.511805555555556" footer="0.2125"/>
  <pageSetup paperSize="9" scale="50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6"/>
  <sheetViews>
    <sheetView zoomScale="55" zoomScaleNormal="55" topLeftCell="A77" workbookViewId="0">
      <selection activeCell="L101" sqref="L101"/>
    </sheetView>
  </sheetViews>
  <sheetFormatPr defaultColWidth="9" defaultRowHeight="14"/>
  <cols>
    <col min="1" max="1" width="15.5" customWidth="1"/>
    <col min="8" max="8" width="15.5" customWidth="1"/>
    <col min="9" max="9" width="9" customWidth="1"/>
  </cols>
  <sheetData>
    <row r="1" ht="27.5" spans="1:14">
      <c r="A1" s="1" t="s">
        <v>82</v>
      </c>
      <c r="B1" s="1"/>
      <c r="C1" s="2"/>
      <c r="D1" s="2"/>
      <c r="E1" s="1"/>
      <c r="F1" s="2"/>
      <c r="G1" s="2"/>
      <c r="H1" s="1"/>
      <c r="I1" s="1"/>
      <c r="J1" s="2"/>
      <c r="K1" s="2"/>
      <c r="L1" s="1"/>
      <c r="M1" s="2"/>
      <c r="N1" s="2"/>
    </row>
    <row r="2" ht="45" spans="1:14">
      <c r="A2" s="3" t="s">
        <v>83</v>
      </c>
      <c r="B2" s="4" t="s">
        <v>84</v>
      </c>
      <c r="C2" s="5"/>
      <c r="D2" s="6"/>
      <c r="E2" s="3" t="s">
        <v>85</v>
      </c>
      <c r="F2" s="7" t="s">
        <v>86</v>
      </c>
      <c r="G2" s="8" t="s">
        <v>87</v>
      </c>
      <c r="H2" s="9" t="s">
        <v>88</v>
      </c>
      <c r="I2" s="10"/>
      <c r="J2" s="10"/>
      <c r="K2" s="10"/>
      <c r="L2" s="3" t="s">
        <v>85</v>
      </c>
      <c r="M2" s="7" t="s">
        <v>86</v>
      </c>
      <c r="N2" s="8" t="s">
        <v>87</v>
      </c>
    </row>
    <row r="3" ht="45" spans="1:14">
      <c r="A3" s="3" t="s">
        <v>89</v>
      </c>
      <c r="B3" s="9" t="s">
        <v>90</v>
      </c>
      <c r="C3" s="9" t="s">
        <v>91</v>
      </c>
      <c r="D3" s="9" t="s">
        <v>92</v>
      </c>
      <c r="E3" s="3"/>
      <c r="F3" s="7"/>
      <c r="G3" s="7"/>
      <c r="H3" s="9" t="s">
        <v>89</v>
      </c>
      <c r="I3" s="9" t="s">
        <v>90</v>
      </c>
      <c r="J3" s="9" t="s">
        <v>91</v>
      </c>
      <c r="K3" s="9" t="s">
        <v>92</v>
      </c>
      <c r="L3" s="3"/>
      <c r="M3" s="7"/>
      <c r="N3" s="7"/>
    </row>
    <row r="4" ht="26" spans="1:14">
      <c r="A4" s="3" t="s">
        <v>93</v>
      </c>
      <c r="B4" s="11" t="s">
        <v>94</v>
      </c>
      <c r="C4" s="11" t="s">
        <v>95</v>
      </c>
      <c r="D4" s="11"/>
      <c r="E4" s="12">
        <v>18.04</v>
      </c>
      <c r="F4" s="13"/>
      <c r="G4" s="14"/>
      <c r="H4" s="9" t="s">
        <v>96</v>
      </c>
      <c r="I4" s="11" t="s">
        <v>94</v>
      </c>
      <c r="J4" s="11" t="s">
        <v>95</v>
      </c>
      <c r="K4" s="15"/>
      <c r="L4" s="16">
        <v>22.345</v>
      </c>
      <c r="M4" s="17"/>
      <c r="N4" s="18"/>
    </row>
    <row r="5" ht="39" spans="1:14">
      <c r="A5" s="19"/>
      <c r="B5" s="11" t="s">
        <v>97</v>
      </c>
      <c r="C5" s="11" t="s">
        <v>95</v>
      </c>
      <c r="D5" s="11"/>
      <c r="E5" s="12">
        <v>23.66</v>
      </c>
      <c r="F5" s="13"/>
      <c r="G5" s="14"/>
      <c r="H5" s="20"/>
      <c r="I5" s="11" t="s">
        <v>97</v>
      </c>
      <c r="J5" s="11" t="s">
        <v>98</v>
      </c>
      <c r="K5" s="21">
        <f>178+95</f>
        <v>273</v>
      </c>
      <c r="L5" s="12">
        <v>29.68</v>
      </c>
      <c r="M5" s="13"/>
      <c r="N5" s="18"/>
    </row>
    <row r="6" ht="26" spans="1:14">
      <c r="A6" s="19"/>
      <c r="B6" s="11" t="s">
        <v>99</v>
      </c>
      <c r="C6" s="11" t="s">
        <v>100</v>
      </c>
      <c r="D6" s="11">
        <f>84</f>
        <v>84</v>
      </c>
      <c r="E6" s="12">
        <v>28.38</v>
      </c>
      <c r="F6" s="13"/>
      <c r="G6" s="14"/>
      <c r="H6" s="20"/>
      <c r="I6" s="11" t="s">
        <v>99</v>
      </c>
      <c r="J6" s="11" t="s">
        <v>101</v>
      </c>
      <c r="K6" s="21">
        <f>123+8</f>
        <v>131</v>
      </c>
      <c r="L6" s="12">
        <v>35.705</v>
      </c>
      <c r="M6" s="13"/>
      <c r="N6" s="18"/>
    </row>
    <row r="7" spans="1:14">
      <c r="A7" s="19"/>
      <c r="B7" s="11" t="s">
        <v>102</v>
      </c>
      <c r="C7" s="11" t="s">
        <v>103</v>
      </c>
      <c r="D7" s="11">
        <f>150</f>
        <v>150</v>
      </c>
      <c r="E7" s="12">
        <v>41.02</v>
      </c>
      <c r="F7" s="13"/>
      <c r="G7" s="14"/>
      <c r="H7" s="20"/>
      <c r="I7" s="11" t="s">
        <v>102</v>
      </c>
      <c r="J7" s="11" t="s">
        <v>104</v>
      </c>
      <c r="K7" s="21">
        <v>47</v>
      </c>
      <c r="L7" s="12">
        <v>50.12</v>
      </c>
      <c r="M7" s="13"/>
      <c r="N7" s="18"/>
    </row>
    <row r="8" ht="26" spans="1:14">
      <c r="A8" s="19"/>
      <c r="B8" s="11" t="s">
        <v>105</v>
      </c>
      <c r="C8" s="11" t="s">
        <v>106</v>
      </c>
      <c r="D8" s="11">
        <f>42+28</f>
        <v>70</v>
      </c>
      <c r="E8" s="12">
        <v>51.01</v>
      </c>
      <c r="F8" s="13"/>
      <c r="G8" s="14"/>
      <c r="H8" s="20"/>
      <c r="I8" s="11" t="s">
        <v>105</v>
      </c>
      <c r="J8" s="11" t="s">
        <v>95</v>
      </c>
      <c r="K8" s="15"/>
      <c r="L8" s="12">
        <v>63.47</v>
      </c>
      <c r="M8" s="13"/>
      <c r="N8" s="18"/>
    </row>
    <row r="9" ht="45" spans="1:14">
      <c r="A9" s="3" t="s">
        <v>83</v>
      </c>
      <c r="B9" s="22" t="s">
        <v>107</v>
      </c>
      <c r="C9" s="23"/>
      <c r="D9" s="24"/>
      <c r="E9" s="3" t="s">
        <v>85</v>
      </c>
      <c r="F9" s="7" t="s">
        <v>86</v>
      </c>
      <c r="G9" s="8" t="s">
        <v>87</v>
      </c>
      <c r="H9" s="3" t="s">
        <v>88</v>
      </c>
      <c r="I9" s="25"/>
      <c r="J9" s="25"/>
      <c r="K9" s="25"/>
      <c r="L9" s="3" t="s">
        <v>85</v>
      </c>
      <c r="M9" s="7" t="s">
        <v>86</v>
      </c>
      <c r="N9" s="8" t="s">
        <v>87</v>
      </c>
    </row>
    <row r="10" ht="45" spans="1:14">
      <c r="A10" s="3" t="s">
        <v>89</v>
      </c>
      <c r="B10" s="3" t="s">
        <v>90</v>
      </c>
      <c r="C10" s="3" t="s">
        <v>91</v>
      </c>
      <c r="D10" s="3" t="s">
        <v>92</v>
      </c>
      <c r="E10" s="3"/>
      <c r="F10" s="7"/>
      <c r="G10" s="7"/>
      <c r="H10" s="3" t="s">
        <v>89</v>
      </c>
      <c r="I10" s="3" t="s">
        <v>90</v>
      </c>
      <c r="J10" s="3" t="s">
        <v>91</v>
      </c>
      <c r="K10" s="3" t="s">
        <v>92</v>
      </c>
      <c r="L10" s="3"/>
      <c r="M10" s="7"/>
      <c r="N10" s="7"/>
    </row>
    <row r="11" ht="26" spans="1:14">
      <c r="A11" s="3" t="s">
        <v>93</v>
      </c>
      <c r="B11" s="26" t="s">
        <v>94</v>
      </c>
      <c r="C11" s="26" t="s">
        <v>95</v>
      </c>
      <c r="D11" s="26"/>
      <c r="E11" s="12">
        <v>18.04</v>
      </c>
      <c r="F11" s="13"/>
      <c r="G11" s="14"/>
      <c r="H11" s="3" t="s">
        <v>96</v>
      </c>
      <c r="I11" s="26" t="s">
        <v>94</v>
      </c>
      <c r="J11" s="26" t="s">
        <v>95</v>
      </c>
      <c r="K11" s="27"/>
      <c r="L11" s="16">
        <v>22.345</v>
      </c>
      <c r="M11" s="17"/>
      <c r="N11" s="18"/>
    </row>
    <row r="12" ht="26" spans="1:14">
      <c r="A12" s="19"/>
      <c r="B12" s="26" t="s">
        <v>97</v>
      </c>
      <c r="C12" s="26" t="s">
        <v>95</v>
      </c>
      <c r="D12" s="26"/>
      <c r="E12" s="12">
        <v>23.66</v>
      </c>
      <c r="F12" s="13"/>
      <c r="G12" s="14"/>
      <c r="H12" s="19"/>
      <c r="I12" s="26" t="s">
        <v>97</v>
      </c>
      <c r="J12" s="26" t="s">
        <v>108</v>
      </c>
      <c r="K12" s="28">
        <f>1421</f>
        <v>1421</v>
      </c>
      <c r="L12" s="12">
        <v>29.68</v>
      </c>
      <c r="M12" s="13"/>
      <c r="N12" s="18"/>
    </row>
    <row r="13" spans="1:14">
      <c r="A13" s="19"/>
      <c r="B13" s="26" t="s">
        <v>99</v>
      </c>
      <c r="C13" s="26" t="s">
        <v>109</v>
      </c>
      <c r="D13" s="26">
        <f>318</f>
        <v>318</v>
      </c>
      <c r="E13" s="12">
        <v>28.38</v>
      </c>
      <c r="F13" s="13"/>
      <c r="G13" s="14"/>
      <c r="H13" s="19"/>
      <c r="I13" s="26" t="s">
        <v>99</v>
      </c>
      <c r="J13" s="26" t="s">
        <v>110</v>
      </c>
      <c r="K13" s="28">
        <f>197</f>
        <v>197</v>
      </c>
      <c r="L13" s="12">
        <v>35.705</v>
      </c>
      <c r="M13" s="13"/>
      <c r="N13" s="18"/>
    </row>
    <row r="14" spans="1:14">
      <c r="A14" s="19"/>
      <c r="B14" s="26" t="s">
        <v>102</v>
      </c>
      <c r="C14" s="26" t="s">
        <v>111</v>
      </c>
      <c r="D14" s="26">
        <f>3</f>
        <v>3</v>
      </c>
      <c r="E14" s="12">
        <v>41.02</v>
      </c>
      <c r="F14" s="13"/>
      <c r="G14" s="14"/>
      <c r="H14" s="19"/>
      <c r="I14" s="26" t="s">
        <v>102</v>
      </c>
      <c r="J14" s="26" t="s">
        <v>95</v>
      </c>
      <c r="K14" s="27"/>
      <c r="L14" s="12">
        <v>50.12</v>
      </c>
      <c r="M14" s="13"/>
      <c r="N14" s="18"/>
    </row>
    <row r="15" spans="1:14">
      <c r="A15" s="19"/>
      <c r="B15" s="26" t="s">
        <v>105</v>
      </c>
      <c r="C15" s="26" t="s">
        <v>95</v>
      </c>
      <c r="D15" s="26"/>
      <c r="E15" s="12">
        <v>51.01</v>
      </c>
      <c r="F15" s="13"/>
      <c r="G15" s="14"/>
      <c r="H15" s="19"/>
      <c r="I15" s="26" t="s">
        <v>105</v>
      </c>
      <c r="J15" s="26" t="s">
        <v>95</v>
      </c>
      <c r="K15" s="27"/>
      <c r="L15" s="12">
        <v>63.47</v>
      </c>
      <c r="M15" s="13"/>
      <c r="N15" s="18"/>
    </row>
    <row r="16" ht="45" spans="1:14">
      <c r="A16" s="3" t="s">
        <v>83</v>
      </c>
      <c r="B16" s="22" t="s">
        <v>112</v>
      </c>
      <c r="C16" s="23"/>
      <c r="D16" s="24"/>
      <c r="E16" s="3" t="s">
        <v>85</v>
      </c>
      <c r="F16" s="7" t="s">
        <v>86</v>
      </c>
      <c r="G16" s="8" t="s">
        <v>87</v>
      </c>
      <c r="H16" s="3" t="s">
        <v>88</v>
      </c>
      <c r="I16" s="25"/>
      <c r="J16" s="25"/>
      <c r="K16" s="25"/>
      <c r="L16" s="3" t="s">
        <v>85</v>
      </c>
      <c r="M16" s="7" t="s">
        <v>86</v>
      </c>
      <c r="N16" s="8" t="s">
        <v>87</v>
      </c>
    </row>
    <row r="17" ht="45" spans="1:14">
      <c r="A17" s="3" t="s">
        <v>89</v>
      </c>
      <c r="B17" s="3" t="s">
        <v>90</v>
      </c>
      <c r="C17" s="3" t="s">
        <v>91</v>
      </c>
      <c r="D17" s="3" t="s">
        <v>92</v>
      </c>
      <c r="E17" s="3"/>
      <c r="F17" s="7"/>
      <c r="G17" s="7"/>
      <c r="H17" s="3" t="s">
        <v>89</v>
      </c>
      <c r="I17" s="3" t="s">
        <v>90</v>
      </c>
      <c r="J17" s="3" t="s">
        <v>91</v>
      </c>
      <c r="K17" s="3" t="s">
        <v>92</v>
      </c>
      <c r="L17" s="3"/>
      <c r="M17" s="7"/>
      <c r="N17" s="7"/>
    </row>
    <row r="18" ht="26" spans="1:14">
      <c r="A18" s="3" t="s">
        <v>93</v>
      </c>
      <c r="B18" s="26" t="s">
        <v>94</v>
      </c>
      <c r="C18" s="26" t="s">
        <v>95</v>
      </c>
      <c r="D18" s="26"/>
      <c r="E18" s="12">
        <v>18.04</v>
      </c>
      <c r="F18" s="13">
        <f>E18*D18</f>
        <v>0</v>
      </c>
      <c r="G18" s="14"/>
      <c r="H18" s="3" t="s">
        <v>96</v>
      </c>
      <c r="I18" s="26" t="s">
        <v>94</v>
      </c>
      <c r="J18" s="26" t="s">
        <v>95</v>
      </c>
      <c r="K18" s="27"/>
      <c r="L18" s="16">
        <v>22.345</v>
      </c>
      <c r="M18" s="17"/>
      <c r="N18" s="18"/>
    </row>
    <row r="19" ht="52" spans="1:14">
      <c r="A19" s="19"/>
      <c r="B19" s="26" t="s">
        <v>97</v>
      </c>
      <c r="C19" s="26" t="s">
        <v>95</v>
      </c>
      <c r="D19" s="26"/>
      <c r="E19" s="12">
        <v>23.66</v>
      </c>
      <c r="F19" s="13"/>
      <c r="G19" s="14"/>
      <c r="H19" s="19"/>
      <c r="I19" s="26" t="s">
        <v>97</v>
      </c>
      <c r="J19" s="26" t="s">
        <v>113</v>
      </c>
      <c r="K19" s="28">
        <f>15+85+74+74</f>
        <v>248</v>
      </c>
      <c r="L19" s="12">
        <v>29.68</v>
      </c>
      <c r="M19" s="13"/>
      <c r="N19" s="18"/>
    </row>
    <row r="20" ht="39" spans="1:14">
      <c r="A20" s="19"/>
      <c r="B20" s="26" t="s">
        <v>99</v>
      </c>
      <c r="C20" s="26" t="s">
        <v>114</v>
      </c>
      <c r="D20" s="26">
        <f>162</f>
        <v>162</v>
      </c>
      <c r="E20" s="12">
        <v>28.38</v>
      </c>
      <c r="F20" s="13"/>
      <c r="G20" s="14"/>
      <c r="H20" s="19"/>
      <c r="I20" s="26" t="s">
        <v>99</v>
      </c>
      <c r="J20" s="26" t="s">
        <v>115</v>
      </c>
      <c r="K20" s="28">
        <f>223+89+76</f>
        <v>388</v>
      </c>
      <c r="L20" s="12">
        <v>35.705</v>
      </c>
      <c r="M20" s="13"/>
      <c r="N20" s="18"/>
    </row>
    <row r="21" spans="1:14">
      <c r="A21" s="19"/>
      <c r="B21" s="26" t="s">
        <v>102</v>
      </c>
      <c r="C21" s="26" t="s">
        <v>95</v>
      </c>
      <c r="D21" s="26"/>
      <c r="E21" s="12">
        <v>41.02</v>
      </c>
      <c r="F21" s="13"/>
      <c r="G21" s="14"/>
      <c r="H21" s="19"/>
      <c r="I21" s="26" t="s">
        <v>102</v>
      </c>
      <c r="J21" s="26" t="s">
        <v>116</v>
      </c>
      <c r="K21" s="28">
        <f>3</f>
        <v>3</v>
      </c>
      <c r="L21" s="12">
        <v>50.12</v>
      </c>
      <c r="M21" s="13"/>
      <c r="N21" s="18"/>
    </row>
    <row r="22" spans="1:14">
      <c r="A22" s="19"/>
      <c r="B22" s="26" t="s">
        <v>105</v>
      </c>
      <c r="C22" s="26" t="s">
        <v>95</v>
      </c>
      <c r="D22" s="26"/>
      <c r="E22" s="12">
        <v>51.01</v>
      </c>
      <c r="F22" s="13"/>
      <c r="G22" s="14"/>
      <c r="H22" s="19"/>
      <c r="I22" s="26" t="s">
        <v>105</v>
      </c>
      <c r="J22" s="26" t="s">
        <v>95</v>
      </c>
      <c r="K22" s="27"/>
      <c r="L22" s="12">
        <v>63.47</v>
      </c>
      <c r="M22" s="13"/>
      <c r="N22" s="18"/>
    </row>
    <row r="23" ht="45" spans="1:14">
      <c r="A23" s="3" t="s">
        <v>83</v>
      </c>
      <c r="B23" s="22" t="s">
        <v>40</v>
      </c>
      <c r="C23" s="23"/>
      <c r="D23" s="24"/>
      <c r="E23" s="3" t="s">
        <v>85</v>
      </c>
      <c r="F23" s="7" t="s">
        <v>86</v>
      </c>
      <c r="G23" s="8" t="s">
        <v>87</v>
      </c>
      <c r="H23" s="3" t="s">
        <v>88</v>
      </c>
      <c r="I23" s="25"/>
      <c r="J23" s="25"/>
      <c r="K23" s="25"/>
      <c r="L23" s="3" t="s">
        <v>85</v>
      </c>
      <c r="M23" s="7" t="s">
        <v>86</v>
      </c>
      <c r="N23" s="8" t="s">
        <v>87</v>
      </c>
    </row>
    <row r="24" ht="45" spans="1:14">
      <c r="A24" s="3" t="s">
        <v>89</v>
      </c>
      <c r="B24" s="3" t="s">
        <v>90</v>
      </c>
      <c r="C24" s="3" t="s">
        <v>91</v>
      </c>
      <c r="D24" s="3" t="s">
        <v>92</v>
      </c>
      <c r="E24" s="3"/>
      <c r="F24" s="7"/>
      <c r="G24" s="7"/>
      <c r="H24" s="3" t="s">
        <v>89</v>
      </c>
      <c r="I24" s="3" t="s">
        <v>90</v>
      </c>
      <c r="J24" s="3" t="s">
        <v>91</v>
      </c>
      <c r="K24" s="3" t="s">
        <v>92</v>
      </c>
      <c r="L24" s="3"/>
      <c r="M24" s="7"/>
      <c r="N24" s="7"/>
    </row>
    <row r="25" ht="26" spans="1:14">
      <c r="A25" s="3" t="s">
        <v>93</v>
      </c>
      <c r="B25" s="26" t="s">
        <v>94</v>
      </c>
      <c r="C25" s="26" t="s">
        <v>95</v>
      </c>
      <c r="D25" s="26"/>
      <c r="E25" s="12">
        <v>18.04</v>
      </c>
      <c r="F25" s="13"/>
      <c r="G25" s="14"/>
      <c r="H25" s="3" t="s">
        <v>96</v>
      </c>
      <c r="I25" s="26" t="s">
        <v>94</v>
      </c>
      <c r="J25" s="26"/>
      <c r="K25" s="27"/>
      <c r="L25" s="16">
        <v>22.345</v>
      </c>
      <c r="M25" s="17"/>
      <c r="N25" s="18"/>
    </row>
    <row r="26" ht="39" spans="1:14">
      <c r="A26" s="19"/>
      <c r="B26" s="26" t="s">
        <v>97</v>
      </c>
      <c r="C26" s="26" t="s">
        <v>117</v>
      </c>
      <c r="D26" s="26">
        <f>138</f>
        <v>138</v>
      </c>
      <c r="E26" s="12">
        <v>23.66</v>
      </c>
      <c r="F26" s="13"/>
      <c r="G26" s="14"/>
      <c r="H26" s="19"/>
      <c r="I26" s="26" t="s">
        <v>97</v>
      </c>
      <c r="J26" s="26" t="s">
        <v>118</v>
      </c>
      <c r="K26" s="28">
        <v>178</v>
      </c>
      <c r="L26" s="12">
        <v>29.68</v>
      </c>
      <c r="M26" s="13"/>
      <c r="N26" s="18"/>
    </row>
    <row r="27" ht="26" spans="1:14">
      <c r="A27" s="19"/>
      <c r="B27" s="26" t="s">
        <v>99</v>
      </c>
      <c r="C27" s="26" t="s">
        <v>119</v>
      </c>
      <c r="D27" s="26">
        <f>240</f>
        <v>240</v>
      </c>
      <c r="E27" s="12">
        <v>28.38</v>
      </c>
      <c r="F27" s="13"/>
      <c r="G27" s="14"/>
      <c r="H27" s="19"/>
      <c r="I27" s="26" t="s">
        <v>99</v>
      </c>
      <c r="J27" s="26" t="s">
        <v>120</v>
      </c>
      <c r="K27" s="28">
        <f>837+46</f>
        <v>883</v>
      </c>
      <c r="L27" s="12">
        <v>35.705</v>
      </c>
      <c r="M27" s="13"/>
      <c r="N27" s="18"/>
    </row>
    <row r="28" spans="1:14">
      <c r="A28" s="19"/>
      <c r="B28" s="26" t="s">
        <v>102</v>
      </c>
      <c r="C28" s="26" t="s">
        <v>121</v>
      </c>
      <c r="D28" s="26">
        <f>103</f>
        <v>103</v>
      </c>
      <c r="E28" s="12">
        <v>41.02</v>
      </c>
      <c r="F28" s="13"/>
      <c r="G28" s="14"/>
      <c r="H28" s="19"/>
      <c r="I28" s="26" t="s">
        <v>102</v>
      </c>
      <c r="J28" s="26" t="s">
        <v>95</v>
      </c>
      <c r="K28" s="27"/>
      <c r="L28" s="12">
        <v>50.12</v>
      </c>
      <c r="M28" s="13"/>
      <c r="N28" s="18"/>
    </row>
    <row r="29" spans="1:14">
      <c r="A29" s="19"/>
      <c r="B29" s="26" t="s">
        <v>105</v>
      </c>
      <c r="C29" s="26" t="s">
        <v>95</v>
      </c>
      <c r="D29" s="26"/>
      <c r="E29" s="12">
        <v>51.01</v>
      </c>
      <c r="F29" s="13"/>
      <c r="G29" s="14"/>
      <c r="H29" s="19"/>
      <c r="I29" s="26" t="s">
        <v>105</v>
      </c>
      <c r="J29" s="26" t="s">
        <v>95</v>
      </c>
      <c r="K29" s="27"/>
      <c r="L29" s="12">
        <v>63.47</v>
      </c>
      <c r="M29" s="13"/>
      <c r="N29" s="18"/>
    </row>
    <row r="30" ht="45" spans="1:14">
      <c r="A30" s="3" t="s">
        <v>83</v>
      </c>
      <c r="B30" s="22" t="s">
        <v>122</v>
      </c>
      <c r="C30" s="23"/>
      <c r="D30" s="24"/>
      <c r="E30" s="3" t="s">
        <v>85</v>
      </c>
      <c r="F30" s="7" t="s">
        <v>86</v>
      </c>
      <c r="G30" s="8" t="s">
        <v>87</v>
      </c>
      <c r="H30" s="3" t="s">
        <v>88</v>
      </c>
      <c r="I30" s="26"/>
      <c r="J30" s="26"/>
      <c r="K30" s="26"/>
      <c r="L30" s="3" t="s">
        <v>85</v>
      </c>
      <c r="M30" s="7" t="s">
        <v>86</v>
      </c>
      <c r="N30" s="8" t="s">
        <v>87</v>
      </c>
    </row>
    <row r="31" ht="45" spans="1:14">
      <c r="A31" s="3" t="s">
        <v>89</v>
      </c>
      <c r="B31" s="3" t="s">
        <v>90</v>
      </c>
      <c r="C31" s="3" t="s">
        <v>91</v>
      </c>
      <c r="D31" s="3" t="s">
        <v>92</v>
      </c>
      <c r="E31" s="3"/>
      <c r="F31" s="7"/>
      <c r="G31" s="7"/>
      <c r="H31" s="3" t="s">
        <v>89</v>
      </c>
      <c r="I31" s="3" t="s">
        <v>90</v>
      </c>
      <c r="J31" s="3" t="s">
        <v>91</v>
      </c>
      <c r="K31" s="3" t="s">
        <v>92</v>
      </c>
      <c r="L31" s="3"/>
      <c r="M31" s="7"/>
      <c r="N31" s="7"/>
    </row>
    <row r="32" ht="26" spans="1:14">
      <c r="A32" s="29" t="s">
        <v>123</v>
      </c>
      <c r="B32" s="26" t="s">
        <v>94</v>
      </c>
      <c r="C32" s="26" t="s">
        <v>95</v>
      </c>
      <c r="D32" s="26"/>
      <c r="E32" s="12">
        <v>18.04</v>
      </c>
      <c r="F32" s="13"/>
      <c r="G32" s="14"/>
      <c r="H32" s="29" t="s">
        <v>124</v>
      </c>
      <c r="I32" s="26" t="s">
        <v>94</v>
      </c>
      <c r="J32" s="26" t="s">
        <v>95</v>
      </c>
      <c r="K32" s="27"/>
      <c r="L32" s="16">
        <v>22.345</v>
      </c>
      <c r="M32" s="17"/>
      <c r="N32" s="18"/>
    </row>
    <row r="33" spans="1:14">
      <c r="A33" s="19"/>
      <c r="B33" s="26" t="s">
        <v>97</v>
      </c>
      <c r="C33" s="26" t="s">
        <v>95</v>
      </c>
      <c r="D33" s="26"/>
      <c r="E33" s="12">
        <v>23.66</v>
      </c>
      <c r="F33" s="13"/>
      <c r="G33" s="14"/>
      <c r="H33" s="19"/>
      <c r="I33" s="26" t="s">
        <v>97</v>
      </c>
      <c r="J33" s="26" t="s">
        <v>125</v>
      </c>
      <c r="K33" s="28">
        <f>65</f>
        <v>65</v>
      </c>
      <c r="L33" s="12">
        <v>29.68</v>
      </c>
      <c r="M33" s="13"/>
      <c r="N33" s="18"/>
    </row>
    <row r="34" spans="1:14">
      <c r="A34" s="19"/>
      <c r="B34" s="26" t="s">
        <v>99</v>
      </c>
      <c r="C34" s="26" t="s">
        <v>95</v>
      </c>
      <c r="D34" s="26"/>
      <c r="E34" s="12">
        <v>28.38</v>
      </c>
      <c r="F34" s="13"/>
      <c r="G34" s="14"/>
      <c r="H34" s="19"/>
      <c r="I34" s="26" t="s">
        <v>99</v>
      </c>
      <c r="J34" s="26" t="s">
        <v>126</v>
      </c>
      <c r="K34" s="28">
        <f>111</f>
        <v>111</v>
      </c>
      <c r="L34" s="12">
        <v>35.705</v>
      </c>
      <c r="M34" s="13"/>
      <c r="N34" s="18"/>
    </row>
    <row r="35" spans="1:14">
      <c r="A35" s="19"/>
      <c r="B35" s="26" t="s">
        <v>102</v>
      </c>
      <c r="C35" s="26" t="s">
        <v>95</v>
      </c>
      <c r="D35" s="26"/>
      <c r="E35" s="12">
        <v>41.02</v>
      </c>
      <c r="F35" s="13"/>
      <c r="G35" s="14"/>
      <c r="H35" s="19"/>
      <c r="I35" s="26" t="s">
        <v>102</v>
      </c>
      <c r="J35" s="26" t="s">
        <v>95</v>
      </c>
      <c r="K35" s="27"/>
      <c r="L35" s="12">
        <v>50.12</v>
      </c>
      <c r="M35" s="13"/>
      <c r="N35" s="18"/>
    </row>
    <row r="36" spans="1:14">
      <c r="A36" s="19"/>
      <c r="B36" s="26" t="s">
        <v>105</v>
      </c>
      <c r="C36" s="26" t="s">
        <v>95</v>
      </c>
      <c r="D36" s="26"/>
      <c r="E36" s="12">
        <v>51.01</v>
      </c>
      <c r="F36" s="13"/>
      <c r="G36" s="14"/>
      <c r="H36" s="19"/>
      <c r="I36" s="26" t="s">
        <v>105</v>
      </c>
      <c r="J36" s="26" t="s">
        <v>95</v>
      </c>
      <c r="K36" s="27"/>
      <c r="L36" s="12">
        <v>63.47</v>
      </c>
      <c r="M36" s="13"/>
      <c r="N36" s="18"/>
    </row>
    <row r="37" ht="45" spans="1:14">
      <c r="A37" s="3" t="s">
        <v>83</v>
      </c>
      <c r="B37" s="22" t="s">
        <v>43</v>
      </c>
      <c r="C37" s="23"/>
      <c r="D37" s="24"/>
      <c r="E37" s="3" t="s">
        <v>85</v>
      </c>
      <c r="F37" s="7" t="s">
        <v>86</v>
      </c>
      <c r="G37" s="8" t="s">
        <v>87</v>
      </c>
      <c r="H37" s="3" t="s">
        <v>88</v>
      </c>
      <c r="I37" s="25"/>
      <c r="J37" s="25"/>
      <c r="K37" s="25"/>
      <c r="L37" s="3" t="s">
        <v>85</v>
      </c>
      <c r="M37" s="7" t="s">
        <v>86</v>
      </c>
      <c r="N37" s="8" t="s">
        <v>87</v>
      </c>
    </row>
    <row r="38" ht="45" spans="1:14">
      <c r="A38" s="3" t="s">
        <v>89</v>
      </c>
      <c r="B38" s="3" t="s">
        <v>90</v>
      </c>
      <c r="C38" s="3" t="s">
        <v>91</v>
      </c>
      <c r="D38" s="3" t="s">
        <v>92</v>
      </c>
      <c r="E38" s="3"/>
      <c r="F38" s="7"/>
      <c r="G38" s="7"/>
      <c r="H38" s="3" t="s">
        <v>89</v>
      </c>
      <c r="I38" s="3" t="s">
        <v>90</v>
      </c>
      <c r="J38" s="3" t="s">
        <v>91</v>
      </c>
      <c r="K38" s="3" t="s">
        <v>92</v>
      </c>
      <c r="L38" s="3"/>
      <c r="M38" s="7"/>
      <c r="N38" s="7"/>
    </row>
    <row r="39" ht="26" spans="1:14">
      <c r="A39" s="3" t="s">
        <v>93</v>
      </c>
      <c r="B39" s="26" t="s">
        <v>94</v>
      </c>
      <c r="C39" s="26" t="s">
        <v>95</v>
      </c>
      <c r="D39" s="26"/>
      <c r="E39" s="12">
        <v>18.04</v>
      </c>
      <c r="F39" s="13"/>
      <c r="G39" s="14"/>
      <c r="H39" s="3" t="s">
        <v>96</v>
      </c>
      <c r="I39" s="26" t="s">
        <v>94</v>
      </c>
      <c r="J39" s="26" t="s">
        <v>95</v>
      </c>
      <c r="K39" s="27">
        <v>0</v>
      </c>
      <c r="L39" s="16">
        <v>22.345</v>
      </c>
      <c r="M39" s="17"/>
      <c r="N39" s="18"/>
    </row>
    <row r="40" ht="26" spans="1:14">
      <c r="A40" s="19"/>
      <c r="B40" s="26" t="s">
        <v>97</v>
      </c>
      <c r="C40" s="26" t="s">
        <v>127</v>
      </c>
      <c r="D40" s="26">
        <f>116-2</f>
        <v>114</v>
      </c>
      <c r="E40" s="12">
        <v>23.66</v>
      </c>
      <c r="F40" s="13"/>
      <c r="G40" s="14"/>
      <c r="H40" s="19"/>
      <c r="I40" s="26" t="s">
        <v>97</v>
      </c>
      <c r="J40" s="26" t="s">
        <v>128</v>
      </c>
      <c r="K40" s="28">
        <f>198-2</f>
        <v>196</v>
      </c>
      <c r="L40" s="12">
        <v>29.68</v>
      </c>
      <c r="M40" s="13"/>
      <c r="N40" s="18"/>
    </row>
    <row r="41" spans="1:14">
      <c r="A41" s="19"/>
      <c r="B41" s="26" t="s">
        <v>99</v>
      </c>
      <c r="C41" s="26" t="s">
        <v>129</v>
      </c>
      <c r="D41" s="26">
        <f>4</f>
        <v>4</v>
      </c>
      <c r="E41" s="12">
        <v>28.38</v>
      </c>
      <c r="F41" s="13"/>
      <c r="G41" s="14"/>
      <c r="H41" s="19"/>
      <c r="I41" s="26" t="s">
        <v>99</v>
      </c>
      <c r="J41" s="26" t="s">
        <v>95</v>
      </c>
      <c r="K41" s="27"/>
      <c r="L41" s="12">
        <v>35.705</v>
      </c>
      <c r="M41" s="13"/>
      <c r="N41" s="18"/>
    </row>
    <row r="42" spans="1:14">
      <c r="A42" s="19"/>
      <c r="B42" s="26" t="s">
        <v>102</v>
      </c>
      <c r="C42" s="26" t="s">
        <v>95</v>
      </c>
      <c r="D42" s="26"/>
      <c r="E42" s="12">
        <v>41.02</v>
      </c>
      <c r="F42" s="13"/>
      <c r="G42" s="14"/>
      <c r="H42" s="19"/>
      <c r="I42" s="26" t="s">
        <v>102</v>
      </c>
      <c r="J42" s="26" t="s">
        <v>95</v>
      </c>
      <c r="K42" s="27"/>
      <c r="L42" s="12">
        <v>50.12</v>
      </c>
      <c r="M42" s="13"/>
      <c r="N42" s="18"/>
    </row>
    <row r="43" spans="1:14">
      <c r="A43" s="19"/>
      <c r="B43" s="26" t="s">
        <v>105</v>
      </c>
      <c r="C43" s="26" t="s">
        <v>95</v>
      </c>
      <c r="D43" s="26"/>
      <c r="E43" s="12">
        <v>51.01</v>
      </c>
      <c r="F43" s="13"/>
      <c r="G43" s="14"/>
      <c r="H43" s="19"/>
      <c r="I43" s="26" t="s">
        <v>105</v>
      </c>
      <c r="J43" s="26" t="s">
        <v>95</v>
      </c>
      <c r="K43" s="27"/>
      <c r="L43" s="12">
        <v>63.47</v>
      </c>
      <c r="M43" s="13"/>
      <c r="N43" s="18"/>
    </row>
    <row r="44" ht="45" spans="1:14">
      <c r="A44" s="9" t="s">
        <v>83</v>
      </c>
      <c r="B44" s="4" t="s">
        <v>130</v>
      </c>
      <c r="C44" s="5"/>
      <c r="D44" s="6"/>
      <c r="E44" s="3" t="s">
        <v>85</v>
      </c>
      <c r="F44" s="7" t="s">
        <v>86</v>
      </c>
      <c r="G44" s="8" t="s">
        <v>87</v>
      </c>
      <c r="H44" s="9" t="s">
        <v>88</v>
      </c>
      <c r="I44" s="11"/>
      <c r="J44" s="11"/>
      <c r="K44" s="11"/>
      <c r="L44" s="3" t="s">
        <v>85</v>
      </c>
      <c r="M44" s="7" t="s">
        <v>86</v>
      </c>
      <c r="N44" s="8" t="s">
        <v>87</v>
      </c>
    </row>
    <row r="45" ht="45" spans="1:14">
      <c r="A45" s="9" t="s">
        <v>89</v>
      </c>
      <c r="B45" s="9" t="s">
        <v>90</v>
      </c>
      <c r="C45" s="9" t="s">
        <v>91</v>
      </c>
      <c r="D45" s="9" t="s">
        <v>92</v>
      </c>
      <c r="E45" s="3"/>
      <c r="F45" s="7"/>
      <c r="G45" s="7"/>
      <c r="H45" s="9" t="s">
        <v>89</v>
      </c>
      <c r="I45" s="9" t="s">
        <v>90</v>
      </c>
      <c r="J45" s="9" t="s">
        <v>91</v>
      </c>
      <c r="K45" s="9" t="s">
        <v>92</v>
      </c>
      <c r="L45" s="3"/>
      <c r="M45" s="7"/>
      <c r="N45" s="7"/>
    </row>
    <row r="46" ht="26" spans="1:14">
      <c r="A46" s="30" t="s">
        <v>123</v>
      </c>
      <c r="B46" s="11" t="s">
        <v>94</v>
      </c>
      <c r="C46" s="11" t="s">
        <v>131</v>
      </c>
      <c r="D46" s="11">
        <f>83</f>
        <v>83</v>
      </c>
      <c r="E46" s="12">
        <v>18.04</v>
      </c>
      <c r="F46" s="13"/>
      <c r="G46" s="14"/>
      <c r="H46" s="30" t="s">
        <v>124</v>
      </c>
      <c r="I46" s="11" t="s">
        <v>94</v>
      </c>
      <c r="J46" s="11" t="s">
        <v>132</v>
      </c>
      <c r="K46" s="21">
        <f>164</f>
        <v>164</v>
      </c>
      <c r="L46" s="16">
        <v>22.345</v>
      </c>
      <c r="M46" s="17"/>
      <c r="N46" s="18"/>
    </row>
    <row r="47" ht="39" spans="1:14">
      <c r="A47" s="20"/>
      <c r="B47" s="11" t="s">
        <v>97</v>
      </c>
      <c r="C47" s="11" t="s">
        <v>133</v>
      </c>
      <c r="D47" s="11">
        <f>271+68+60-3</f>
        <v>396</v>
      </c>
      <c r="E47" s="12">
        <v>23.66</v>
      </c>
      <c r="F47" s="13"/>
      <c r="G47" s="14"/>
      <c r="H47" s="20"/>
      <c r="I47" s="11" t="s">
        <v>97</v>
      </c>
      <c r="J47" s="11" t="s">
        <v>134</v>
      </c>
      <c r="K47" s="21">
        <f>676-1</f>
        <v>675</v>
      </c>
      <c r="L47" s="12">
        <v>29.68</v>
      </c>
      <c r="M47" s="13"/>
      <c r="N47" s="18"/>
    </row>
    <row r="48" spans="1:14">
      <c r="A48" s="20"/>
      <c r="B48" s="11" t="s">
        <v>99</v>
      </c>
      <c r="C48" s="11" t="s">
        <v>135</v>
      </c>
      <c r="D48" s="11">
        <f>226-1</f>
        <v>225</v>
      </c>
      <c r="E48" s="12">
        <v>28.38</v>
      </c>
      <c r="F48" s="13"/>
      <c r="G48" s="14"/>
      <c r="H48" s="20"/>
      <c r="I48" s="11" t="s">
        <v>99</v>
      </c>
      <c r="J48" s="11" t="s">
        <v>136</v>
      </c>
      <c r="K48" s="21">
        <v>47</v>
      </c>
      <c r="L48" s="12">
        <v>35.705</v>
      </c>
      <c r="M48" s="13"/>
      <c r="N48" s="18"/>
    </row>
    <row r="49" spans="1:14">
      <c r="A49" s="20"/>
      <c r="B49" s="11" t="s">
        <v>102</v>
      </c>
      <c r="C49" s="11" t="s">
        <v>95</v>
      </c>
      <c r="D49" s="11"/>
      <c r="E49" s="12">
        <v>41.02</v>
      </c>
      <c r="F49" s="13"/>
      <c r="G49" s="14"/>
      <c r="H49" s="20"/>
      <c r="I49" s="11" t="s">
        <v>102</v>
      </c>
      <c r="J49" s="11" t="s">
        <v>95</v>
      </c>
      <c r="K49" s="15"/>
      <c r="L49" s="12">
        <v>50.12</v>
      </c>
      <c r="M49" s="13"/>
      <c r="N49" s="18"/>
    </row>
    <row r="50" spans="1:14">
      <c r="A50" s="20"/>
      <c r="B50" s="11" t="s">
        <v>105</v>
      </c>
      <c r="C50" s="11" t="s">
        <v>95</v>
      </c>
      <c r="D50" s="11"/>
      <c r="E50" s="12">
        <v>51.01</v>
      </c>
      <c r="F50" s="13"/>
      <c r="G50" s="14"/>
      <c r="H50" s="20"/>
      <c r="I50" s="11" t="s">
        <v>105</v>
      </c>
      <c r="J50" s="11" t="s">
        <v>95</v>
      </c>
      <c r="K50" s="15"/>
      <c r="L50" s="12">
        <v>63.47</v>
      </c>
      <c r="M50" s="13"/>
      <c r="N50" s="18"/>
    </row>
    <row r="51" ht="45" spans="1:14">
      <c r="A51" s="3" t="s">
        <v>83</v>
      </c>
      <c r="B51" s="22" t="s">
        <v>137</v>
      </c>
      <c r="C51" s="23"/>
      <c r="D51" s="24"/>
      <c r="E51" s="3" t="s">
        <v>85</v>
      </c>
      <c r="F51" s="7" t="s">
        <v>86</v>
      </c>
      <c r="G51" s="8" t="s">
        <v>87</v>
      </c>
      <c r="H51" s="3" t="s">
        <v>88</v>
      </c>
      <c r="I51" s="3"/>
      <c r="J51" s="3"/>
      <c r="K51" s="3"/>
      <c r="L51" s="3" t="s">
        <v>85</v>
      </c>
      <c r="M51" s="7" t="s">
        <v>86</v>
      </c>
      <c r="N51" s="8" t="s">
        <v>87</v>
      </c>
    </row>
    <row r="52" ht="45" spans="1:14">
      <c r="A52" s="3" t="s">
        <v>89</v>
      </c>
      <c r="B52" s="3" t="s">
        <v>90</v>
      </c>
      <c r="C52" s="3" t="s">
        <v>91</v>
      </c>
      <c r="D52" s="3" t="s">
        <v>92</v>
      </c>
      <c r="E52" s="3"/>
      <c r="F52" s="7"/>
      <c r="G52" s="7"/>
      <c r="H52" s="3" t="s">
        <v>89</v>
      </c>
      <c r="I52" s="3" t="s">
        <v>90</v>
      </c>
      <c r="J52" s="3" t="s">
        <v>91</v>
      </c>
      <c r="K52" s="3" t="s">
        <v>92</v>
      </c>
      <c r="L52" s="3"/>
      <c r="M52" s="7"/>
      <c r="N52" s="7"/>
    </row>
    <row r="53" ht="26" spans="1:14">
      <c r="A53" s="3" t="s">
        <v>93</v>
      </c>
      <c r="B53" s="26" t="s">
        <v>94</v>
      </c>
      <c r="C53" s="26" t="s">
        <v>95</v>
      </c>
      <c r="D53" s="26"/>
      <c r="E53" s="12">
        <v>18.04</v>
      </c>
      <c r="F53" s="13"/>
      <c r="G53" s="14"/>
      <c r="H53" s="3" t="s">
        <v>96</v>
      </c>
      <c r="I53" s="26" t="s">
        <v>94</v>
      </c>
      <c r="J53" s="26" t="s">
        <v>95</v>
      </c>
      <c r="K53" s="28"/>
      <c r="L53" s="16">
        <v>22.345</v>
      </c>
      <c r="M53" s="17"/>
      <c r="N53" s="18"/>
    </row>
    <row r="54" spans="1:14">
      <c r="A54" s="19"/>
      <c r="B54" s="26" t="s">
        <v>97</v>
      </c>
      <c r="C54" s="26" t="s">
        <v>95</v>
      </c>
      <c r="D54" s="26"/>
      <c r="E54" s="12">
        <v>23.66</v>
      </c>
      <c r="F54" s="13"/>
      <c r="G54" s="14"/>
      <c r="H54" s="19"/>
      <c r="I54" s="26" t="s">
        <v>97</v>
      </c>
      <c r="J54" s="26" t="s">
        <v>138</v>
      </c>
      <c r="K54" s="28">
        <f>38</f>
        <v>38</v>
      </c>
      <c r="L54" s="12">
        <v>29.68</v>
      </c>
      <c r="M54" s="13"/>
      <c r="N54" s="18"/>
    </row>
    <row r="55" spans="1:14">
      <c r="A55" s="19"/>
      <c r="B55" s="26" t="s">
        <v>99</v>
      </c>
      <c r="C55" s="26" t="s">
        <v>139</v>
      </c>
      <c r="D55" s="26">
        <f>74</f>
        <v>74</v>
      </c>
      <c r="E55" s="12">
        <v>28.38</v>
      </c>
      <c r="F55" s="13"/>
      <c r="G55" s="14"/>
      <c r="H55" s="19"/>
      <c r="I55" s="26" t="s">
        <v>99</v>
      </c>
      <c r="J55" s="26" t="s">
        <v>140</v>
      </c>
      <c r="K55" s="28">
        <f>44</f>
        <v>44</v>
      </c>
      <c r="L55" s="12">
        <v>35.705</v>
      </c>
      <c r="M55" s="13"/>
      <c r="N55" s="18"/>
    </row>
    <row r="56" spans="1:14">
      <c r="A56" s="19"/>
      <c r="B56" s="26" t="s">
        <v>102</v>
      </c>
      <c r="C56" s="26" t="s">
        <v>141</v>
      </c>
      <c r="D56" s="26">
        <f>52</f>
        <v>52</v>
      </c>
      <c r="E56" s="12">
        <v>41.02</v>
      </c>
      <c r="F56" s="13"/>
      <c r="G56" s="14"/>
      <c r="H56" s="19"/>
      <c r="I56" s="26" t="s">
        <v>102</v>
      </c>
      <c r="J56" s="26" t="s">
        <v>142</v>
      </c>
      <c r="K56" s="28">
        <f>14</f>
        <v>14</v>
      </c>
      <c r="L56" s="12">
        <v>50.12</v>
      </c>
      <c r="M56" s="13"/>
      <c r="N56" s="18"/>
    </row>
    <row r="57" spans="1:14">
      <c r="A57" s="19"/>
      <c r="B57" s="26" t="s">
        <v>105</v>
      </c>
      <c r="C57" s="26" t="s">
        <v>95</v>
      </c>
      <c r="D57" s="26"/>
      <c r="E57" s="12">
        <v>51.01</v>
      </c>
      <c r="F57" s="13"/>
      <c r="G57" s="14"/>
      <c r="H57" s="19"/>
      <c r="I57" s="26" t="s">
        <v>105</v>
      </c>
      <c r="J57" s="26" t="s">
        <v>95</v>
      </c>
      <c r="K57" s="27"/>
      <c r="L57" s="12">
        <v>63.47</v>
      </c>
      <c r="M57" s="13"/>
      <c r="N57" s="18"/>
    </row>
    <row r="58" ht="45" spans="1:14">
      <c r="A58" s="3" t="s">
        <v>83</v>
      </c>
      <c r="B58" s="22" t="s">
        <v>52</v>
      </c>
      <c r="C58" s="23"/>
      <c r="D58" s="24"/>
      <c r="E58" s="3" t="s">
        <v>143</v>
      </c>
      <c r="F58" s="7" t="s">
        <v>144</v>
      </c>
      <c r="G58" s="8" t="s">
        <v>87</v>
      </c>
      <c r="H58" s="3" t="s">
        <v>88</v>
      </c>
      <c r="I58" s="26"/>
      <c r="J58" s="26"/>
      <c r="K58" s="26"/>
      <c r="L58" s="3" t="s">
        <v>143</v>
      </c>
      <c r="M58" s="7" t="s">
        <v>144</v>
      </c>
      <c r="N58" s="8" t="s">
        <v>87</v>
      </c>
    </row>
    <row r="59" ht="45" spans="1:14">
      <c r="A59" s="3" t="s">
        <v>89</v>
      </c>
      <c r="B59" s="3" t="s">
        <v>90</v>
      </c>
      <c r="C59" s="3" t="s">
        <v>91</v>
      </c>
      <c r="D59" s="3" t="s">
        <v>92</v>
      </c>
      <c r="E59" s="3"/>
      <c r="F59" s="7"/>
      <c r="G59" s="7"/>
      <c r="H59" s="3" t="s">
        <v>89</v>
      </c>
      <c r="I59" s="3" t="s">
        <v>90</v>
      </c>
      <c r="J59" s="3" t="s">
        <v>91</v>
      </c>
      <c r="K59" s="3" t="s">
        <v>92</v>
      </c>
      <c r="L59" s="31"/>
      <c r="M59" s="32"/>
      <c r="N59" s="18"/>
    </row>
    <row r="60" ht="26" spans="1:14">
      <c r="A60" s="29" t="s">
        <v>123</v>
      </c>
      <c r="B60" s="26" t="s">
        <v>94</v>
      </c>
      <c r="C60" s="26" t="s">
        <v>95</v>
      </c>
      <c r="D60" s="26"/>
      <c r="E60" s="16">
        <v>14.6</v>
      </c>
      <c r="F60" s="17"/>
      <c r="G60" s="14"/>
      <c r="H60" s="29" t="s">
        <v>124</v>
      </c>
      <c r="I60" s="26" t="s">
        <v>94</v>
      </c>
      <c r="J60" s="26" t="s">
        <v>95</v>
      </c>
      <c r="K60" s="27"/>
      <c r="L60" s="16">
        <v>18.82</v>
      </c>
      <c r="M60" s="17"/>
      <c r="N60" s="18"/>
    </row>
    <row r="61" spans="1:14">
      <c r="A61" s="19"/>
      <c r="B61" s="26" t="s">
        <v>97</v>
      </c>
      <c r="C61" s="26" t="s">
        <v>95</v>
      </c>
      <c r="D61" s="26"/>
      <c r="E61" s="16">
        <v>19.515</v>
      </c>
      <c r="F61" s="17"/>
      <c r="G61" s="14"/>
      <c r="H61" s="19"/>
      <c r="I61" s="26" t="s">
        <v>97</v>
      </c>
      <c r="J61" s="26" t="s">
        <v>145</v>
      </c>
      <c r="K61" s="28">
        <f>194</f>
        <v>194</v>
      </c>
      <c r="L61" s="16">
        <v>25.42</v>
      </c>
      <c r="M61" s="17"/>
      <c r="N61" s="18"/>
    </row>
    <row r="62" spans="1:14">
      <c r="A62" s="19"/>
      <c r="B62" s="26" t="s">
        <v>99</v>
      </c>
      <c r="C62" s="26" t="s">
        <v>95</v>
      </c>
      <c r="D62" s="26"/>
      <c r="E62" s="16">
        <v>23.465</v>
      </c>
      <c r="F62" s="17"/>
      <c r="G62" s="14"/>
      <c r="H62" s="19"/>
      <c r="I62" s="26" t="s">
        <v>99</v>
      </c>
      <c r="J62" s="26" t="s">
        <v>146</v>
      </c>
      <c r="K62" s="28">
        <f>122</f>
        <v>122</v>
      </c>
      <c r="L62" s="16">
        <v>30.775</v>
      </c>
      <c r="M62" s="17"/>
      <c r="N62" s="18"/>
    </row>
    <row r="63" spans="1:14">
      <c r="A63" s="19"/>
      <c r="B63" s="26" t="s">
        <v>102</v>
      </c>
      <c r="C63" s="26" t="s">
        <v>95</v>
      </c>
      <c r="D63" s="26"/>
      <c r="E63" s="16">
        <v>34.94</v>
      </c>
      <c r="F63" s="17"/>
      <c r="G63" s="14"/>
      <c r="H63" s="19"/>
      <c r="I63" s="26" t="s">
        <v>102</v>
      </c>
      <c r="J63" s="26" t="s">
        <v>95</v>
      </c>
      <c r="K63" s="27"/>
      <c r="L63" s="33">
        <v>42.6</v>
      </c>
      <c r="M63" s="34"/>
      <c r="N63" s="18"/>
    </row>
    <row r="64" spans="1:14">
      <c r="A64" s="19"/>
      <c r="B64" s="26" t="s">
        <v>105</v>
      </c>
      <c r="C64" s="26" t="s">
        <v>95</v>
      </c>
      <c r="D64" s="26"/>
      <c r="E64" s="16">
        <v>43.925</v>
      </c>
      <c r="F64" s="17"/>
      <c r="G64" s="14"/>
      <c r="H64" s="19"/>
      <c r="I64" s="26" t="s">
        <v>105</v>
      </c>
      <c r="J64" s="26" t="s">
        <v>95</v>
      </c>
      <c r="K64" s="27"/>
      <c r="L64" s="35">
        <v>53.95</v>
      </c>
      <c r="M64" s="36"/>
      <c r="N64" s="18"/>
    </row>
    <row r="65" ht="45" spans="1:14">
      <c r="A65" s="3" t="s">
        <v>83</v>
      </c>
      <c r="B65" s="22" t="s">
        <v>147</v>
      </c>
      <c r="C65" s="23"/>
      <c r="D65" s="24"/>
      <c r="E65" s="3" t="s">
        <v>143</v>
      </c>
      <c r="F65" s="7" t="s">
        <v>144</v>
      </c>
      <c r="G65" s="8" t="s">
        <v>87</v>
      </c>
      <c r="H65" s="3" t="s">
        <v>88</v>
      </c>
      <c r="I65" s="26"/>
      <c r="J65" s="26"/>
      <c r="K65" s="26"/>
      <c r="L65" s="3" t="s">
        <v>143</v>
      </c>
      <c r="M65" s="7" t="s">
        <v>144</v>
      </c>
      <c r="N65" s="8" t="s">
        <v>87</v>
      </c>
    </row>
    <row r="66" ht="45" spans="1:14">
      <c r="A66" s="3" t="s">
        <v>89</v>
      </c>
      <c r="B66" s="3" t="s">
        <v>90</v>
      </c>
      <c r="C66" s="3" t="s">
        <v>91</v>
      </c>
      <c r="D66" s="3" t="s">
        <v>92</v>
      </c>
      <c r="E66" s="3"/>
      <c r="F66" s="7"/>
      <c r="G66" s="7"/>
      <c r="H66" s="3" t="s">
        <v>89</v>
      </c>
      <c r="I66" s="3" t="s">
        <v>90</v>
      </c>
      <c r="J66" s="3" t="s">
        <v>91</v>
      </c>
      <c r="K66" s="3" t="s">
        <v>92</v>
      </c>
      <c r="L66" s="31"/>
      <c r="M66" s="32"/>
      <c r="N66" s="18"/>
    </row>
    <row r="67" ht="26" spans="1:14">
      <c r="A67" s="37" t="s">
        <v>123</v>
      </c>
      <c r="B67" s="26" t="s">
        <v>94</v>
      </c>
      <c r="C67" s="26" t="s">
        <v>95</v>
      </c>
      <c r="D67" s="26"/>
      <c r="E67" s="16">
        <v>14.6</v>
      </c>
      <c r="F67" s="17"/>
      <c r="G67" s="14"/>
      <c r="H67" s="29" t="s">
        <v>124</v>
      </c>
      <c r="I67" s="26" t="s">
        <v>94</v>
      </c>
      <c r="J67" s="26" t="s">
        <v>95</v>
      </c>
      <c r="K67" s="27"/>
      <c r="L67" s="16">
        <v>18.82</v>
      </c>
      <c r="M67" s="17"/>
      <c r="N67" s="18"/>
    </row>
    <row r="68" spans="1:14">
      <c r="A68" s="19"/>
      <c r="B68" s="26" t="s">
        <v>97</v>
      </c>
      <c r="C68" s="26" t="s">
        <v>148</v>
      </c>
      <c r="D68" s="26">
        <v>24</v>
      </c>
      <c r="E68" s="16">
        <v>19.515</v>
      </c>
      <c r="F68" s="17"/>
      <c r="G68" s="14"/>
      <c r="H68" s="19"/>
      <c r="I68" s="26" t="s">
        <v>97</v>
      </c>
      <c r="J68" s="26" t="s">
        <v>95</v>
      </c>
      <c r="K68" s="27"/>
      <c r="L68" s="16">
        <v>25.42</v>
      </c>
      <c r="M68" s="17"/>
      <c r="N68" s="18"/>
    </row>
    <row r="69" spans="1:14">
      <c r="A69" s="19"/>
      <c r="B69" s="26" t="s">
        <v>99</v>
      </c>
      <c r="C69" s="26" t="s">
        <v>149</v>
      </c>
      <c r="D69" s="26">
        <v>165</v>
      </c>
      <c r="E69" s="16">
        <v>23.465</v>
      </c>
      <c r="F69" s="17"/>
      <c r="G69" s="14"/>
      <c r="H69" s="19"/>
      <c r="I69" s="26" t="s">
        <v>99</v>
      </c>
      <c r="J69" s="26" t="s">
        <v>95</v>
      </c>
      <c r="K69" s="27"/>
      <c r="L69" s="16">
        <v>30.775</v>
      </c>
      <c r="M69" s="17"/>
      <c r="N69" s="18"/>
    </row>
    <row r="70" spans="1:14">
      <c r="A70" s="19"/>
      <c r="B70" s="26" t="s">
        <v>102</v>
      </c>
      <c r="C70" s="26" t="s">
        <v>150</v>
      </c>
      <c r="D70" s="26">
        <v>79</v>
      </c>
      <c r="E70" s="16">
        <v>34.94</v>
      </c>
      <c r="F70" s="17"/>
      <c r="G70" s="14"/>
      <c r="H70" s="19"/>
      <c r="I70" s="26" t="s">
        <v>102</v>
      </c>
      <c r="J70" s="26" t="s">
        <v>95</v>
      </c>
      <c r="K70" s="27"/>
      <c r="L70" s="33">
        <v>42.6</v>
      </c>
      <c r="M70" s="34"/>
      <c r="N70" s="18"/>
    </row>
    <row r="71" spans="1:14">
      <c r="A71" s="19"/>
      <c r="B71" s="26" t="s">
        <v>105</v>
      </c>
      <c r="C71" s="26" t="s">
        <v>95</v>
      </c>
      <c r="D71" s="26"/>
      <c r="E71" s="16">
        <v>43.925</v>
      </c>
      <c r="F71" s="17"/>
      <c r="G71" s="14"/>
      <c r="H71" s="19"/>
      <c r="I71" s="26" t="s">
        <v>105</v>
      </c>
      <c r="J71" s="26" t="s">
        <v>95</v>
      </c>
      <c r="K71" s="27"/>
      <c r="L71" s="35">
        <v>53.95</v>
      </c>
      <c r="M71" s="36"/>
      <c r="N71" s="18"/>
    </row>
    <row r="72" ht="45" spans="1:14">
      <c r="A72" s="3" t="s">
        <v>83</v>
      </c>
      <c r="B72" s="22" t="s">
        <v>151</v>
      </c>
      <c r="C72" s="23"/>
      <c r="D72" s="24"/>
      <c r="E72" s="3" t="s">
        <v>143</v>
      </c>
      <c r="F72" s="7" t="s">
        <v>144</v>
      </c>
      <c r="G72" s="8" t="s">
        <v>87</v>
      </c>
      <c r="H72" s="3" t="s">
        <v>88</v>
      </c>
      <c r="I72" s="26"/>
      <c r="J72" s="26"/>
      <c r="K72" s="26"/>
      <c r="L72" s="3" t="s">
        <v>143</v>
      </c>
      <c r="M72" s="7" t="s">
        <v>144</v>
      </c>
      <c r="N72" s="8" t="s">
        <v>87</v>
      </c>
    </row>
    <row r="73" ht="45" spans="1:14">
      <c r="A73" s="3" t="s">
        <v>89</v>
      </c>
      <c r="B73" s="3" t="s">
        <v>90</v>
      </c>
      <c r="C73" s="3" t="s">
        <v>91</v>
      </c>
      <c r="D73" s="3" t="s">
        <v>92</v>
      </c>
      <c r="E73" s="3"/>
      <c r="F73" s="7"/>
      <c r="G73" s="7"/>
      <c r="H73" s="3" t="s">
        <v>89</v>
      </c>
      <c r="I73" s="3" t="s">
        <v>90</v>
      </c>
      <c r="J73" s="3" t="s">
        <v>91</v>
      </c>
      <c r="K73" s="3" t="s">
        <v>92</v>
      </c>
      <c r="L73" s="31"/>
      <c r="M73" s="32"/>
      <c r="N73" s="18"/>
    </row>
    <row r="74" ht="26" spans="1:14">
      <c r="A74" s="37" t="s">
        <v>123</v>
      </c>
      <c r="B74" s="26" t="s">
        <v>94</v>
      </c>
      <c r="C74" s="26" t="s">
        <v>95</v>
      </c>
      <c r="D74" s="26"/>
      <c r="E74" s="16">
        <v>14.6</v>
      </c>
      <c r="F74" s="17"/>
      <c r="G74" s="14"/>
      <c r="H74" s="29" t="s">
        <v>124</v>
      </c>
      <c r="I74" s="26" t="s">
        <v>94</v>
      </c>
      <c r="J74" s="26" t="s">
        <v>95</v>
      </c>
      <c r="K74" s="27"/>
      <c r="L74" s="16">
        <v>18.82</v>
      </c>
      <c r="M74" s="17"/>
      <c r="N74" s="18"/>
    </row>
    <row r="75" spans="1:14">
      <c r="A75" s="19"/>
      <c r="B75" s="26" t="s">
        <v>97</v>
      </c>
      <c r="C75" s="26" t="s">
        <v>152</v>
      </c>
      <c r="D75" s="26">
        <f>2</f>
        <v>2</v>
      </c>
      <c r="E75" s="16">
        <v>19.515</v>
      </c>
      <c r="F75" s="17"/>
      <c r="G75" s="14"/>
      <c r="H75" s="19"/>
      <c r="I75" s="26" t="s">
        <v>97</v>
      </c>
      <c r="J75" s="26" t="s">
        <v>95</v>
      </c>
      <c r="K75" s="27"/>
      <c r="L75" s="16">
        <v>25.42</v>
      </c>
      <c r="M75" s="17"/>
      <c r="N75" s="18"/>
    </row>
    <row r="76" spans="1:14">
      <c r="A76" s="19"/>
      <c r="B76" s="26" t="s">
        <v>99</v>
      </c>
      <c r="C76" s="26" t="s">
        <v>153</v>
      </c>
      <c r="D76" s="26">
        <f>38</f>
        <v>38</v>
      </c>
      <c r="E76" s="16">
        <v>23.465</v>
      </c>
      <c r="F76" s="17"/>
      <c r="G76" s="14"/>
      <c r="H76" s="19"/>
      <c r="I76" s="26" t="s">
        <v>99</v>
      </c>
      <c r="J76" s="26" t="s">
        <v>95</v>
      </c>
      <c r="K76" s="27"/>
      <c r="L76" s="16">
        <v>30.775</v>
      </c>
      <c r="M76" s="17"/>
      <c r="N76" s="18"/>
    </row>
    <row r="77" spans="1:14">
      <c r="A77" s="19"/>
      <c r="B77" s="26" t="s">
        <v>102</v>
      </c>
      <c r="C77" s="26" t="s">
        <v>154</v>
      </c>
      <c r="D77" s="26">
        <f>16</f>
        <v>16</v>
      </c>
      <c r="E77" s="16">
        <v>34.94</v>
      </c>
      <c r="F77" s="17"/>
      <c r="G77" s="14"/>
      <c r="H77" s="19"/>
      <c r="I77" s="26" t="s">
        <v>102</v>
      </c>
      <c r="J77" s="26" t="s">
        <v>95</v>
      </c>
      <c r="K77" s="27"/>
      <c r="L77" s="33">
        <v>42.6</v>
      </c>
      <c r="M77" s="34"/>
      <c r="N77" s="18"/>
    </row>
    <row r="78" spans="1:14">
      <c r="A78" s="19"/>
      <c r="B78" s="26" t="s">
        <v>105</v>
      </c>
      <c r="C78" s="26" t="s">
        <v>95</v>
      </c>
      <c r="D78" s="26"/>
      <c r="E78" s="16">
        <v>43.925</v>
      </c>
      <c r="F78" s="17"/>
      <c r="G78" s="14"/>
      <c r="H78" s="19"/>
      <c r="I78" s="26" t="s">
        <v>105</v>
      </c>
      <c r="J78" s="26" t="s">
        <v>95</v>
      </c>
      <c r="K78" s="27"/>
      <c r="L78" s="35">
        <v>53.95</v>
      </c>
      <c r="M78" s="36"/>
      <c r="N78" s="18"/>
    </row>
    <row r="79" ht="45" spans="1:14">
      <c r="A79" s="3" t="s">
        <v>83</v>
      </c>
      <c r="B79" s="22" t="s">
        <v>56</v>
      </c>
      <c r="C79" s="23"/>
      <c r="D79" s="24"/>
      <c r="E79" s="3" t="s">
        <v>143</v>
      </c>
      <c r="F79" s="7" t="s">
        <v>144</v>
      </c>
      <c r="G79" s="8" t="s">
        <v>87</v>
      </c>
      <c r="H79" s="3" t="s">
        <v>88</v>
      </c>
      <c r="I79" s="26"/>
      <c r="J79" s="26"/>
      <c r="K79" s="26"/>
      <c r="L79" s="3" t="s">
        <v>143</v>
      </c>
      <c r="M79" s="7" t="s">
        <v>144</v>
      </c>
      <c r="N79" s="8" t="s">
        <v>87</v>
      </c>
    </row>
    <row r="80" ht="45" spans="1:14">
      <c r="A80" s="3" t="s">
        <v>89</v>
      </c>
      <c r="B80" s="3" t="s">
        <v>90</v>
      </c>
      <c r="C80" s="3" t="s">
        <v>91</v>
      </c>
      <c r="D80" s="3" t="s">
        <v>92</v>
      </c>
      <c r="E80" s="3"/>
      <c r="F80" s="7"/>
      <c r="G80" s="7"/>
      <c r="H80" s="3" t="s">
        <v>89</v>
      </c>
      <c r="I80" s="3" t="s">
        <v>90</v>
      </c>
      <c r="J80" s="3" t="s">
        <v>91</v>
      </c>
      <c r="K80" s="3" t="s">
        <v>92</v>
      </c>
      <c r="L80" s="31"/>
      <c r="M80" s="32"/>
      <c r="N80" s="18"/>
    </row>
    <row r="81" ht="26" spans="1:14">
      <c r="A81" s="37" t="s">
        <v>123</v>
      </c>
      <c r="B81" s="26" t="s">
        <v>94</v>
      </c>
      <c r="C81" s="26" t="s">
        <v>95</v>
      </c>
      <c r="D81" s="26"/>
      <c r="E81" s="16">
        <v>14.6</v>
      </c>
      <c r="F81" s="17"/>
      <c r="G81" s="14"/>
      <c r="H81" s="29" t="s">
        <v>124</v>
      </c>
      <c r="I81" s="26" t="s">
        <v>94</v>
      </c>
      <c r="J81" s="26" t="s">
        <v>95</v>
      </c>
      <c r="K81" s="27"/>
      <c r="L81" s="16">
        <v>18.82</v>
      </c>
      <c r="M81" s="17"/>
      <c r="N81" s="18"/>
    </row>
    <row r="82" spans="1:14">
      <c r="A82" s="19"/>
      <c r="B82" s="26" t="s">
        <v>97</v>
      </c>
      <c r="C82" s="26" t="s">
        <v>95</v>
      </c>
      <c r="D82" s="26"/>
      <c r="E82" s="16">
        <v>19.515</v>
      </c>
      <c r="F82" s="17"/>
      <c r="G82" s="14"/>
      <c r="H82" s="19"/>
      <c r="I82" s="26" t="s">
        <v>97</v>
      </c>
      <c r="J82" s="26" t="s">
        <v>95</v>
      </c>
      <c r="K82" s="27"/>
      <c r="L82" s="16">
        <v>25.42</v>
      </c>
      <c r="M82" s="17"/>
      <c r="N82" s="18"/>
    </row>
    <row r="83" spans="1:14">
      <c r="A83" s="19"/>
      <c r="B83" s="26" t="s">
        <v>99</v>
      </c>
      <c r="C83" s="26" t="s">
        <v>155</v>
      </c>
      <c r="D83" s="26">
        <f>64</f>
        <v>64</v>
      </c>
      <c r="E83" s="16">
        <v>23.465</v>
      </c>
      <c r="F83" s="17"/>
      <c r="G83" s="14"/>
      <c r="H83" s="19"/>
      <c r="I83" s="26" t="s">
        <v>99</v>
      </c>
      <c r="J83" s="26" t="s">
        <v>95</v>
      </c>
      <c r="K83" s="27"/>
      <c r="L83" s="16">
        <v>30.775</v>
      </c>
      <c r="M83" s="17"/>
      <c r="N83" s="18"/>
    </row>
    <row r="84" spans="1:14">
      <c r="A84" s="19"/>
      <c r="B84" s="26" t="s">
        <v>102</v>
      </c>
      <c r="C84" s="26" t="s">
        <v>95</v>
      </c>
      <c r="D84" s="26"/>
      <c r="E84" s="16">
        <v>34.94</v>
      </c>
      <c r="F84" s="17"/>
      <c r="G84" s="14"/>
      <c r="H84" s="19"/>
      <c r="I84" s="26" t="s">
        <v>102</v>
      </c>
      <c r="J84" s="26" t="s">
        <v>95</v>
      </c>
      <c r="K84" s="27"/>
      <c r="L84" s="33">
        <v>42.6</v>
      </c>
      <c r="M84" s="34"/>
      <c r="N84" s="18"/>
    </row>
    <row r="85" spans="1:14">
      <c r="A85" s="19"/>
      <c r="B85" s="26" t="s">
        <v>105</v>
      </c>
      <c r="C85" s="26" t="s">
        <v>95</v>
      </c>
      <c r="D85" s="26"/>
      <c r="E85" s="16">
        <v>43.925</v>
      </c>
      <c r="F85" s="17"/>
      <c r="G85" s="14"/>
      <c r="H85" s="19"/>
      <c r="I85" s="26" t="s">
        <v>105</v>
      </c>
      <c r="J85" s="26" t="s">
        <v>95</v>
      </c>
      <c r="K85" s="27"/>
      <c r="L85" s="35">
        <v>53.95</v>
      </c>
      <c r="M85" s="36"/>
      <c r="N85" s="18"/>
    </row>
    <row r="86" ht="45" spans="1:14">
      <c r="A86" s="3" t="s">
        <v>83</v>
      </c>
      <c r="B86" s="22" t="s">
        <v>156</v>
      </c>
      <c r="C86" s="23"/>
      <c r="D86" s="24"/>
      <c r="E86" s="3" t="s">
        <v>143</v>
      </c>
      <c r="F86" s="7" t="s">
        <v>144</v>
      </c>
      <c r="G86" s="8" t="s">
        <v>87</v>
      </c>
      <c r="H86" s="3" t="s">
        <v>88</v>
      </c>
      <c r="I86" s="26"/>
      <c r="J86" s="26"/>
      <c r="K86" s="26"/>
      <c r="L86" s="3" t="s">
        <v>143</v>
      </c>
      <c r="M86" s="7" t="s">
        <v>144</v>
      </c>
      <c r="N86" s="8" t="s">
        <v>87</v>
      </c>
    </row>
    <row r="87" ht="45" spans="1:14">
      <c r="A87" s="3" t="s">
        <v>89</v>
      </c>
      <c r="B87" s="3" t="s">
        <v>90</v>
      </c>
      <c r="C87" s="3" t="s">
        <v>91</v>
      </c>
      <c r="D87" s="3" t="s">
        <v>92</v>
      </c>
      <c r="E87" s="3"/>
      <c r="F87" s="7"/>
      <c r="G87" s="7"/>
      <c r="H87" s="3" t="s">
        <v>89</v>
      </c>
      <c r="I87" s="3" t="s">
        <v>90</v>
      </c>
      <c r="J87" s="3" t="s">
        <v>91</v>
      </c>
      <c r="K87" s="3" t="s">
        <v>92</v>
      </c>
      <c r="L87" s="31"/>
      <c r="M87" s="32"/>
      <c r="N87" s="18"/>
    </row>
    <row r="88" ht="26" spans="1:14">
      <c r="A88" s="29" t="s">
        <v>123</v>
      </c>
      <c r="B88" s="26" t="s">
        <v>94</v>
      </c>
      <c r="C88" s="26" t="s">
        <v>95</v>
      </c>
      <c r="D88" s="26"/>
      <c r="E88" s="16">
        <v>14.6</v>
      </c>
      <c r="F88" s="17"/>
      <c r="G88" s="14"/>
      <c r="H88" s="29" t="s">
        <v>124</v>
      </c>
      <c r="I88" s="26" t="s">
        <v>94</v>
      </c>
      <c r="J88" s="26" t="s">
        <v>95</v>
      </c>
      <c r="K88" s="27"/>
      <c r="L88" s="16">
        <v>18.82</v>
      </c>
      <c r="M88" s="17"/>
      <c r="N88" s="18"/>
    </row>
    <row r="89" spans="1:14">
      <c r="A89" s="19"/>
      <c r="B89" s="26" t="s">
        <v>97</v>
      </c>
      <c r="C89" s="26" t="s">
        <v>95</v>
      </c>
      <c r="D89" s="26"/>
      <c r="E89" s="16">
        <v>19.515</v>
      </c>
      <c r="F89" s="17"/>
      <c r="G89" s="14"/>
      <c r="H89" s="19"/>
      <c r="I89" s="26" t="s">
        <v>97</v>
      </c>
      <c r="J89" s="26" t="s">
        <v>95</v>
      </c>
      <c r="K89" s="27"/>
      <c r="L89" s="16">
        <v>25.42</v>
      </c>
      <c r="M89" s="17"/>
      <c r="N89" s="18"/>
    </row>
    <row r="90" ht="26" spans="1:14">
      <c r="A90" s="19"/>
      <c r="B90" s="26" t="s">
        <v>99</v>
      </c>
      <c r="C90" s="26" t="s">
        <v>157</v>
      </c>
      <c r="D90" s="26">
        <f>98+149</f>
        <v>247</v>
      </c>
      <c r="E90" s="16">
        <v>23.465</v>
      </c>
      <c r="F90" s="17"/>
      <c r="G90" s="14"/>
      <c r="H90" s="19"/>
      <c r="I90" s="26" t="s">
        <v>99</v>
      </c>
      <c r="J90" s="26" t="s">
        <v>95</v>
      </c>
      <c r="K90" s="27"/>
      <c r="L90" s="16">
        <v>30.775</v>
      </c>
      <c r="M90" s="17"/>
      <c r="N90" s="18"/>
    </row>
    <row r="91" spans="1:14">
      <c r="A91" s="19"/>
      <c r="B91" s="26" t="s">
        <v>102</v>
      </c>
      <c r="C91" s="26" t="s">
        <v>158</v>
      </c>
      <c r="D91" s="26">
        <f>135</f>
        <v>135</v>
      </c>
      <c r="E91" s="16">
        <v>34.94</v>
      </c>
      <c r="F91" s="17"/>
      <c r="G91" s="14"/>
      <c r="H91" s="19"/>
      <c r="I91" s="26" t="s">
        <v>102</v>
      </c>
      <c r="J91" s="26" t="s">
        <v>95</v>
      </c>
      <c r="K91" s="27"/>
      <c r="L91" s="33">
        <v>42.6</v>
      </c>
      <c r="M91" s="34"/>
      <c r="N91" s="18"/>
    </row>
    <row r="92" spans="1:14">
      <c r="A92" s="19"/>
      <c r="B92" s="26" t="s">
        <v>105</v>
      </c>
      <c r="C92" s="26" t="s">
        <v>95</v>
      </c>
      <c r="D92" s="26"/>
      <c r="E92" s="16">
        <v>43.925</v>
      </c>
      <c r="F92" s="17"/>
      <c r="G92" s="14"/>
      <c r="H92" s="19"/>
      <c r="I92" s="26" t="s">
        <v>105</v>
      </c>
      <c r="J92" s="26" t="s">
        <v>95</v>
      </c>
      <c r="K92" s="27"/>
      <c r="L92" s="35">
        <v>53.95</v>
      </c>
      <c r="M92" s="36"/>
      <c r="N92" s="18"/>
    </row>
    <row r="93" ht="45" spans="1:14">
      <c r="A93" s="3" t="s">
        <v>83</v>
      </c>
      <c r="B93" s="22" t="s">
        <v>159</v>
      </c>
      <c r="C93" s="23"/>
      <c r="D93" s="24"/>
      <c r="E93" s="3" t="s">
        <v>143</v>
      </c>
      <c r="F93" s="7" t="s">
        <v>144</v>
      </c>
      <c r="G93" s="8" t="s">
        <v>87</v>
      </c>
      <c r="H93" s="3" t="s">
        <v>88</v>
      </c>
      <c r="I93" s="26"/>
      <c r="J93" s="26"/>
      <c r="K93" s="26"/>
      <c r="L93" s="3" t="s">
        <v>143</v>
      </c>
      <c r="M93" s="7" t="s">
        <v>144</v>
      </c>
      <c r="N93" s="8" t="s">
        <v>87</v>
      </c>
    </row>
    <row r="94" ht="45" spans="1:14">
      <c r="A94" s="3" t="s">
        <v>89</v>
      </c>
      <c r="B94" s="3" t="s">
        <v>90</v>
      </c>
      <c r="C94" s="3" t="s">
        <v>91</v>
      </c>
      <c r="D94" s="3" t="s">
        <v>92</v>
      </c>
      <c r="E94" s="3"/>
      <c r="F94" s="7"/>
      <c r="G94" s="7"/>
      <c r="H94" s="3" t="s">
        <v>89</v>
      </c>
      <c r="I94" s="3" t="s">
        <v>90</v>
      </c>
      <c r="J94" s="3" t="s">
        <v>91</v>
      </c>
      <c r="K94" s="3" t="s">
        <v>92</v>
      </c>
      <c r="L94" s="31"/>
      <c r="M94" s="32"/>
      <c r="N94" s="18"/>
    </row>
    <row r="95" ht="26" spans="1:14">
      <c r="A95" s="29" t="s">
        <v>123</v>
      </c>
      <c r="B95" s="26" t="s">
        <v>94</v>
      </c>
      <c r="C95" s="26" t="s">
        <v>95</v>
      </c>
      <c r="D95" s="26"/>
      <c r="E95" s="16">
        <v>14.6</v>
      </c>
      <c r="F95" s="17"/>
      <c r="G95" s="14"/>
      <c r="H95" s="29" t="s">
        <v>124</v>
      </c>
      <c r="I95" s="26" t="s">
        <v>94</v>
      </c>
      <c r="J95" s="26" t="s">
        <v>95</v>
      </c>
      <c r="K95" s="27">
        <v>0</v>
      </c>
      <c r="L95" s="16">
        <v>18.82</v>
      </c>
      <c r="M95" s="17"/>
      <c r="N95" s="18"/>
    </row>
    <row r="96" spans="1:14">
      <c r="A96" s="19"/>
      <c r="B96" s="26" t="s">
        <v>97</v>
      </c>
      <c r="C96" s="26" t="s">
        <v>95</v>
      </c>
      <c r="D96" s="26"/>
      <c r="E96" s="16">
        <v>19.515</v>
      </c>
      <c r="F96" s="17"/>
      <c r="G96" s="14"/>
      <c r="H96" s="19"/>
      <c r="I96" s="26" t="s">
        <v>97</v>
      </c>
      <c r="J96" s="26" t="s">
        <v>95</v>
      </c>
      <c r="K96" s="27"/>
      <c r="L96" s="16">
        <v>25.42</v>
      </c>
      <c r="M96" s="17"/>
      <c r="N96" s="18"/>
    </row>
    <row r="97" spans="1:14">
      <c r="A97" s="19"/>
      <c r="B97" s="26" t="s">
        <v>99</v>
      </c>
      <c r="C97" s="26" t="s">
        <v>160</v>
      </c>
      <c r="D97" s="26">
        <f>248</f>
        <v>248</v>
      </c>
      <c r="E97" s="16">
        <v>23.465</v>
      </c>
      <c r="F97" s="17"/>
      <c r="G97" s="14"/>
      <c r="H97" s="19"/>
      <c r="I97" s="26" t="s">
        <v>99</v>
      </c>
      <c r="J97" s="26" t="s">
        <v>95</v>
      </c>
      <c r="K97" s="27"/>
      <c r="L97" s="16">
        <v>30.775</v>
      </c>
      <c r="M97" s="17"/>
      <c r="N97" s="18"/>
    </row>
    <row r="98" spans="1:14">
      <c r="A98" s="19"/>
      <c r="B98" s="26" t="s">
        <v>102</v>
      </c>
      <c r="C98" s="26" t="s">
        <v>161</v>
      </c>
      <c r="D98" s="26">
        <f>234</f>
        <v>234</v>
      </c>
      <c r="E98" s="16">
        <v>34.94</v>
      </c>
      <c r="F98" s="17"/>
      <c r="G98" s="14"/>
      <c r="H98" s="19"/>
      <c r="I98" s="26" t="s">
        <v>102</v>
      </c>
      <c r="J98" s="26" t="s">
        <v>95</v>
      </c>
      <c r="K98" s="27"/>
      <c r="L98" s="33">
        <v>42.6</v>
      </c>
      <c r="M98" s="34"/>
      <c r="N98" s="18"/>
    </row>
    <row r="99" spans="1:14">
      <c r="A99" s="19"/>
      <c r="B99" s="26" t="s">
        <v>105</v>
      </c>
      <c r="C99" s="26" t="s">
        <v>162</v>
      </c>
      <c r="D99" s="26">
        <f>87</f>
        <v>87</v>
      </c>
      <c r="E99" s="16">
        <v>43.925</v>
      </c>
      <c r="F99" s="17"/>
      <c r="G99" s="14"/>
      <c r="H99" s="19"/>
      <c r="I99" s="26" t="s">
        <v>105</v>
      </c>
      <c r="J99" s="26" t="s">
        <v>95</v>
      </c>
      <c r="K99" s="27"/>
      <c r="L99" s="35">
        <v>53.95</v>
      </c>
      <c r="M99" s="36"/>
      <c r="N99" s="18"/>
    </row>
    <row r="100" ht="45" spans="1:14">
      <c r="A100" s="3" t="s">
        <v>83</v>
      </c>
      <c r="B100" s="38" t="s">
        <v>163</v>
      </c>
      <c r="C100" s="39"/>
      <c r="D100" s="40"/>
      <c r="E100" s="3" t="s">
        <v>143</v>
      </c>
      <c r="F100" s="7" t="s">
        <v>144</v>
      </c>
      <c r="G100" s="8" t="s">
        <v>87</v>
      </c>
      <c r="H100" s="3" t="s">
        <v>88</v>
      </c>
      <c r="I100" s="25"/>
      <c r="J100" s="25"/>
      <c r="K100" s="25"/>
      <c r="L100" s="3" t="s">
        <v>143</v>
      </c>
      <c r="M100" s="7" t="s">
        <v>144</v>
      </c>
      <c r="N100" s="8" t="s">
        <v>87</v>
      </c>
    </row>
    <row r="101" ht="45" spans="1:14">
      <c r="A101" s="3" t="s">
        <v>89</v>
      </c>
      <c r="B101" s="3" t="s">
        <v>90</v>
      </c>
      <c r="C101" s="3" t="s">
        <v>91</v>
      </c>
      <c r="D101" s="3" t="s">
        <v>92</v>
      </c>
      <c r="E101" s="3"/>
      <c r="F101" s="7"/>
      <c r="G101" s="7"/>
      <c r="H101" s="3" t="s">
        <v>89</v>
      </c>
      <c r="I101" s="3" t="s">
        <v>90</v>
      </c>
      <c r="J101" s="3" t="s">
        <v>91</v>
      </c>
      <c r="K101" s="3" t="s">
        <v>92</v>
      </c>
      <c r="L101" s="31"/>
      <c r="M101" s="32"/>
      <c r="N101" s="18"/>
    </row>
    <row r="102" ht="26" spans="1:14">
      <c r="A102" s="29" t="s">
        <v>123</v>
      </c>
      <c r="B102" s="26" t="s">
        <v>94</v>
      </c>
      <c r="C102" s="26" t="s">
        <v>95</v>
      </c>
      <c r="D102" s="26"/>
      <c r="E102" s="16">
        <v>14.6</v>
      </c>
      <c r="F102" s="17"/>
      <c r="G102" s="14"/>
      <c r="H102" s="29" t="s">
        <v>124</v>
      </c>
      <c r="I102" s="26" t="s">
        <v>94</v>
      </c>
      <c r="J102" s="26" t="s">
        <v>95</v>
      </c>
      <c r="K102" s="27"/>
      <c r="L102" s="16">
        <v>18.82</v>
      </c>
      <c r="M102" s="17"/>
      <c r="N102" s="18"/>
    </row>
    <row r="103" spans="1:14">
      <c r="A103" s="3"/>
      <c r="B103" s="26" t="s">
        <v>97</v>
      </c>
      <c r="C103" s="26" t="s">
        <v>95</v>
      </c>
      <c r="D103" s="26"/>
      <c r="E103" s="16">
        <v>19.515</v>
      </c>
      <c r="F103" s="17"/>
      <c r="G103" s="14"/>
      <c r="H103" s="3"/>
      <c r="I103" s="26" t="s">
        <v>97</v>
      </c>
      <c r="J103" s="26" t="s">
        <v>95</v>
      </c>
      <c r="K103" s="27"/>
      <c r="L103" s="16">
        <v>25.42</v>
      </c>
      <c r="M103" s="17"/>
      <c r="N103" s="18"/>
    </row>
    <row r="104" spans="1:14">
      <c r="A104" s="3"/>
      <c r="B104" s="26" t="s">
        <v>99</v>
      </c>
      <c r="C104" s="26" t="s">
        <v>164</v>
      </c>
      <c r="D104" s="26">
        <f>123</f>
        <v>123</v>
      </c>
      <c r="E104" s="16">
        <v>23.465</v>
      </c>
      <c r="F104" s="17"/>
      <c r="G104" s="14"/>
      <c r="H104" s="3"/>
      <c r="I104" s="26" t="s">
        <v>99</v>
      </c>
      <c r="J104" s="26" t="s">
        <v>95</v>
      </c>
      <c r="K104" s="27"/>
      <c r="L104" s="16">
        <v>30.775</v>
      </c>
      <c r="M104" s="17"/>
      <c r="N104" s="18"/>
    </row>
    <row r="105" spans="1:14">
      <c r="A105" s="3"/>
      <c r="B105" s="26" t="s">
        <v>102</v>
      </c>
      <c r="C105" s="26" t="s">
        <v>165</v>
      </c>
      <c r="D105" s="26">
        <f>62</f>
        <v>62</v>
      </c>
      <c r="E105" s="16">
        <v>34.94</v>
      </c>
      <c r="F105" s="17"/>
      <c r="G105" s="14"/>
      <c r="H105" s="3"/>
      <c r="I105" s="26" t="s">
        <v>102</v>
      </c>
      <c r="J105" s="26" t="s">
        <v>95</v>
      </c>
      <c r="K105" s="27"/>
      <c r="L105" s="33">
        <v>42.6</v>
      </c>
      <c r="M105" s="34"/>
      <c r="N105" s="18"/>
    </row>
    <row r="106" spans="1:14">
      <c r="A106" s="3"/>
      <c r="B106" s="26" t="s">
        <v>105</v>
      </c>
      <c r="C106" s="26" t="s">
        <v>95</v>
      </c>
      <c r="D106" s="26"/>
      <c r="E106" s="16">
        <v>43.925</v>
      </c>
      <c r="F106" s="17"/>
      <c r="G106" s="14"/>
      <c r="H106" s="3"/>
      <c r="I106" s="26" t="s">
        <v>105</v>
      </c>
      <c r="J106" s="26" t="s">
        <v>95</v>
      </c>
      <c r="K106" s="27"/>
      <c r="L106" s="35">
        <v>53.95</v>
      </c>
      <c r="M106" s="36"/>
      <c r="N106" s="18"/>
    </row>
    <row r="107" ht="45" spans="1:14">
      <c r="A107" s="3" t="s">
        <v>83</v>
      </c>
      <c r="B107" s="38" t="s">
        <v>166</v>
      </c>
      <c r="C107" s="39"/>
      <c r="D107" s="40"/>
      <c r="E107" s="3" t="s">
        <v>143</v>
      </c>
      <c r="F107" s="7" t="s">
        <v>144</v>
      </c>
      <c r="G107" s="8" t="s">
        <v>87</v>
      </c>
      <c r="H107" s="3" t="s">
        <v>88</v>
      </c>
      <c r="I107" s="25"/>
      <c r="J107" s="25"/>
      <c r="K107" s="25"/>
      <c r="L107" s="3" t="s">
        <v>143</v>
      </c>
      <c r="M107" s="7" t="s">
        <v>144</v>
      </c>
      <c r="N107" s="8" t="s">
        <v>87</v>
      </c>
    </row>
    <row r="108" ht="45" spans="1:14">
      <c r="A108" s="3" t="s">
        <v>89</v>
      </c>
      <c r="B108" s="3" t="s">
        <v>90</v>
      </c>
      <c r="C108" s="3" t="s">
        <v>91</v>
      </c>
      <c r="D108" s="3" t="s">
        <v>92</v>
      </c>
      <c r="E108" s="3"/>
      <c r="F108" s="7"/>
      <c r="G108" s="7"/>
      <c r="H108" s="3" t="s">
        <v>89</v>
      </c>
      <c r="I108" s="3" t="s">
        <v>90</v>
      </c>
      <c r="J108" s="3" t="s">
        <v>91</v>
      </c>
      <c r="K108" s="3" t="s">
        <v>92</v>
      </c>
      <c r="L108" s="31"/>
      <c r="M108" s="32"/>
      <c r="N108" s="18"/>
    </row>
    <row r="109" ht="26" spans="1:14">
      <c r="A109" s="29" t="s">
        <v>123</v>
      </c>
      <c r="B109" s="26" t="s">
        <v>94</v>
      </c>
      <c r="C109" s="26" t="s">
        <v>95</v>
      </c>
      <c r="D109" s="28"/>
      <c r="E109" s="16">
        <v>14.6</v>
      </c>
      <c r="F109" s="17"/>
      <c r="G109" s="14"/>
      <c r="H109" s="29" t="s">
        <v>124</v>
      </c>
      <c r="I109" s="26" t="s">
        <v>94</v>
      </c>
      <c r="J109" s="26" t="s">
        <v>95</v>
      </c>
      <c r="K109" s="27"/>
      <c r="L109" s="16">
        <v>18.82</v>
      </c>
      <c r="M109" s="17"/>
      <c r="N109" s="18"/>
    </row>
    <row r="110" spans="1:14">
      <c r="A110" s="3"/>
      <c r="B110" s="26" t="s">
        <v>97</v>
      </c>
      <c r="C110" s="26" t="s">
        <v>152</v>
      </c>
      <c r="D110" s="28">
        <f>2</f>
        <v>2</v>
      </c>
      <c r="E110" s="16">
        <v>19.515</v>
      </c>
      <c r="F110" s="17"/>
      <c r="G110" s="14"/>
      <c r="H110" s="3"/>
      <c r="I110" s="26" t="s">
        <v>97</v>
      </c>
      <c r="J110" s="26" t="s">
        <v>95</v>
      </c>
      <c r="K110" s="27"/>
      <c r="L110" s="16">
        <v>25.42</v>
      </c>
      <c r="M110" s="17"/>
      <c r="N110" s="18"/>
    </row>
    <row r="111" spans="1:14">
      <c r="A111" s="3"/>
      <c r="B111" s="26" t="s">
        <v>99</v>
      </c>
      <c r="C111" s="26" t="s">
        <v>167</v>
      </c>
      <c r="D111" s="28">
        <f>117</f>
        <v>117</v>
      </c>
      <c r="E111" s="16">
        <v>23.465</v>
      </c>
      <c r="F111" s="17"/>
      <c r="G111" s="14"/>
      <c r="H111" s="3"/>
      <c r="I111" s="26" t="s">
        <v>99</v>
      </c>
      <c r="J111" s="26" t="s">
        <v>95</v>
      </c>
      <c r="K111" s="27"/>
      <c r="L111" s="16">
        <v>30.775</v>
      </c>
      <c r="M111" s="17"/>
      <c r="N111" s="18"/>
    </row>
    <row r="112" spans="1:14">
      <c r="A112" s="3"/>
      <c r="B112" s="26" t="s">
        <v>102</v>
      </c>
      <c r="C112" s="26" t="s">
        <v>168</v>
      </c>
      <c r="D112" s="28">
        <f>129-2-2</f>
        <v>125</v>
      </c>
      <c r="E112" s="16">
        <v>34.94</v>
      </c>
      <c r="F112" s="17"/>
      <c r="G112" s="14"/>
      <c r="H112" s="3"/>
      <c r="I112" s="26" t="s">
        <v>102</v>
      </c>
      <c r="J112" s="26" t="s">
        <v>95</v>
      </c>
      <c r="K112" s="27"/>
      <c r="L112" s="33">
        <v>42.6</v>
      </c>
      <c r="M112" s="34"/>
      <c r="N112" s="18"/>
    </row>
    <row r="113" spans="1:14">
      <c r="A113" s="3"/>
      <c r="B113" s="26" t="s">
        <v>105</v>
      </c>
      <c r="C113" s="26" t="s">
        <v>95</v>
      </c>
      <c r="D113" s="26"/>
      <c r="E113" s="16">
        <v>43.925</v>
      </c>
      <c r="F113" s="17"/>
      <c r="G113" s="14"/>
      <c r="H113" s="3"/>
      <c r="I113" s="26" t="s">
        <v>105</v>
      </c>
      <c r="J113" s="26" t="s">
        <v>95</v>
      </c>
      <c r="K113" s="27"/>
      <c r="L113" s="35">
        <v>53.95</v>
      </c>
      <c r="M113" s="36"/>
      <c r="N113" s="18"/>
    </row>
    <row r="114" ht="15" spans="1:14">
      <c r="A114" s="41" t="s">
        <v>169</v>
      </c>
      <c r="B114" s="41"/>
      <c r="C114" s="42">
        <f>SUM(D4:D8,D11:D15,D18:D22,D25:D29,D32:D36,D39:D43,D46:D50,D53:D57,D60:D64,D68:D71,D74:D78,D81:D85,D88:D92,D95:D99,D102:D106,D109:D113,K109:K113,K102:K106,K95:K99,K88:K92,K81:K85,K74:K78,K67:K71,K60:K64,K53:K57,K46:K50,K39:K43,K32:K36,K25:K29,K18:K22,K11:K15,K4:K8)</f>
        <v>9423</v>
      </c>
      <c r="D114" s="42"/>
      <c r="E114" s="42"/>
      <c r="F114" s="42"/>
      <c r="G114" s="42"/>
      <c r="H114" s="43" t="s">
        <v>170</v>
      </c>
      <c r="I114" s="43"/>
      <c r="J114" s="44">
        <f>SUM(G3:G8,G10:G15,G17:G22,G24:G27,G28,G29,G31:G36,G38:G43,G45:G50,G52:G57,G59:G64,G66:G71,G73:G78,G80:G85,G87:G92,G94:G99,G101:G106,G108:G113,N3:N8,N10:N15,N17:N22,N24:N29,N31:N36,N38:N43,N45:N50,N52:N57,N59:N64,N66:N71,N73:N78,N80:N85,N87:N92,N94:N99,N101:N106,N108:N113)</f>
        <v>0</v>
      </c>
      <c r="K114" s="45"/>
      <c r="L114" s="44"/>
      <c r="M114" s="44"/>
      <c r="N114" s="44"/>
    </row>
    <row r="115" spans="1:14">
      <c r="A115" s="46" t="s">
        <v>171</v>
      </c>
      <c r="B115" s="47"/>
      <c r="C115" s="48"/>
      <c r="D115" s="48"/>
      <c r="E115" s="49"/>
      <c r="F115" s="48"/>
      <c r="G115" s="48"/>
      <c r="H115" s="47"/>
      <c r="I115" s="47"/>
      <c r="J115" s="48"/>
      <c r="K115" s="48"/>
      <c r="L115" s="49"/>
      <c r="M115" s="48"/>
      <c r="N115" s="48"/>
    </row>
    <row r="116" ht="39" customHeight="1" spans="1:14">
      <c r="A116" s="47"/>
      <c r="B116" s="47"/>
      <c r="C116" s="48"/>
      <c r="D116" s="48"/>
      <c r="E116" s="49"/>
      <c r="F116" s="48"/>
      <c r="G116" s="48"/>
      <c r="H116" s="47"/>
      <c r="I116" s="47"/>
      <c r="J116" s="48"/>
      <c r="K116" s="48"/>
      <c r="L116" s="49"/>
      <c r="M116" s="48"/>
      <c r="N116" s="48"/>
    </row>
  </sheetData>
  <sheetProtection sheet="1" objects="1"/>
  <mergeCells count="70">
    <mergeCell ref="A1:N1"/>
    <mergeCell ref="B2:D2"/>
    <mergeCell ref="I2:K2"/>
    <mergeCell ref="B9:D9"/>
    <mergeCell ref="I9:K9"/>
    <mergeCell ref="B16:D16"/>
    <mergeCell ref="I16:K16"/>
    <mergeCell ref="B23:D23"/>
    <mergeCell ref="I23:K23"/>
    <mergeCell ref="B30:D30"/>
    <mergeCell ref="I30:K30"/>
    <mergeCell ref="B37:D37"/>
    <mergeCell ref="I37:K37"/>
    <mergeCell ref="B44:D44"/>
    <mergeCell ref="I44:K44"/>
    <mergeCell ref="B51:D51"/>
    <mergeCell ref="I51:K51"/>
    <mergeCell ref="B58:D58"/>
    <mergeCell ref="I58:K58"/>
    <mergeCell ref="B65:D65"/>
    <mergeCell ref="I65:K65"/>
    <mergeCell ref="B72:D72"/>
    <mergeCell ref="I72:K72"/>
    <mergeCell ref="B79:D79"/>
    <mergeCell ref="I79:K79"/>
    <mergeCell ref="B86:D86"/>
    <mergeCell ref="I86:K86"/>
    <mergeCell ref="B93:D93"/>
    <mergeCell ref="I93:K93"/>
    <mergeCell ref="B100:D100"/>
    <mergeCell ref="I100:K100"/>
    <mergeCell ref="B107:D107"/>
    <mergeCell ref="I107:K107"/>
    <mergeCell ref="A114:B114"/>
    <mergeCell ref="C114:G114"/>
    <mergeCell ref="H114:I114"/>
    <mergeCell ref="J114:N114"/>
    <mergeCell ref="A4:A8"/>
    <mergeCell ref="A11:A15"/>
    <mergeCell ref="A18:A22"/>
    <mergeCell ref="A25:A29"/>
    <mergeCell ref="A32:A36"/>
    <mergeCell ref="A39:A43"/>
    <mergeCell ref="A46:A50"/>
    <mergeCell ref="A53:A57"/>
    <mergeCell ref="A60:A64"/>
    <mergeCell ref="A67:A71"/>
    <mergeCell ref="A74:A78"/>
    <mergeCell ref="A81:A85"/>
    <mergeCell ref="A88:A92"/>
    <mergeCell ref="A95:A99"/>
    <mergeCell ref="A102:A106"/>
    <mergeCell ref="A109:A113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H109:H113"/>
    <mergeCell ref="A115:N116"/>
  </mergeCells>
  <pageMargins left="0.2125" right="0.2125" top="0.2125" bottom="0.2125" header="0.511805555555556" footer="0.2125"/>
  <pageSetup paperSize="9" scale="73" fitToHeight="0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2025-11-18T07:19:00Z</dcterms:created>
  <dcterms:modified xsi:type="dcterms:W3CDTF">2026-02-04T05:22:47Z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6DCB5E861E8546E8B2945BE46506E1E9_11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