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7775"/>
  </bookViews>
  <sheets>
    <sheet name="采购需求" sheetId="1" r:id="rId1"/>
  </sheets>
  <definedNames>
    <definedName name="_xlnm._FilterDatabase" localSheetId="0" hidden="1">采购需求!$A$1:$H$209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7" name="ID_B1AC3886EF724BD39396E7A2A6C3A2A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4445" y="101371400"/>
          <a:ext cx="14116050" cy="6696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51BD26EEA07A4D13A7ADC1F075E08B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74445" y="51079400"/>
          <a:ext cx="8848725" cy="678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50EE8035815D4E5D8604C7D8B754BD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01240" y="711200"/>
          <a:ext cx="12096750" cy="6991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F81E8F6850A84BEFBCC33BABC335A56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98420" y="9169400"/>
          <a:ext cx="4381500" cy="3505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ADAACFF8841E4C13883CD5B2429514B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14650720" y="60250705"/>
          <a:ext cx="4676140" cy="1712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6132A4C4F95E484FAF87E931B6BDDBC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01240" y="2120900"/>
          <a:ext cx="9753600" cy="4362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3AB377C06D2343F28C315E38B5CF55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974445" y="46050200"/>
          <a:ext cx="13992225" cy="621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EC164A6B1EE9440C8010F7029B16FF7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77445" y="25933400"/>
          <a:ext cx="8334375" cy="546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DE86A420A3794B1985B27A08C5C44C5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01240" y="3606800"/>
          <a:ext cx="289560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E4FA1DB1D4542C09A1ACF14729FD4E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053060" y="23444200"/>
          <a:ext cx="4914900" cy="320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A973D561693C48A4A1EFC6796052037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23160" y="711200"/>
          <a:ext cx="11220450" cy="714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D0B9366D9ECF4A73BC562A2AED47171F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974445" y="64909700"/>
          <a:ext cx="12915900" cy="4257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3FB66F1F8A594B58B263FE083A40F52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01240" y="6502400"/>
          <a:ext cx="4095750" cy="2114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91C379E111004DDB8145F98FEC71E9E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974445" y="17132300"/>
          <a:ext cx="12011025" cy="675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C5421CA197DF4B34B1130881DB5EF5E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01240" y="9398000"/>
          <a:ext cx="4743450" cy="2000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65E6BD693CA643E0B35D507AFB753C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974445" y="30962600"/>
          <a:ext cx="11525250" cy="665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EB7A7207358242D791AB57D0B62D097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319760" y="41821100"/>
          <a:ext cx="7000875" cy="4076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34DF238E18AD45879B33DC2D5F5CFC8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301240" y="5054600"/>
          <a:ext cx="4991100" cy="171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1273EBB1E3BC45F99EC5DF17CDFDEDD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301240" y="7950200"/>
          <a:ext cx="4591050" cy="259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B057907349774B2E8FE235B7B984549B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598420" y="20447000"/>
          <a:ext cx="4381500" cy="2552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8354C4CF2F7F48E7A9A113559236F53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423160" y="11988800"/>
          <a:ext cx="1352550" cy="1847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D767AD52BA594C25A96C25154AF7959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3974445" y="12103100"/>
          <a:ext cx="12858750" cy="6677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9" name="ID_E6F5AE50AB804FBB9A2441ACAE910C4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974445" y="103886000"/>
          <a:ext cx="9429750" cy="681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14E3203BCCCA4677A64384578A15F7E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3974445" y="63652400"/>
          <a:ext cx="11477625" cy="6648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7E6253BEED44EE78577289E55F0423F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423160" y="2120900"/>
          <a:ext cx="5657850" cy="552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1E8E82BBA284C9B887AC1E2F71F777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423160" y="3530600"/>
          <a:ext cx="5753100" cy="5353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735F8F179E1B4FF39BBF3AC366B6728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974445" y="13360400"/>
          <a:ext cx="10153650" cy="583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017ACCDAB3234962936EBC26BB0FD8F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4083665" y="33753425"/>
          <a:ext cx="14020800" cy="4705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68B1ECE1C40D47EBA649DE041EC1C7F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3974445" y="27190700"/>
          <a:ext cx="13982700" cy="3495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DC30FB239ECB4774BF90D2118647DE8C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598420" y="4940300"/>
          <a:ext cx="3924300" cy="5276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D3DEDEB2001F4B949B0D42B08C597AA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598420" y="28905200"/>
          <a:ext cx="3733800" cy="230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11580C74ECDF4103B94947485A07746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3974445" y="20904200"/>
          <a:ext cx="14020800" cy="5038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98C10AA7C41495499F4E285E5FF971F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598420" y="4940300"/>
          <a:ext cx="3771900" cy="6419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B8D21009674641D4BE045AEB99F04DDD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598420" y="26085800"/>
          <a:ext cx="16592550" cy="3105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A56249E172384C3C9A826EA67532204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2577445" y="24676100"/>
          <a:ext cx="14820900" cy="7439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AD14E46EA69E445B925220E0757CFC1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3974445" y="73710800"/>
          <a:ext cx="12877800" cy="7200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5835AA80E33E4415859F575851F86C7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1205845" y="25831800"/>
          <a:ext cx="11115675" cy="1074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B7F4D9ABB4D14F35BDA8C0F9F81BC6B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3974445" y="82511900"/>
          <a:ext cx="14087475" cy="739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A400DA68A90749208E107D8FE2FCC2E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3974445" y="44792900"/>
          <a:ext cx="13773150" cy="714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8818E1A945264B46B476392734AF514B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598420" y="6350000"/>
          <a:ext cx="6648450" cy="4381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301075AA69B3412CA4A7E644A097073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598420" y="31724600"/>
          <a:ext cx="24193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92598988D6B641768DE30DBE58FEC06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598420" y="7759700"/>
          <a:ext cx="680085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E862DB671C8B41B794DA030ACEC0FB2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598420" y="10579100"/>
          <a:ext cx="3048000" cy="3790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6EEB7590EECD43808DC9B21F8C45BCEB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3974445" y="28448000"/>
          <a:ext cx="12734925" cy="678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4B3D9180359842B0800CCFA25C94AF7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0816590" y="71429880"/>
          <a:ext cx="2362200" cy="2647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933D654248E1499F9150D3CFA5D7941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3974445" y="53594000"/>
          <a:ext cx="8877300" cy="462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7587FC459338474C9DE0E9B3112C287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1248390" y="787400"/>
          <a:ext cx="14325600" cy="7334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8975BDE0BC9A455B9AFF1326A93D449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3974445" y="93827600"/>
          <a:ext cx="13925550" cy="4181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CD23C46AFD854CF88D14689CF1BE58FE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2598420" y="13398500"/>
          <a:ext cx="2000250" cy="361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" name="ID_6AD7CB370B1C437A852AE1EC96FE8E8E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3974445" y="79997300"/>
          <a:ext cx="14230350" cy="7439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3B56658BA9DB414594E93C98591E6AAE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3096240" y="50888900"/>
          <a:ext cx="2647950" cy="381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7B81A02397D949D7A67DACB6D57A877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423160" y="4940300"/>
          <a:ext cx="3124200" cy="443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ADDB2D4668CD42BCB4323FD6A4639D5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3974445" y="18389600"/>
          <a:ext cx="13906500" cy="5286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66598C0B3BA489D80840CCC5E6B229C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2423160" y="6350000"/>
          <a:ext cx="3048000" cy="358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0340686DA7CC4CBCBE5712E1B7F8361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423160" y="9169400"/>
          <a:ext cx="238125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3BA4A3F38784642B9BA0BA9E966081E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2423160" y="10579100"/>
          <a:ext cx="1828800" cy="186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E9A5F84425604AA387D118BE443B3D4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3974445" y="9588500"/>
          <a:ext cx="13582650" cy="534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795C9E9831424EC68198581B8E70E0AD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3974445" y="18389600"/>
          <a:ext cx="12915900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E230CF3B4894C48A3FC8A5D79C8C5CB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2423160" y="11988800"/>
          <a:ext cx="1924050" cy="3352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E746E7C899AD48C7B762B842604EE96D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816590" y="91382850"/>
          <a:ext cx="9334500" cy="681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B153D40167C1458FA6F70C4F21885CCA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3974445" y="32219900"/>
          <a:ext cx="14049375" cy="735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A523E1B4A6454917842C632BF512131A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4269085" y="5955030"/>
          <a:ext cx="2246630" cy="1633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50C31DCED09E4B41961D85AD81A6BAB4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2598420" y="30314900"/>
          <a:ext cx="12115800" cy="1962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DA66A2E12C4C4373BABE8885EDA15012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3974445" y="81254600"/>
          <a:ext cx="14068425" cy="7410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D5A14DB6E8C6440D9D70294353F9EEEF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2598420" y="27495500"/>
          <a:ext cx="8515350" cy="2724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0201B115E5BA4CC4908B15EB10A625FF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3974445" y="95084900"/>
          <a:ext cx="14277975" cy="3228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CBCC51C83C5E4DF1AE60D2AFA35F0254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1248390" y="2044700"/>
          <a:ext cx="9144000" cy="342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274082F411CD4FB7AEF076DF2D635E34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1248390" y="3302000"/>
          <a:ext cx="5438775" cy="381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A2B7CBC9ADBB4E7E9BBBEFDE893E3104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4109065" y="4709160"/>
          <a:ext cx="2414270" cy="101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9C0000AFEBEC4F0CA0844B4C926C400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4110970" y="14704695"/>
          <a:ext cx="9753600" cy="5591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297591E2C3474C65A07D08DD77D94EED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3974445" y="7073900"/>
          <a:ext cx="8972550" cy="6238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BD1901A123C34091BC770E4ABB6A6B04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3974445" y="8331200"/>
          <a:ext cx="12449175" cy="6238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4153E73182DD4B80934F7848E41BA68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2300585" y="98628200"/>
          <a:ext cx="13716000" cy="567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F29292A092964A5BA134D48D71E9D688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3974445" y="107657900"/>
          <a:ext cx="12115800" cy="6391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2A7F51CF85CD4C0186BB178C8AAE2F4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3974445" y="66167000"/>
          <a:ext cx="11839575" cy="662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03533E43F49D4E6EA6E5B9C239A8780C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3974445" y="17132300"/>
          <a:ext cx="13982700" cy="564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68F1C6C76E0A46C596FB54819CBD24C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300585" y="102190550"/>
          <a:ext cx="13963650" cy="6105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1C2BE1E8D4CB4B89BA2E8B090B8061F1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3974445" y="24676100"/>
          <a:ext cx="12534900" cy="5276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49B453539CE44113A8827A0B1C714525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3974445" y="47307500"/>
          <a:ext cx="5000625" cy="695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D26C5CE622B5464395D6572B0A317B4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3974445" y="24676100"/>
          <a:ext cx="13849350" cy="595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0239C0A50325410ABEDBBECF57F70739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3974445" y="25933400"/>
          <a:ext cx="13096875" cy="6800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5E4BE57EBD2345159C43B538D4FC8378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3974445" y="29705300"/>
          <a:ext cx="14049375" cy="4210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A17DD237CB08489899DB710E4573F28A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3974445" y="34734500"/>
          <a:ext cx="14011275" cy="461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AEF1254F59A548B597DCEDFEFA894B03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3974445" y="92570300"/>
          <a:ext cx="14087475" cy="3419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BAE26AC772D04F30921B7F87A523A0DA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3974445" y="78740000"/>
          <a:ext cx="13068300" cy="6572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BBA9671ED95F42D3BAF5716209C1B914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3974445" y="35991800"/>
          <a:ext cx="12906375" cy="605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7786B06F2A164105B04BD6B4142191F9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3974445" y="48564800"/>
          <a:ext cx="9086850" cy="590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15CDB10FE2AF41FFAFD9FA7EF8A40E8C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3974445" y="49822100"/>
          <a:ext cx="11982450" cy="7096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A00CC9A14832455D8FEA21A613899731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3096240" y="132270500"/>
          <a:ext cx="20478750" cy="5219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928E0967BB0148428799176780681577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3974445" y="54851300"/>
          <a:ext cx="6572250" cy="607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67C24445487D4C0FBDE8BB00E483FCC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3974445" y="56108600"/>
          <a:ext cx="14039850" cy="685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D868697C872D4A079E1CF183FA49B149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3974445" y="57365900"/>
          <a:ext cx="11049000" cy="5229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DEBDD7CD365846278232EF104EF4174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4056995" y="97618550"/>
          <a:ext cx="9982200" cy="662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44AB2A31E65A4682A339D718CF53199B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3974445" y="58623200"/>
          <a:ext cx="14068425" cy="6448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53844B1501DC448BBC4BA40A783B07D5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3974445" y="59880500"/>
          <a:ext cx="13344525" cy="6943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23DB9234AE8445979581DA31855C564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3974445" y="62395100"/>
          <a:ext cx="11991975" cy="6696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917EE03C51BA44C9BA44A88792F376C1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2577445" y="62395100"/>
          <a:ext cx="7715250" cy="266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F9D6A6923BCF4745B351D32227791EEA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3974445" y="68681600"/>
          <a:ext cx="12534900" cy="7000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2C4301D770E34CAA897A2B1BF4DD3058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3974445" y="69938900"/>
          <a:ext cx="12963525" cy="595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C4A4B8687BD24371906B85E6788A8B74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3974445" y="71196200"/>
          <a:ext cx="12811125" cy="7248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8224000074174656B8A27CE614AEFDA6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13974445" y="76225400"/>
          <a:ext cx="12934950" cy="7258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4AA86C70BDED46D7AE5C0D4C4EAD6179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3974445" y="83769200"/>
          <a:ext cx="14049375" cy="739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35B21C25F95A4845B98D9457E0DA9EDF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13974445" y="85026500"/>
          <a:ext cx="14058900" cy="737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C6B06A5EF5F64F059364B715D79FF6FE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3974445" y="86283800"/>
          <a:ext cx="14001750" cy="737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25B4D060E68E41A9B059253D5B581A71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3974445" y="87541100"/>
          <a:ext cx="14020800" cy="737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7156B2726B2C417794F8A75D6CB326B3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3974445" y="88798400"/>
          <a:ext cx="13773150" cy="666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5865225816CF4CEBBD2FB00BC7D249BC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13974445" y="90055700"/>
          <a:ext cx="12172950" cy="6457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63D3C40DC9604501AE9511FA0A9C0719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3974445" y="91313000"/>
          <a:ext cx="11534775" cy="6296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FF9409CE25CE4C4ABFE28CB4F94B373C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8311515" y="97675700"/>
          <a:ext cx="8220075" cy="356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C3729080970D442DBB3F6122FD95ACBF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3974445" y="96342200"/>
          <a:ext cx="14020800" cy="3257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3AD97A162C614648B0E049B36C9BEEE8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3096240" y="177939700"/>
          <a:ext cx="14411325" cy="544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" name="ID_7AF360D0CD3C4924B5F4A3ABCC7AC809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3974445" y="98856800"/>
          <a:ext cx="14001750" cy="6505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" name="ID_53029021259145D58A9D4003652AE06C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3974445" y="100114100"/>
          <a:ext cx="14182725" cy="6248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6EBD9F7246634904B7077A574C18F79A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3974445" y="102628700"/>
          <a:ext cx="14192250" cy="681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" name="ID_04A9251D1838434899E82BBDBC188DC9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3974445" y="106400600"/>
          <a:ext cx="13963650" cy="6562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F2B412B04E43423AAD07DBB119758842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2300585" y="178835050"/>
          <a:ext cx="13706475" cy="5848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<sst xmlns="http://schemas.openxmlformats.org/spreadsheetml/2006/main" count="489" uniqueCount="363">
  <si>
    <t>省丹中校园文化采购需求</t>
  </si>
  <si>
    <t>序号</t>
  </si>
  <si>
    <t>项目名称</t>
  </si>
  <si>
    <t>数量</t>
  </si>
  <si>
    <t>单位</t>
  </si>
  <si>
    <t>单项限价</t>
  </si>
  <si>
    <t>技术参数及要求</t>
  </si>
  <si>
    <t>备注</t>
  </si>
  <si>
    <t>索引图注（施工标准以方案为准）</t>
  </si>
  <si>
    <t>1.户外文化景观部分</t>
  </si>
  <si>
    <t>大成文化小品</t>
  </si>
  <si>
    <t>组</t>
  </si>
  <si>
    <t>规格：
高3000*长7322mm，单面展示。
材质工艺：
结构造型304不锈钢+成品字,板材厚度≥2mm。
制作工艺：
结构造型激光切割焊接，表面电镀或烤氟碳漆工艺；
画面：
腐蚀填色工艺；
安装方式：
C30砼基础（表面复原原地面形态）+预埋铁件（不锈钢管结构）；尺寸详见图纸</t>
  </si>
  <si>
    <t>详见设计方案P4-8</t>
  </si>
  <si>
    <t>景观宣传栏</t>
  </si>
  <si>
    <t>个</t>
  </si>
  <si>
    <t>规格：
高2400*长8710mm，单面展示。
材质工艺：
结构造型304不锈钢，板材厚度≥1mm；6mm厚钢化玻璃
制作工艺：
结构造型激光切割焊接，表面烤氟碳漆工艺；橱窗钢化玻璃+液压杆开合方式。
画面：
木纹热转印+丝网印刷；
安装方式：
C30砼基础（表面复原原地面形态）+预埋铁件（不锈钢管结构）；尺寸详见图纸</t>
  </si>
  <si>
    <t>详见设计方案P9-10</t>
  </si>
  <si>
    <t>育人文化</t>
  </si>
  <si>
    <t>规格：
高2350*长3500mm，厚度50mm，单面展示。
材质工艺：
结构造型304不锈钢，板材厚度≥1.5mm；15mm厚钢化玻璃
制作工艺：
结构造型激光切割焊接，表面烤氟碳漆工艺；骨架嵌入钢化玻璃；面304不锈钢雕刻镂空画面。
画面：
uv打印+丝网印刷+激光雕刻；
安装方式：
C30砼基础（表面复原原地面形态）+预埋铁件（不锈钢管结构）；尺寸详见图纸</t>
  </si>
  <si>
    <t>详见设计方案P11-12</t>
  </si>
  <si>
    <t>图书馆宣传栏</t>
  </si>
  <si>
    <t>规格：
高2550*长7540mm，单面展示。
材质工艺：
结构造型304不锈钢,板材厚度≥1.5mm；6mm厚钢化玻璃
制作工艺：
结构造型激光切割焊接，表面烤氟碳漆工艺，橱窗钢化玻璃+液压杆开合方式。
画面：
木纹热转印+丝网印刷+激光雕刻；
安装方式：
C30砼基础（表面复原原地面形态）+预埋铁件（不锈钢管结构）；尺寸详见图纸</t>
  </si>
  <si>
    <t>详见设计方案P13-14</t>
  </si>
  <si>
    <t>教学楼景观墙</t>
  </si>
  <si>
    <t>块</t>
  </si>
  <si>
    <t>规格：
高3000*长9600mm，单面展示。
材质工艺：
·墙面部分：防水腻子，户外油漆
·画面部分：30mm不锈钢方管焊接龙骨+20*30mm木条；高清喷绘布；定制不锈钢收口条
·底部部分：结构造型304不锈钢,板材厚度≥1.5mm。
制作工艺：
·墙面部分：防水腻子找平，户外油漆滚涂
·画面部分：uv打印
·底部部分：烤氟碳漆、丝网印刷
画面：户外高清喷绘；
安装方式：
木条固定喷绘布面不锈钢收口条收口，底座胀管安装</t>
  </si>
  <si>
    <t>详见设计方案P15-16</t>
  </si>
  <si>
    <t>党建小品</t>
  </si>
  <si>
    <t>规格：
高1650*长5000mm，单面展示。
材质工艺：
结构造型304不锈钢+304不锈钢精工烤漆字,板材厚度≥1.5mm；
制作工艺：
结构造型激光切割焊接，表面烤氟碳漆工艺，
画面：氟碳烤漆、激光雕刻
安装方式：
C30砼基础（表面复原原地面形态）+预埋铁件（不锈钢管结构）；尺寸详见图纸</t>
  </si>
  <si>
    <t>详见设计方案P17-18</t>
  </si>
  <si>
    <t>体育馆外墙</t>
  </si>
  <si>
    <t>规格：
高3330*长8000mm，单面展示。
材质工艺：
结构造型304不锈钢+304不锈钢精工烤漆字,板材厚度≥1.5mm；
制作工艺：
结构造型激光切割焊接，表面烤氟碳漆工艺，
画面：
烤氟碳漆+304不锈钢精工字；
安装方式：
2mm厚304不锈钢方管骨架，不锈钢膨胀螺丝固定</t>
  </si>
  <si>
    <t>详见设计方案P19-20</t>
  </si>
  <si>
    <t>2.VIS及导视部分</t>
  </si>
  <si>
    <t>户外总导览1</t>
  </si>
  <si>
    <t>规格：
导视牌：宽2400*高1700mm，底座厚度300mm，展板厚度150mm，单面展示。
材质工艺：
结构造型304不锈钢+304本色拉丝不锈钢，板材厚度≥2mm。
制作工艺：
结构造型激光切割焊接，表面烤氟碳漆工艺+木纹热转印；
画面：不锈钢烤氟碳漆+防紫外线高清UV打印+丝网印刷、环保油墨；
安装方式：
画面镜钉安装；C30砼基础（表面复原原地面形态）+预埋铁件（不锈钢管结构）；尺寸详见图纸</t>
  </si>
  <si>
    <t>详见设计方案P33-34</t>
  </si>
  <si>
    <t>户外总导览2</t>
  </si>
  <si>
    <t>规格：
导视牌：宽740*高2200mm，厚度120mm，单面展示。
材质工艺：
结构造型304不锈钢+304本色拉丝不锈钢，板材厚度≥2mm。
制作工艺：
结构造型激光切割焊接，表面烤氟碳漆工艺+木纹热转印；
画面：
不锈钢烤氟碳漆+防紫外线高清UV打印+丝网印刷、环保油墨；
安装方式：
C30砼基础（表面复原原地面形态）+预埋铁件（不锈钢管结构）；尺寸详见图纸</t>
  </si>
  <si>
    <t>详见设计方案P35-36</t>
  </si>
  <si>
    <t>户外指引牌</t>
  </si>
  <si>
    <t>规格：
导视牌：宽400*高2200mm，厚度120mm，单面展示。
材质工艺：
结构造型304不锈钢+304本色拉丝不锈钢，板材厚度≥2mm；3mm有机板。
制作工艺：
结构造型激光切割焊接，表面烤氟碳漆工艺+木纹热转印；
画面：
不锈钢烤氟碳漆+防紫外线高清UV打印+丝网印刷、环保油墨；
安装方式：
C30砼基础（表面复原原地面形态）+预埋铁件（不锈钢管结构）；尺寸详见图纸</t>
  </si>
  <si>
    <t>详见设计方案P37-38</t>
  </si>
  <si>
    <t>停车场指示牌</t>
  </si>
  <si>
    <t>规格：
导视牌：宽490*高2400mm，厚度120mm，单面展示。
材质工艺：
结构造型304不锈钢+304本色拉丝不锈钢+20mm厚度不锈钢精工烤漆平面字，板材厚度≥2mm。
制作工艺：
结构造型激光切割焊接，表面烤氟碳漆工艺+木纹热转印；
画面：
不锈钢烤氟碳漆+丝网印刷、环保油墨；
安装方式：
C30砼基础（表面复原原地面形态）+预埋铁件（不锈钢管结构）；尺寸详见图纸</t>
  </si>
  <si>
    <t>详见设计方案P39-40</t>
  </si>
  <si>
    <t>路名牌</t>
  </si>
  <si>
    <t>规格：
导视牌：宽820*高2200mm，底座厚度120mm；柱体厚度80mm；牌面厚度40mm，单面展示。
材质工艺：
结构造型304不锈钢，板材厚度≥2mm。
制作工艺：
结构造型激光切割焊接，表面烤氟碳漆工艺+木纹热转印；
画面：
不锈钢烤氟碳漆+丝网印刷、环保油墨；
安装方式：
C30砼基础（表面复原原地面形态）+预埋铁件（不锈钢管结构）；尺寸详见图纸</t>
  </si>
  <si>
    <t>详见设计方案P41</t>
  </si>
  <si>
    <t>楼名字规格1</t>
  </si>
  <si>
    <t>规格：
304不锈钢立体字，单字600mm字高，侧厚50mm，字材厚度1.2mm
制作工艺：
激光切割，表面烤氟碳漆/电镀工艺（提供色样供甲方选择确认）；
安装方式：
立体字做挂耳，M10不锈钢膨胀螺丝打孔贴墙安装；
结构胶封边防水处理
注：楼宇命名暂未确认，最终制作根据甲方确认字体
以选定规格内尺寸进行制作，间距根据楼宇字数实际匹配调整。</t>
  </si>
  <si>
    <t>详见设计方案P42</t>
  </si>
  <si>
    <t>楼名字规格2</t>
  </si>
  <si>
    <t>规格：
304不锈钢立体字，单字800mm字高，侧厚50mm，字材厚度1.2mm
制作工艺：
激光切割，表面烤氟碳漆/电镀工艺（提供色样供甲方选择确认）；
安装方式：
立体字做挂耳，M10不锈钢膨胀螺丝打孔贴墙安装；
结构胶封边防水处理
注：楼宇命名暂未确认，最终制作根据甲方确认字体
以选定规格内尺寸进行制作，间距根据楼宇字数实际匹配调整</t>
  </si>
  <si>
    <t>楼名字规格3</t>
  </si>
  <si>
    <t>规格：
304不锈钢立体字，单字1200mm字高，侧厚80mm，字材厚度1.2mm
内衬1.2mm厚40*40mm不锈钢方管骨架。
制作工艺：
激光切割，表面烤氟碳漆/电镀工艺（提供色样供甲方选择确认）；
安装方式：
立体字做挂耳，M10不锈钢膨胀螺丝打孔贴墙安装；
结构胶封边防水处理
注：楼宇命名暂未确认，最终制作根据甲方确认字体
以选定规格内尺寸进行制作，间距根据楼宇字数实际匹配调整</t>
  </si>
  <si>
    <t>楼名字规格4</t>
  </si>
  <si>
    <t>规格：
304不锈钢立体字，单字1500mm字高，侧厚80mm，字材厚度1.2mm
内衬1.2mm厚40*40mm不锈钢方管骨架。
制作工艺：
激光切割，表面烤氟碳漆/电镀工艺（提供色样供甲方选择确认）；
安装方式：
立体字做挂耳，M10不锈钢膨胀螺丝打孔贴墙安装；
结构胶封边防水处理
注：楼宇命名暂未确认，最终制作根据甲方确认字体
以选定规格内尺寸进行制作，间距根据楼宇字数实际匹配调整</t>
  </si>
  <si>
    <t>楼名字-骨架款式</t>
  </si>
  <si>
    <t>规格：
304不锈钢立体字，单字1500mm字高，侧厚80mm，字材厚度1.2mm
内衬1.2mm厚40*40mm不锈钢方管骨架。
制作工艺：
激光切割，表面烤氟碳漆/电镀工艺（提供色样供甲方选择确认）；
安装方式：
外墙加装50*50*2mm304不锈钢脚架，立体字焊接固定其上；M10不锈钢膨胀螺丝固定，接口结构胶防水处理
注：楼宇命名暂未确认，最终制作根据甲方确认字体
以选定规格内尺寸进行制作，间距根据楼宇字数实际匹配调整</t>
  </si>
  <si>
    <t>详见设计方案P43</t>
  </si>
  <si>
    <t>双片式宣传栏</t>
  </si>
  <si>
    <t>规格：
宽5000*高2200mm，厚度250mm，单面展示。
材质工艺：
结构造型304不锈钢+304本色拉丝不锈钢，板材厚度≥2mm。6mm钢化玻璃
制作工艺：
结构造型激光切割焊接，表面烤氟碳漆工艺+木纹热转印；橱窗钢化玻璃+液压杆开合方式
画面：
不锈钢烤氟碳漆+丝网印刷、环保油墨；
安装方式：
C30砼基础（表面复原原地面形态）+预埋铁件（不锈钢管结构）；尺寸详见图纸</t>
  </si>
  <si>
    <t>详见设计方案P44</t>
  </si>
  <si>
    <t>单片式宣传栏</t>
  </si>
  <si>
    <t>规格：
宣传栏：宽2720*高2200mm，厚度250mm，单面展示。
材质工艺：
结构造型304不锈钢+304本色拉丝不锈钢，板材厚度≥2mm。6mm钢化玻璃
制作工艺：
结构造型激光切割焊接，表面烤氟碳漆工艺+木纹热转印；橱窗钢化玻璃+液压杆开合方式
画面：
不锈钢烤氟碳漆+丝网印刷、环保油墨；
安装方式：
C30砼基础（表面复原原地面形态）+预埋铁件（不锈钢管结构）；尺寸详见图纸</t>
  </si>
  <si>
    <t>详见设计方案P45-46</t>
  </si>
  <si>
    <t>垃圾桶1-户外使用
（可回收/不可回收）</t>
  </si>
  <si>
    <t>规格：
垃圾桶：宽1062*高980mm，厚度330mm，双面开口，投入口为固定开敞式，内胆取出方式为背开门式。内胆：1.2mm厚宽390*深250*高550mm304不锈钢板内桶，前后加装不锈钢折叠拉手，门：2mm厚470*634mm304不锈钢外开门，门板四周折边，竖向加强筋，内金属焊接限位板。
材质工艺：
结构造型304不锈钢+304本色拉丝不锈钢，板材厚度≥2mm。
制作工艺：
结构造型激光切割焊接，表面烤氟碳漆工艺+木纹热转印；窗口开口处采用内折弯工艺
画面：
不锈钢烤氟碳漆+木纹热转印+uv打印、环保油墨；
安装方式：
据实地摆放内部不锈钢膨胀螺丝固定</t>
  </si>
  <si>
    <t>详见设计方案P47</t>
  </si>
  <si>
    <t>垃圾桶2（有害垃圾）</t>
  </si>
  <si>
    <t>规格：
垃圾桶：宽490*高980mm，厚度330mm，双面开口，投入口为固定开敞式，内胆取出方式为背开门式。内胆：1.2mm厚宽390*深250*高550mm304不锈钢板内桶，前后加装不锈钢折叠拉手。门：2mm厚470*634mm304不锈钢外开门，门板四周折边，竖向加强筋，内金属焊接限位板。
材质工艺：
结构造型304不锈钢+304本色拉丝不锈钢，板材厚度≥2mm。
制作工艺：
结构造型激光切割焊接，表面烤氟碳漆工艺+木纹热转印；窗口开口处采用内折弯工艺
画面：
不锈钢烤氟碳漆+木纹热转印+uv打印、环保油墨；
安装方式：
据实地摆放内部不锈钢膨胀螺丝固定</t>
  </si>
  <si>
    <t>详见设计方案P48</t>
  </si>
  <si>
    <t>垃圾桶3（室内）</t>
  </si>
  <si>
    <t>规格：
垃圾桶：宽290*高720mm，厚度290mm，双面开口，投入口为固定开敞式，内胆取出方式为侧开门式。内胆：1.2mm厚宽210*深210*高400mm304不锈钢内桶，前后加装不锈钢折叠拉手。门：2mm厚270*460mm304不锈钢门板，门板四周折边，竖向加强筋，内金属焊接限位板。
材质工艺：
结构造型304不锈钢+304本色拉丝不锈钢，板材厚度≥2mm。
制作工艺：
结构造型激光切割焊接，表面烤氟碳漆工艺；窗口开口处采用内折弯工艺
画面：
不锈钢烤氟碳漆+木纹热转印+uv打印、环保油墨；</t>
  </si>
  <si>
    <t>详见设计方案P49</t>
  </si>
  <si>
    <t>垃圾桶4（生活垃圾桶）</t>
  </si>
  <si>
    <t>规格：
240L带盖
材质工艺：
高密度聚乙烯原料</t>
  </si>
  <si>
    <t>详见设计方案P50
（需提供样品经甲方确认后进行
批量供货）</t>
  </si>
  <si>
    <t>植物名牌</t>
  </si>
  <si>
    <t>规格：
植物名牌：宽250*高500mm，立柱厚度25mm，牌面厚度20mm。
材质工艺：
结构造型304不锈钢+304本色拉丝不锈钢+304古铜色铭牌，板材厚度≥1.5mm，。
制作工艺：
结构造型激光切割焊接，表面烤氟碳漆工艺；
画面：
不锈钢烤氟碳漆+uv打印、环保油墨；
安装方式：
成品直埋式安装工艺，现场定位挖坑，花草牌基础直接植入坑体，分层填土夯实固定。</t>
  </si>
  <si>
    <t>详见设计方案P51
（具体内容需根据甲方要求进行深化设计，经由甲方审核确认无误后制作）</t>
  </si>
  <si>
    <t>警示牌</t>
  </si>
  <si>
    <t>规格：
警示牌：宽400*高500mm，立柱厚度25mm，牌面厚度20mm。
材质工艺：
结构造型304不锈钢+304本色拉丝不锈钢，板材厚度≥1.5mm。
制作工艺：
结构造型激光切割焊接，表面烤氟碳漆工艺+木纹热转印；
画面：不锈钢烤氟碳漆+uv打印、环保油墨；
安装方式：
C30砼基础（表面复原原地面形态）+预埋铁件（不锈钢管结构）；尺寸详见图纸</t>
  </si>
  <si>
    <t>电梯牌</t>
  </si>
  <si>
    <t>规格：
电梯牌：宽600*高900mm，厚度20mm。
材质工艺：
结构造型304不锈钢，板材厚度≥2mm；+2cm高密度雪弗板；软磁。
制作工艺：
结构造型激光切割焊接，表面烤氟碳漆工艺+木纹热转印；
画面：不锈钢烤氟碳漆+uv打印+背贴软磁、环保油墨；
安装方式：
垫层2mmpvc板不锈钢膨胀螺丝固定，导视牌防霉玻璃胶胶固定，四周打胶封边。</t>
  </si>
  <si>
    <t>详见设计方案P52
（具体内容需根据甲方要求进行深化设计，经由甲方审核确认无误后制作）</t>
  </si>
  <si>
    <t>科室牌</t>
  </si>
  <si>
    <t>规格：
科室牌：宽100*高300mm，厚度20mm。
材质工艺：
结构造型304不锈钢，板材厚度≥2mm；+2cm高密度雪弗板；软磁。
制作工艺：
结构造型激光切割焊接，表面烤氟碳漆工艺+木纹热转印；
画面：不锈钢烤氟碳漆+uv打印+背贴软磁、环保油墨；
安装方式：
垫层2mmpvc板不锈钢膨胀螺丝固定，导视牌防霉玻璃胶胶固定，四周打胶封边。</t>
  </si>
  <si>
    <t>功能教室牌</t>
  </si>
  <si>
    <t>规格：
功能教室牌：宽225*高300mm，厚度20mm。
材质工艺：
结构造型304不锈钢+304本色拉丝不锈钢板材,厚度≥2mm；+20mm高密度雪弗板；软磁。
制作工艺：
结构造型激光切割焊接，表面烤氟碳漆工艺+木纹热转印；
画面：不锈钢烤氟碳漆+uv打印+背贴软磁、环保油墨；
安装方式：
垫层2mmpvc板不锈钢膨胀螺丝固定，导视牌防霉玻璃胶胶固定，四周打胶封边。</t>
  </si>
  <si>
    <t>楼层牌</t>
  </si>
  <si>
    <t>规格：
楼层牌：宽280*高280mm，厚度20mm。
材质工艺：
结构造型304不锈钢，板材厚度≥2mm；+10mm高密度雪弗板。
制作工艺：
结构造型激光切割焊接，表面烤氟碳漆工艺+木纹热转印；
画面：不锈钢烤氟碳漆+uv打印、环保油墨；
安装方式：
垫层2mmpvc板不锈钢膨胀螺丝固定，导视牌防霉玻璃胶胶固定，四周打胶封边。</t>
  </si>
  <si>
    <t>详见设计方案P52</t>
  </si>
  <si>
    <t>教室综合门牌</t>
  </si>
  <si>
    <t>规格：
教室综合牌：宽350*高583mm，厚度20mm。
材质工艺：
结构造型304不锈钢+304本色拉丝不锈钢板材厚度≥2mm；+20mm高密度雪弗板；软磁。
制作工艺：
结构造型激光切割焊接，表面烤氟碳漆工艺+木纹热转印；
画面：不锈钢烤氟碳漆+uv打印+背贴软磁、环保油墨；
安装方式：
垫层2mmpvc板不锈钢膨胀螺丝固定，导视牌防霉玻璃胶胶固定。</t>
  </si>
  <si>
    <t>厕所牌</t>
  </si>
  <si>
    <t>规格：
厕所牌：宽200*高200mm，厚度20mm。
材质工艺：
结构造型304不锈钢，板材厚度≥2mm；+10mm高密度雪弗板。
制作工艺：
结构造型激光切割焊接，表面烤氟碳漆工艺+木纹热转印；
画面：不锈钢烤氟碳漆+uv打印、环保油墨；
安装方式：
垫层2mmpvc板不锈钢膨胀螺丝固定，导视牌防霉玻璃胶胶固定，四周打</t>
  </si>
  <si>
    <t>宿舍门牌</t>
  </si>
  <si>
    <t>规格:
门编号牌:宽275*高240mm，整体厚度25mm。
材质工艺:
结构造型亚克力烤漆，局部UV打印，面贴透明亚克力插槽;
制作工艺:
激光雕刻造型+uv打印;
画面:uv打印3环保油墨;
安装方式：
防霉玻璃胶胶固定</t>
  </si>
  <si>
    <t>门编号牌</t>
  </si>
  <si>
    <t>规格：
门编号牌：宽100*高50mm，厚度5mm。
材质工艺：
结构造型304不锈钢，板材厚度5mm。
制作工艺：
激光雕刻造型，四周打孔；
画面：uv打印、环保油墨；
安装方式：
抽芯铝铆钉安装</t>
  </si>
  <si>
    <t>详见设计方案P53
（具体内容需根据甲方要求进行深化设计，经由甲方审核确认无误后制作）</t>
  </si>
  <si>
    <t>地下停车场龙门架牌出口</t>
  </si>
  <si>
    <t>规格：900*7000mm
2mm 304#不锈钢折弯烤漆，侧厚50mm，内衬不锈钢方管框架，文字二类发光膜，木纹热转印
安装方式：
内部根据结构不锈钢方管骨架支撑，膨胀螺丝贴墙固定</t>
  </si>
  <si>
    <t>详见设计方案P54</t>
  </si>
  <si>
    <t>地下停车场龙门架牌入口</t>
  </si>
  <si>
    <t>地下停车场楼梯口指示牌</t>
  </si>
  <si>
    <t>规格：400*1600mm
2mm 304#不锈钢折弯烤漆，侧厚80mm，双面+文字二类发光膜+木纹热转印
安装方式：
顶部膨胀螺栓安装304 不锈钢转接板，将圆管顶部与转接板螺栓连接</t>
  </si>
  <si>
    <t>详见设计方案P55</t>
  </si>
  <si>
    <t>地下停车场楼梯牌</t>
  </si>
  <si>
    <t>规格：400*600mm
2mm 304#不锈钢单片烤漆+文字二类发光膜+木纹热转印
安装方式：采用防霉玻璃胶胶固定</t>
  </si>
  <si>
    <t>详见设计方案P56</t>
  </si>
  <si>
    <t>地下停车场出口指示牌</t>
  </si>
  <si>
    <t>规格：600*1100mm
2mm 304#不锈钢单片烤漆+文字二类发光膜+木纹热转印
安装方式：采用防霉玻璃胶胶固定</t>
  </si>
  <si>
    <t>地下停车场立柱涂装</t>
  </si>
  <si>
    <t>平方</t>
  </si>
  <si>
    <t>一、材料:均采用*梦幻千色色系、内墙防霉抗污涂料;
二、工艺:
1、基层简单打磨清扫;
2、明显缺损部分简单修补;
3、按设计施工区域贴分色纸;
4、辊涂彩色防霉抗污面漆;
5、喷涂-印刷图案及文字。</t>
  </si>
  <si>
    <t>详见设计方案P57</t>
  </si>
  <si>
    <t>3.室内文化部分</t>
  </si>
  <si>
    <t>1.1门厅牌匾安装</t>
  </si>
  <si>
    <t>项</t>
  </si>
  <si>
    <t>牌匾甲方提供成品，仅提供安装
安装方式：墙面不锈钢膨胀螺丝打扣，挂钩固定</t>
  </si>
  <si>
    <t>详见设计方案P60</t>
  </si>
  <si>
    <t>1.2走廊内装裱画</t>
  </si>
  <si>
    <t>规格：600*400（mm）*10个
400*600（mm）*40个
1100*400(mm)*25个
500*800(mm)*10个
1500*600(mm)*10个
材质工艺：侧厚30mm，正视边宽≥50mm实木边框（根据作品大小可调整），内衬300g白卡纸开槽。装裱框（黑胡桃木/柚木）制作前提前与校方进行沟通材质工艺小样，经校方确定后方可制作。 
+0.8mm厚有机玻璃+实物装裱 
画面内容：根据甲方提供原作品进行扫描后进行排版，高清打印制作。
安装方式：墙面不锈钢膨胀螺丝打扣，挂钩固定</t>
  </si>
  <si>
    <t>详见设计方案P61-62
（画面内容需根据甲方提供原作品进行高精度扫描后排版装裱）</t>
  </si>
  <si>
    <t>1.3一楼西北角公告栏</t>
  </si>
  <si>
    <t>规格：
宽2400*高1200mm，主体侧厚40mm；左侧蓝色烤氟碳漆部分侧厚60mm。
材质工艺：
304不锈钢结构造型,板材厚度≥2.0mm；
制作工艺：
结构造型激光切割焊接，表面烤蓝色氟碳漆+热转印图文+内容丝网印刷；
画面：内嵌绒布黑板；
安装方式：内部根据结构钢骨架支撑，不锈钢膨胀螺丝贴墙固定；瓷砖 + 白墙跨区，用与宣传栏同材质工艺的定制封板包裹支架侧边，覆盖瓷砖 / 白墙拼接缝。</t>
  </si>
  <si>
    <t>详见设计方案P63-64</t>
  </si>
  <si>
    <t>2.1教室内（前墙）画面</t>
  </si>
  <si>
    <t>规格：
国旗600*400mm，厚度18mm；
信息一览区600*850mm，厚度18mm；
中小学生守则1000*760mm，厚度18mm；
材质工艺：
国旗：pvc、覆肤感膜；
信息一览区：pvc、3mm亚克力A4插槽，两侧开口,共4个；
中小学生守则：pvc；
制作工艺：
国旗：高清防紫外线UV打印、环保油墨测喷；
信息一览区：高清防紫外线UV打印、环保油墨测喷；
中小学生守则：高清防紫外线UV打印、环保油墨测喷；
国旗制作最终尺寸需与甲方现场确认后为准
安装方式：防霉玻璃胶胶固定</t>
  </si>
  <si>
    <t>详见设计方案P66-67</t>
  </si>
  <si>
    <t>2.2教室内（后墙）标语</t>
  </si>
  <si>
    <t>单字规格：355*355mm(根据字形不同稍有偏差）两字为一组总宽750mm
材质工艺：18mmpvc垫白+UV+侧喷
安装方式：防霉玻璃胶胶固定</t>
  </si>
  <si>
    <t>详见设计方案P68</t>
  </si>
  <si>
    <t>2.3教室外墙挂画</t>
  </si>
  <si>
    <t>规格：
宽400*高900mm，侧厚30mm，正视边宽20mm。
材质工艺：
1.5mm304#不锈钢+激光切割焊接+内陷14mm+烤氟碳漆；
画面：内嵌12mmpvc覆肤感膜(高密度）；
安装方式：
不锈钢膨胀螺丝贴墙固定</t>
  </si>
  <si>
    <t>详见设计方案P69
（具体内容需根据甲方要求进行深化设计，经由甲方审核确认无误后制作）</t>
  </si>
  <si>
    <t>2.4教学楼西侧楼梯文化牌</t>
  </si>
  <si>
    <t>材质工艺：
1.5mm304#不锈钢金属折边侧厚30mm
10mm亚克力+20mmPVC+UV
安装方式：
垫层20mmpvc板不锈钢膨胀螺丝固定，面层防霉玻璃胶胶固定</t>
  </si>
  <si>
    <t>详见设计方案P70</t>
  </si>
  <si>
    <t>2.5教学楼廊道公告栏</t>
  </si>
  <si>
    <t>主体规格：长5000*高1600mm
材质工艺：2.0mm304#不锈钢折边+烤蓝色氟碳漆，侧厚100mm；
2.0mm304#不锈钢折边烤古铜金属漆，侧厚80mm；
安装方式：内部根据结构钢骨架支撑，不锈钢膨胀螺丝贴墙固定；瓷砖 + 白墙跨区，用与宣传栏同材质工艺的定制封板包裹支架侧边，覆盖瓷砖 / 白墙拼接缝。
周围装饰10mm亚克力+烤漆
画面：内嵌绒布黑板（基层15mm软木板）
可转移黑胶车贴：700*1600mm</t>
  </si>
  <si>
    <t>详见设计方案P71-72</t>
  </si>
  <si>
    <t>2.61阅读角文化墙</t>
  </si>
  <si>
    <t>规格：1137*981mm+5352+1940mm/1400*1110mm+5415*1921mm
材质工艺:8mmpvc垫白+UV+侧喷;12mmpvc垫白+UV+侧喷;10mm亚克力雕刻字+烤漆
安装方式：防霉玻璃胶胶固定</t>
  </si>
  <si>
    <t>详见设计方案P73-75
（需根据甲方要求进行深化设计，经由甲方审核确认无误后制作）</t>
  </si>
  <si>
    <t>2.62阅读角学生作品装裱</t>
  </si>
  <si>
    <t>A组合：1800*1000mm*2个，计数10组
B组合：1000*1000mm*3个；计数10组
共计数量；1800*1000mm*20个+1000*1000mm*30个共计50个
墙面尺寸：8200mm
材质工艺：侧厚30mm，正视边宽≥50mm实木边框（黑胡桃木/柚木）制作前提前与校方进行沟通材质工艺，校方确定后方可制作。 
+0.8mm厚有机玻璃+实物装裱 
安装方式:墙面不锈钢膨胀螺丝打扣，挂钩固定</t>
  </si>
  <si>
    <t>详见设计方案P76-77
（画面内容需根据甲方提供原作品进行高精度扫描后排版装裱）</t>
  </si>
  <si>
    <t>2.63阅读角柜子+凳子</t>
  </si>
  <si>
    <t>一组尺寸材质工艺：
书柜尺寸：长1400*高1400*宽300mm；材质工艺：2mm304#不锈钢木纹转印
凳子尺寸：长1600*高400*宽400mm3个；材质工艺2mm304#不锈钢+座垫层为20mmE0级多层实木板同色pvc封边,螺丝固定于不锈钢方管框架板（内部根据结构钢骨架支撑）</t>
  </si>
  <si>
    <t>详见设计方案P78-79</t>
  </si>
  <si>
    <t>2.71党建会议室文化墙1</t>
  </si>
  <si>
    <t>规格：长7360mm*高2975mm
材质工艺：整体底面宣绒布uv+0.8铝方管30*30mm+12mmpvc垫白UV打印版面，
10mm亚克力烤漆+5mm亚克力雕刻烤漆
红色部分：30*40mm松木木方+9.5mm石膏板+批腻子+乳胶漆+宣绒布uv总体厚度40mm
竖向龙骨间距300-400mm，横向龙骨间距500-600mm
8mmpvc侧喷+5mm亚克力雕刻烤漆
安装方式：木龙骨不锈钢膨胀螺丝固定，防霉玻璃胶胶固定</t>
  </si>
  <si>
    <t>详见设计方案P80</t>
  </si>
  <si>
    <t>2.72党建会议室文化墙2</t>
  </si>
  <si>
    <t>规格：长7360*高2975mm
材质工艺：12mmpvc垫白UV+5mm亚克力雕刻烤漆+10mm亚克力雕刻烤漆，8mmPVC侧喷
安装方式：防霉玻璃胶胶固定</t>
  </si>
  <si>
    <t>详见设计方案P81</t>
  </si>
  <si>
    <t>2.73党建会议室文化墙3</t>
  </si>
  <si>
    <t>规格：长7360*高2975mm
材质工艺：整体底面宣绒布uv+0.8铝方管50*30mm+12mmpvc垫白UV
5mm亚克力烤漆UV+10mm亚克力烤漆UV，8mmPVC侧喷
安装方式：防霉玻璃胶胶固定</t>
  </si>
  <si>
    <t>详见设计方案P82</t>
  </si>
  <si>
    <t>2.74党建会议室文化墙4</t>
  </si>
  <si>
    <t>规格：长7360mm*高2975mm
材质工艺：整体底面宣绒布uv+12mmpvc垫白UV，
5mm亚克力烤漆UV+10mm亚克力烤漆UV，8mmPVC侧喷
安装方式：防霉玻璃胶胶固定</t>
  </si>
  <si>
    <t>详见设计方案P83</t>
  </si>
  <si>
    <t>2.75党建会议室文化墙5</t>
  </si>
  <si>
    <t>规格：长7820*高2975mm
材质工艺：整体底面宣绒布uv+12mmpvc垫白UV+侧喷，
5mm亚克力烤漆UV+10mm亚克力烤漆UV+15mm亚克力烤漆UV+透明亚克力3mm双层卡槽
安装方式：防霉玻璃胶胶固定</t>
  </si>
  <si>
    <t>详见设计方案P84</t>
  </si>
  <si>
    <t>2.8公开课教室校徽墙</t>
  </si>
  <si>
    <t>规格：校徽长605*高605mm
金属字:因书法字体尺寸不统一，详见施工图
材质工艺：校徽20mm铝板浮雕
金属字20mm不锈钢球面古铜色电镀字
安装方式：不锈钢膨胀螺丝贴墙固定</t>
  </si>
  <si>
    <t>详见设计方案P85-86</t>
  </si>
  <si>
    <t>2.91心理值班室文化墙1</t>
  </si>
  <si>
    <t>墙面规格：7500*3780mm，详见设计图纸
材质工艺：18mmPVC垫白+UV+侧喷；5mm亚克力+激光雕刻+烤漆；
15mm亚克力+激光雕刻+烤漆
安装方式：防霉玻璃胶胶固定</t>
  </si>
  <si>
    <t>详见设计方案P87</t>
  </si>
  <si>
    <t>2.92心理值班室文化墙2</t>
  </si>
  <si>
    <t>墙面规格：7500*3780mm,，详见设计图纸
材质工艺：18mmPVC垫白+UV+侧喷；15mm亚克力+激光雕刻+烤漆；
5mm亚克力+激光雕刻+烤漆
安装方式：防霉玻璃胶胶固定</t>
  </si>
  <si>
    <t>详见设计方案P88</t>
  </si>
  <si>
    <t>3.1信息楼一楼大厅主题墙</t>
  </si>
  <si>
    <t>规格：12600*3200mm+3700*3200mm+3700*3200mm
材质工艺：造型墙面（轻钢龙骨+9mm防火板+9.5mm石膏板）+定制宣绒墙布(基膜+糯米胶)
+定制木饰面+定制金属件古铜金属烤氟碳漆字+3mm不锈钢烤氟碳漆，丝网印刷
+定制发光字(12V电源+变压器）+LED灯带(12V电源+变压器）+彩色无机涂料+5亚克力烤漆字+10mm亚克力烤漆字+15mmpvc底板
需包含电路改线引线及墙面复原，整体墙面发光控制加装独立开关。
安装方式：不锈钢膨胀螺丝贴墙固定</t>
  </si>
  <si>
    <t>详见设计方案P90-96</t>
  </si>
  <si>
    <t>3.1信息楼外大屏包柱美化</t>
  </si>
  <si>
    <t>规格：2100*980mm*6面（2处位置：信息楼、食堂东大屏，每处2根立柱）
材质工艺：2mm冲孔铝板
工艺：20mm折边，冲孔+烤漆
安装方式：304#20*20mm*2mm不锈钢钢管骨架，不锈钢膨胀螺丝固定</t>
  </si>
  <si>
    <t>详见设计方案P97-98</t>
  </si>
  <si>
    <t>4.1运动场主席台校徽</t>
  </si>
  <si>
    <t>规格：校徽1385*1385mm侧厚50mm；304#精工字572*572mm侧厚50mm
材质工艺：2mm304#不锈钢+焊接打磨+折弯造型+烤氟碳漆；
10mm亚克力激光雕刻+烤漆
安装方式:不锈钢膨胀螺丝固定</t>
  </si>
  <si>
    <t>详见设计方案P100</t>
  </si>
  <si>
    <t>4.2篮球场+排球场防护罩</t>
  </si>
  <si>
    <t>规格：高2200mm，上口直径115mm，下口直径140mm，检修口直径150mm
材质工艺：基于上下口直径与材料的弯曲程度，防护罩厚度为20mm
安装方式：魔术贴固定</t>
  </si>
  <si>
    <t>详见设计方案P101-102</t>
  </si>
  <si>
    <t>4.3运动场围网美化装饰</t>
  </si>
  <si>
    <t>规格：1127mm*1051mm≤因造型不同≤1635mm*1430mm
材质工艺：2mm304#不锈钢围边双面造型，内部根据结构钢骨架支撑，
侧厚30mm，图案分色烤氟碳漆，文字丝印。
安装方式：造型背面焊接不锈钢螺丝，不锈钢扣件固定</t>
  </si>
  <si>
    <t>详见设计方案P103-105</t>
  </si>
  <si>
    <t>4.4运动场不锈钢座凳</t>
  </si>
  <si>
    <t>规格：长2000*宽400*高450mm
材质工艺：2mm304#不锈钢+焊接打磨+折弯造型
侧厚60mm，烤氟碳漆+内嵌塑木座垫</t>
  </si>
  <si>
    <t>详见设计方案P106-107</t>
  </si>
  <si>
    <t>4.5体育馆门厅主题墙1</t>
  </si>
  <si>
    <t>规格：墙面尺寸：12000*3660mm，整体尺寸：9441*1920mm，详细尺寸见设计图
材质工艺
彩色色块：1.5mm304#不锈钢+折弯造型侧厚30mm+烤氟碳漆
内部根据结构钢骨架支撑；
安装方式：不锈钢膨胀螺丝贴墙固定
白色人物：10mm亚克力激光雕刻+烤漆，悬空垫高；
标语：2mm304#不锈钢套壳字烤氟碳漆，不锈钢膨胀螺丝贴墙固定pvc文字内衬，
不锈钢套壳字打结构胶套入固定，防霉玻璃胶胶封边，侧厚30mm，</t>
  </si>
  <si>
    <t>详见设计方案P108-109</t>
  </si>
  <si>
    <t>4.6体育馆门厅学校荣誉墙</t>
  </si>
  <si>
    <t>规格：墙面尺寸：3660*6330mm，整体尺寸：4918*2448mm，详细尺寸见设计图
材质工艺：
四块不锈钢板：1.5mm304#不锈钢，侧厚250mm，烤氟碳漆，内部根据结构钢骨架支撑；
不锈钢底板：1.5mm304#不锈钢+折弯造型，侧厚25mm+烤氟碳漆，层板厚度20mm，四周向上收口10*10mm，内部根据结构钢骨架支撑；
校徽+校名：1.5mm304#不锈钢+折弯造型，侧厚30mm+烤氟碳漆，内部根据结构钢骨架支撑；
10mm亚克力激光雕刻烤漆字；30mm亚克力激光雕刻+烤漆
安装方式：不锈钢膨胀螺丝贴墙固定</t>
  </si>
  <si>
    <t>详见设计方案P110-111</t>
  </si>
  <si>
    <t>4.7体育馆个人荣誉表彰墙</t>
  </si>
  <si>
    <t>规格：墙面尺寸：6500*3660mm，整体尺寸：4845*1274mm，详细尺寸见设计图
材质工艺：5mm亚克力烤漆雕刻字；10mm亚克力板材雕刻烤漆线条；8mmpvc垫白+UV+侧喷；12mmpvc垫白+UV+侧喷+面层软磁吸贴
安装方式：防霉玻璃胶胶固定</t>
  </si>
  <si>
    <t>详见设计方案P112
（需根据甲方要求进行深化设计，经由甲方审核确认无误后制作）</t>
  </si>
  <si>
    <t>4.8体育馆健身房文化墙</t>
  </si>
  <si>
    <t>规格：墙面尺寸：11000*3900mm，整体尺寸：6406*2193mm，详细尺寸见设计图
材质工艺：10mm亚克力激光雕刻+烤漆；20mm亚克力激光雕刻+烤漆+悬空垫高；10mm亚克力激光雕刻+烤漆UV
安装方式：防霉玻璃胶胶固定</t>
  </si>
  <si>
    <t>详见设计方案P113</t>
  </si>
  <si>
    <t>4.9体育馆兵乓球室文化墙</t>
  </si>
  <si>
    <t>大铝合金快拆边框
规格：4974*1300mm，侧厚27mm，正视宽度40mm
画面：10mmpvc垫白uv
小铝合金快拆边框
规格：铝合金快拆边框650*956mm，侧厚10mm，正视宽度25mm
画面：5mmpvc垫白uv
安装方式：不锈钢膨胀螺丝贴墙固定</t>
  </si>
  <si>
    <t>详见设计方案P114
（需根据甲方要求进行深化设计，经由甲方审核确认无误后制作）</t>
  </si>
  <si>
    <t>4.10体育馆篮球场氛围海报</t>
  </si>
  <si>
    <t>规格：6000*3800mm*2个；7000*3800mm1个
材质工艺：软膜灯箱（不加灯）
40*40*1.5mm304#不锈钢方管骨架；
侧面灯箱专用型材，侧厚80mm
安装高度离地≥2500mm，需使用登高车作业
安装方式：不锈钢膨胀螺丝贴墙固定</t>
  </si>
  <si>
    <t>详见设计方案P115</t>
  </si>
  <si>
    <t>4.11体育馆羽毛球场文化墙1</t>
  </si>
  <si>
    <t>规格：墙面尺寸：7800*3900mm，整体尺寸：4845*2157mm，详细尺寸见设计图
12mmPVC垫白+UV+侧喷
安装方式：采用防霉玻璃胶胶固定</t>
  </si>
  <si>
    <t>详见设计方案P116</t>
  </si>
  <si>
    <t>4.12体育馆羽毛球场文化墙2</t>
  </si>
  <si>
    <t>详见设计方案P117
（需根据甲方要求进行深化设计，经由甲方审核确认无误后制作）</t>
  </si>
  <si>
    <t>4.13体育馆二楼接待长廊挂幅</t>
  </si>
  <si>
    <t>套</t>
  </si>
  <si>
    <t>规格：650*2000mm画面+电动升降杆安装高度8米左右（升降高度≤7m）
材质工艺：电动升降杆铝镁合金（电动开关+遥控开关双控），管径55mm；管长1000mm
安装：双层脚手架+电路开关排线+已完成吊顶拆装复原工作+需包含电路改线引线及墙面复原
画面650*2000mm双喷布，下口车线+不锈钢杆
安装高度离地≥2500mm，需使用登高车作业
安装方式：不锈钢膨胀螺丝固定</t>
  </si>
  <si>
    <t>详见设计方案P118</t>
  </si>
  <si>
    <t>5.1国际部门外立牌</t>
  </si>
  <si>
    <t>规格：主体尺寸2200*850*350mm
材质工艺：1.5MM 304#不锈钢实心字10mm侧厚+2mm304#不锈钢
10mm侧厚+30x30x2mm304不锈钢管框架
+精工304#不锈钢烤漆双面字15mm侧厚+丝网印刷
内部根据结构钢骨架支撑
安装方式：
C30砼基础（表面复原原地面形态）+预埋铁件（不锈钢管结构）；尺寸详见图纸</t>
  </si>
  <si>
    <t>详见设计方案P120-121</t>
  </si>
  <si>
    <t>5.2国际交流中心外墙logo</t>
  </si>
  <si>
    <t>规格：整体尺寸：2273*318mm+2273*89mm；侧厚30mm
2mm304#不锈钢套壳字（烤蓝色氟碳漆），
安装方式：不锈钢膨胀螺丝贴墙固定pvc文字内衬，
不锈钢套壳字打结构胶套入固定，防霉玻璃胶封边</t>
  </si>
  <si>
    <t>详见设计方案P122-123</t>
  </si>
  <si>
    <t>5.3国际部大门入口接待区</t>
  </si>
  <si>
    <t>规格：墙面尺寸：3100*2400mm
材质工艺：18mm木工板打底+乳胶漆+画面整体宣绒布UV；
文字20mm亚克力烤漆字+激光切割；
文字10mm亚克力烤漆字+激光切割；
20mm铝合金本色收边条；
安装方式：亚克力材质工艺防霉玻璃胶胶固定
接待吧台：2600*1000mm，板材厚度18mm
板材E0级实木多层板成品款式供甲方选择</t>
  </si>
  <si>
    <t>详见设计方案P124-125</t>
  </si>
  <si>
    <t>5.4国际部中厅挑高层文化墙</t>
  </si>
  <si>
    <t>规格：13650*2550mm
材质工艺：定制宣绒墙布(基膜+糯米胶)uv打印+侧厚20mm不锈钢烤漆套壳金属字打胶固定（内垫18mmpvc不锈钢螺丝固定）
安装部分高度离地≥2500mm且部分区域因地形限制，需使用登高车与脚手架共同作业
安装方式：采用防霉玻璃胶胶固定，宣绒布四周及中段共6枚100mm长不锈钢螺丝加固固定</t>
  </si>
  <si>
    <t>详见设计方案P126</t>
  </si>
  <si>
    <t>5.5国际部台阶前立体造型</t>
  </si>
  <si>
    <t>规格：3000*942*300mm
材质工艺：1.5mm精工304不锈钢烤漆双面字100mm侧厚;
1.5mm304不锈钢烤氟碳漆300mm宽;
1.5mm精工304不锈钢烤漆双面字100mm侧厚</t>
  </si>
  <si>
    <t>详见设计方案P127</t>
  </si>
  <si>
    <t>5.6国际部台阶上格子柜</t>
  </si>
  <si>
    <t>规格：见图纸
材质工艺：
柜板EO级实木多层板，板厚18mm；镀铬不锈钢五金件；
安装方式：不锈钢膨胀螺丝固定， pvc封边条封边。 按设计图纸现场加工
台阶处定制PU皮软包坐垫（蓝黄双色）：
规格80*45*10cm厚度5cm（6个）
规格40*45*10cm厚度5cm（10个）</t>
  </si>
  <si>
    <t>详见设计方案P128-129</t>
  </si>
  <si>
    <t>5.7国际部相伯讲堂背景墙</t>
  </si>
  <si>
    <t>规格：3260*5570mm
材质工艺：定制宣绒墙布(基膜+糯米胶)uv打印；
国旗10mm亚克力激光雕刻+烤漆；
文字10mm亚克力激光雕刻+烤漆；
12mmPVC垫白+UV+侧喷
安装方式：采用防霉玻璃胶胶固定</t>
  </si>
  <si>
    <t>详见设计方案P130</t>
  </si>
  <si>
    <t>5.81国际部二楼休息区文化墙1</t>
  </si>
  <si>
    <t>规格：6450*3000mm
材质工艺：定制宣绒墙布(基膜+糯米胶)uv打印；
12mmpvc垫白+UV+侧喷+面层软磁吸贴；
可转移黑胶车贴：700*1600mm
安装方式：采用防霉玻璃胶胶固定</t>
  </si>
  <si>
    <t>详见设计方案P131</t>
  </si>
  <si>
    <t>5.82国际部二楼休息区文化墙12</t>
  </si>
  <si>
    <t>规格：墙面尺寸：6930*3000mm，整体尺寸：3536*1016mm
材质工艺：10mm亚克力激光雕刻+烤漆+悬空垫高；
安装方式：防霉玻璃胶胶固定
可转移黑胶车贴：700*1600mm</t>
  </si>
  <si>
    <t>详见设计方案P133</t>
  </si>
  <si>
    <t>5.83国际部二楼休息区家具</t>
  </si>
  <si>
    <t>规格：见图纸
材质工艺：
柜板EO级实木多层板材，板厚18mm；镀铬不锈钢五金件；                                         
安装流程：
1.造型家具定制，现场组装，共计五组。按设计图纸现场加工
①尺寸6875*850*400mm
②尺寸2380*800*900mm
③尺寸2960*2000*500mm；数量2
④尺寸3900*400*870mm+3900*350*300mm
⑤尺寸2500*300*30mm+2900*300*30mm，30mm实木加厚板材
2.成品家具采购（板材材质工艺要求E0级实木多层板）：
1.方块沙发凳8个600*600*400mm；长方形沙发凳2个1200*600*400mm
2.圆形沙发凳4个；直径600*高400mm
3.圆桌2张直径800mm高750mm，配套椅子8张
4.圆形茶几3个；直径600*高450mm</t>
  </si>
  <si>
    <t>详见设计方案P134-141
（成品款式需提供样品供甲方选款选料确认后进行批量供货）</t>
  </si>
  <si>
    <t>6.1实验楼门厅造型</t>
  </si>
  <si>
    <t>规格：4685 *1700*470mm
材质工艺：
结构造型304不锈钢，304不锈钢精工双面字及实心字，板材厚度≥1.5mm，烤氟碳漆；3mm有机玻璃烤漆+丝网印图案
内部根据结构钢骨架支撑</t>
  </si>
  <si>
    <t>详见设计方案P143-144</t>
  </si>
  <si>
    <t>6.2实验室空间氛围墙</t>
  </si>
  <si>
    <t>规格：400*600mm
材质工艺：12mm雪弗板覆亚克力水晶片UV打印
安装方式：防霉玻璃胶胶固定</t>
  </si>
  <si>
    <t>详见设计方案P145</t>
  </si>
  <si>
    <t>6.3实验室/信息机房教室后墙文化标语</t>
  </si>
  <si>
    <t>规格：6000*1700mm 
材质工艺：15mm亚克力烤漆（文字部分）+10mm亚克力烤漆（图形部分）
具体内容根据甲方最终设计定稿调整
安装方式：防霉玻璃胶胶固定</t>
  </si>
  <si>
    <t>详见设计方案P146-147</t>
  </si>
  <si>
    <t>6.4实验楼4F品牌社团简介牌</t>
  </si>
  <si>
    <t>规格：506*310mm；底层侧厚30mm,面层侧厚20mm;
材质工艺：304#2mm不锈钢板围边分层烤漆+标题丝印
+内容版块UV打印+2mm透明亚克力插槽
底层内部根据结构钢骨架支撑
安装方式：不锈钢膨胀螺丝贴墙固定</t>
  </si>
  <si>
    <t>详见设计方案P148-149</t>
  </si>
  <si>
    <t>6.5实验楼4F品牌社团文化墙</t>
  </si>
  <si>
    <t>规格：墙面尺寸：2960*900mm
材质工艺：
左侧宣传栏：白磁板；15mm亚克力+激光雕刻+烤漆；12mmpvc垫白+UV+侧喷
右侧内容：底版：18mmpvc垫白+UV+侧喷+面层软磁吸贴
面贴：磁吸贴uv;15mm亚克力+激光雕刻+烤漆
安装方式：防霉玻璃胶胶固定</t>
  </si>
  <si>
    <t>详见设计方案P150-151</t>
  </si>
  <si>
    <t>7.11艺术楼门厅主题墙</t>
  </si>
  <si>
    <t>墙面尺寸：4400*2990mm
材质工艺：50x50mm铝方通烤氟碳漆，壁厚1.5mm;整体宣绒布uv画面；6mm亚克力uv画面+镜钉固定；20mm亚克力烤漆字+激光雕刻；10mm亚克力烤漆字+激光雕刻；9.5mm石膏板x2+18mm木工板打底+乳胶漆+面贴宣绒布；实木装饰画1幅
安装方式：亚克力uv画面镜钉固定；实木装饰画隐形挂码+不锈钢膨胀螺丝固定；防霉玻璃胶胶固定</t>
  </si>
  <si>
    <t>详见设计方案P153-155
（画面内容需根据甲方提供原作品进行高精度扫描后排版印刷，经由甲方审核确认无误后制作）</t>
  </si>
  <si>
    <t>7.12艺术楼门厅移动滑轨+挂画</t>
  </si>
  <si>
    <t>墙面尺寸：4400*3003mm/4400*3100mm/4400*3100mm/12000*2700mm
材质工艺：定制宣绒墙布(基膜+糯米胶)uv打印+定制1.5mm铝合金画框+木纹热转印，边框厚15mm，侧厚25mm
安装方式：铝型材U型轨道侧装+钢丝绳+铝套固定+轨道挂钩+调节钩</t>
  </si>
  <si>
    <t>详见设计方案P156-160，168
（画面内容需根据甲方提供原作品进行高精度扫描后排版印刷，经由甲方审核确认无误后制作）</t>
  </si>
  <si>
    <t>7.13艺术楼门厅移动展架1</t>
  </si>
  <si>
    <t>规格：900*2200mm
材质工艺：1.5mm304不锈钢方管+亚克力UV烤漆+激光雕刻+1.5mm不锈钢烤氟碳漆+3mm有机玻璃+10mm亚克力烤漆字 3+5mmKT板画面+3mm有机玻璃丝网印画面，底座厚50mm，1.5寸万向轮（材质工艺304不锈钢、带刹车）
数量：（艺术楼15个，国际部10个）</t>
  </si>
  <si>
    <t>详见设计方案P161-163
（画面内容需根据甲方提供原作品进行高精度扫描后排版印刷，经由甲方审核确认无误后制作）</t>
  </si>
  <si>
    <t>7.14艺术楼门厅木结构+玻璃展柜</t>
  </si>
  <si>
    <t>规格：1700*600*600mm
材质工艺：10mm超白钢化玻璃+方型黑色烤漆展托+304#不锈钢木纹烤漆
玻璃开启方式：侧开，玻璃罩 设置单扇侧开门，采用304不锈钢合页 ，与玻璃罩主体连接，合页间距≤300mm；配备隐形不锈钢锁具，与玻璃罩衔接处采用硅胶密封条。</t>
  </si>
  <si>
    <t>详见设计方案P164-165</t>
  </si>
  <si>
    <t>7.15艺术楼门厅移动展架2</t>
  </si>
  <si>
    <t>规格：2400*994*870mm
材质工艺：30x30x2mm不锈钢方管烤氟碳漆
+ENF级18mm 中密度纤维板免漆板+1.5寸万向轮（304不锈钢 带刹车）
画面：可转移黑胶车贴</t>
  </si>
  <si>
    <t>详见设计方案P166-167
（画面内容需根据甲方提供原作品进行高精度扫描后排版印刷，经由甲方审核确认无误后制作）</t>
  </si>
  <si>
    <t>7.2艺术楼廊道内可替换装饰画</t>
  </si>
  <si>
    <t xml:space="preserve"> 材质工艺：2mm有机玻璃+12mm高密度雪弗板+垫白UV+铝型材边框
规格：外框总厚度25mm，边框壁厚3.5mm，内槽宽度10mm
安装方式：不锈钢膨胀螺丝固定</t>
  </si>
  <si>
    <t>详见设计方案P169
（画面内容需根据甲方要求后续深化设计，经由甲方审核确认无误后制作）</t>
  </si>
  <si>
    <t>7.31艺术楼学生发展指导中心1号墙</t>
  </si>
  <si>
    <t>规格：3900*3000mm
材质工艺：造型墙面（轻钢龙骨+9mm防火板+9.5mm石膏板）+面贴木纹墙布，整体凸出218mm；15mm亚克力烤漆+激光雕刻；10mm亚克力烤漆字+激光雕刻；白色栅格10mm亚克力烤漆；18mm木工板贴木纹宣绒布隐形按压门（反弹器按压开门）；画面pvc即时贴
安装方式：防霉玻璃胶胶固定</t>
  </si>
  <si>
    <t>详见设计方案P171-173</t>
  </si>
  <si>
    <t>7.32艺术楼学生发展指导中心2号墙</t>
  </si>
  <si>
    <t>规格：7350*3000mm
材质工艺：平整墙面批腻子+乳胶漆（三底两面）；木工板打底（板材厚度18mm）+批腻子+面贴木纹饰面（包含封边）+瓷砖与墙面垫平，信箱1.5mm304不锈钢造型+氟碳烤漆 +不锈钢膨胀螺丝固定+15mm亚克力板材uv烤漆字；
8mmpvc垫白+5mm亚克力+UV；12mmpvc垫白+5mm亚克力+UV
安装方式：防霉玻璃胶胶固定</t>
  </si>
  <si>
    <t>详见设计方案P174-175</t>
  </si>
  <si>
    <t>7.33艺术楼学生发展指导中心3号墙</t>
  </si>
  <si>
    <t>规格：5150*3000mm
材质工艺：平整墙面批腻子+乳胶漆（三底两面）；瓷砖与墙面连接处垫平+木工板打底（板材厚度18mm）+批腻子+乳胶漆+厚50mm+面贴宣绒布+整体封边+不锈钢膨胀螺丝固定；
12mmpvc垫白+5mm亚克力+UV;15mm亚克力烤漆字+激光雕刻+UV
安装方式：防霉玻璃胶胶固定</t>
  </si>
  <si>
    <t>详见设计方案P176-177</t>
  </si>
  <si>
    <t>7.34艺术楼学生发展指导中心4号墙</t>
  </si>
  <si>
    <t xml:space="preserve">规格：7900*3000mm
材质工艺：平整墙面批腻子+乳胶漆（三底两面）；
15mm亚克力烤漆字+激光雕刻+UV；8mmpvc垫白+5mm亚克力+UV；12mmpvc垫白+5mm亚克力+UV；
层板1.5mm304#不锈钢侧厚300mm+烤氟碳漆+不锈钢膨胀螺丝固定；
安装方式：防霉玻璃胶胶固定
</t>
  </si>
  <si>
    <t>详见设计方案P178-179</t>
  </si>
  <si>
    <t>7.35艺术楼学生发展指导中心5号墙</t>
  </si>
  <si>
    <t>规格：7000*3000mm
材质工艺：平整墙面批腻子+乳胶漆（三底两面）；单块画面200mm*200mm镜子400mm*400mm;底板18mmpvc+垫白+uv+面层软磁吸贴；画面:磁吸贴uv；15mm亚克力烤漆字+激光雕刻+UV
安装方式：防霉玻璃胶胶固定</t>
  </si>
  <si>
    <t>详见设计方案P180-181</t>
  </si>
  <si>
    <t>7.36艺术楼学生发展指导中心6号墙</t>
  </si>
  <si>
    <t>规格：9350*3000mm
材质工艺：平整墙面批腻子+乳胶漆（三底两面）；
12mmpvc垫白+5mm亚克力+UV；15mm亚克力烤漆字+激光雕刻+UV；
安装方式：防霉玻璃胶胶固定</t>
  </si>
  <si>
    <t>详见设计方案P182-183</t>
  </si>
  <si>
    <t>7.37艺术楼学生发展指导中心7号墙</t>
  </si>
  <si>
    <t>规格：5730*3000mm
材质工艺：平整墙面批腻子+乳胶漆（三底两面）；
12mmpvc垫白+5mm亚克力+UV；15mm亚克力烤漆   +激光雕刻+UV
安装方式：防霉玻璃胶胶固定</t>
  </si>
  <si>
    <t>详见设计方案P184-185</t>
  </si>
  <si>
    <t>7.38艺术楼学生发展指导中心门牌</t>
  </si>
  <si>
    <t>规格：300*140mm
材质工艺：5mm+3mm+5mm亚克力三层叠加表面UV，总侧厚13mm，
中间层雕刻滑轨，附加3mm亚克力滑块uv；
安装方式：防霉玻璃胶胶固定</t>
  </si>
  <si>
    <t>详见设计方案P186-187</t>
  </si>
  <si>
    <t>7.39艺术楼学生发展指导中心告知牌</t>
  </si>
  <si>
    <t>规格：900*800mm+575*800mm
材质工艺：20mm亚克力+激光雕刻+UV：
10mm亚克力+激光雕刻+UV；
5mm亚克力+激光雕刻+UV
安装方式：不锈钢膨胀螺丝+防霉玻璃胶胶固定</t>
  </si>
  <si>
    <t>详见设计方案P188</t>
  </si>
  <si>
    <t>7.40艺术楼学生发展指导中心玻璃贴</t>
  </si>
  <si>
    <t>规格：500*1400mm
材质工艺：透明膜UV画面+湿贴安装</t>
  </si>
  <si>
    <t>详见设计方案P189-190</t>
  </si>
  <si>
    <t>8.1 图书馆1F西侧门厅墙面</t>
  </si>
  <si>
    <t>规格：12390*2790mm
材质工艺：造型墙面（轻钢龙骨+9mm防火板+9.5mm石膏板）
+定制宣绒墙布(基膜+糯米胶)+定制5mm木饰面
+定制发光字(12V电源+变压器）+LED灯带(12V电源+变压器）+彩色无机涂料+5/10mm亚克力烤漆字+15mmpvc底板
需包含电路改线引线及墙面复原，整体墙面发光控制加装独立开关。
安装方式：轻钢龙骨不锈钢膨胀螺丝固定，防霉玻璃胶胶固定</t>
  </si>
  <si>
    <t>详见设计方案P192-193</t>
  </si>
  <si>
    <t>8.1图书馆1F东侧门厅墙面</t>
  </si>
  <si>
    <t>规格：14955*2790mm
材质工艺：造型墙面（50系轻钢龙骨+9mm防火板+9.5mm石膏板）
+定制宣绒墙布(基膜+糯米胶)+定制5mm木饰面
+定制发光字(12V电源+变压器）+LED灯带(12V电源+变压器）+彩色无机涂料+5/10mm亚克力烤漆字+15mmpvc底板
需包含电路改线引线及墙面复原，整体墙面发光控制加装独立开关。
安装方式：轻钢龙骨不锈钢膨胀螺丝固定，防霉玻璃胶胶固定</t>
  </si>
  <si>
    <t>详见设计方案P194-195</t>
  </si>
  <si>
    <t>8.2图书馆2楼廊道西侧墙面</t>
  </si>
  <si>
    <t>规格：7300*1300mm/3066*890mm
材质工艺:1.5mm304不锈钢+木纹热转印；侧厚 10mm+不锈钢膨胀螺丝固定；10mm亚克力+激光雕刻+烤漆；8mmpvc垫白+UV+侧喷+底层软磁吸贴；5mm亚克力+激光雕刻+烤漆；15mm亚克力+激光雕刻+烤漆+UV
可转移黑胶车贴：700*1600mm
安装方式：防霉玻璃胶胶固定</t>
  </si>
  <si>
    <t>详见设计方案P196-198</t>
  </si>
  <si>
    <t>8.2图书馆2楼廊道东侧墙面</t>
  </si>
  <si>
    <t>规格：2840*750mm/7200*1400mm
材质工艺:底板18mmpvc+垫白+uv+面层软磁吸贴；画面:磁吸贴uv;5mm亚克力+激光雕刻+烤漆+UV;10mm亚克力+激光雕刻+烤漆+UV+悬空垫高;15mm亚克力+激光雕刻+烤漆+UV;12mmpvc垫白+UV+侧喷;8mmpvc垫白+UV+侧喷
可转移黑胶车贴：700*1600mm
安装方式：防霉玻璃胶胶固定</t>
  </si>
  <si>
    <t>详见设计方案P199-201</t>
  </si>
  <si>
    <t>8.3图书馆内挂画</t>
  </si>
  <si>
    <t xml:space="preserve">规格：外框尺寸1100*500mm
材质工艺：1.5mm304#不锈钢+激光切割焊接+内陷14mm+烤氟碳漆；侧厚30mm,正视边宽20mm，12mm PVC+UV+覆肤感膜(高密度）
安装方式：不锈钢膨胀螺丝固定
</t>
  </si>
  <si>
    <t>详见设计方案P202</t>
  </si>
  <si>
    <t>9.1食堂二楼三楼教宣传栏</t>
  </si>
  <si>
    <t>规格：5160*1820mm
材质工艺：套壳304#不锈钢精工字，侧厚20mm垫层18mmpvc悬空垫高；1.5mm304#不锈钢+焊接打磨+折弯造型侧厚20mm，烤氟碳漆；1.5mm304#不锈钢+焊接打磨+折弯造型侧厚20mm，分色烤氟碳漆+丝印文字；铝型材翻折快拆海报框；10mm亚克力+激光雕刻+烤漆；8mm高密度雪弗板垫白+UV；亚克力插槽详见施工图
固定方式：不锈钢膨胀螺丝固定；防霉玻璃胶胶固定</t>
  </si>
  <si>
    <t>详见设计方案P204</t>
  </si>
  <si>
    <t>9.21食堂一楼文化墙1</t>
  </si>
  <si>
    <t>规格：4200*1400mm
材质工艺：5mm亚克力+激光雕刻+UV；15mm亚克力+激光雕刻+UV；8mmpvc垫白+激光雕刻+UV+侧喷；12mmpvc垫白+激光雕刻+UV+侧喷
安装方式：防霉玻璃胶胶固定</t>
  </si>
  <si>
    <t>详见设计方案P205</t>
  </si>
  <si>
    <t>9.22食堂一楼文化墙2</t>
  </si>
  <si>
    <t xml:space="preserve">墙面尺寸：3950*1200mm
材质工艺：8mmpvc垫白+激光雕刻+UV+侧喷；12mmpvc垫白+激光雕刻+UV+侧喷
10mm亚克力+激光雕刻+UV；15mm亚克力+激光雕刻+UV
安装方式：防霉玻璃胶胶固定
</t>
  </si>
  <si>
    <t>详见设计方案P206</t>
  </si>
  <si>
    <t>9.23食堂二楼楼文化墙1</t>
  </si>
  <si>
    <t>墙面尺寸：3750*880mm
材质工艺：8mmpvc垫白+激光雕刻+UV+侧喷+肤感膜；
12mmpvc垫白+激光雕刻+UV+侧喷+肤感膜
安装方式：防霉玻璃胶胶固定</t>
  </si>
  <si>
    <t>详见设计方案P207</t>
  </si>
  <si>
    <t>9.24食堂二楼楼文化墙2</t>
  </si>
  <si>
    <t>规格：4000*1835mm
材质工艺：8mmpvc垫白+激光雕刻+UV+侧喷；12mmpvc垫白+激光雕刻+UV+侧喷；
5mm亚克力+激光雕刻+UV；15mm亚克力+激光雕刻+UV
安装方式：防霉玻璃胶胶固定</t>
  </si>
  <si>
    <t>详见设计方案P208</t>
  </si>
  <si>
    <t>9.25食堂三楼楼文化墙1</t>
  </si>
  <si>
    <t>规格：1500*2000mm
材质工艺：12mmpvc垫白+激光雕刻+UV+侧喷；
15mm亚克力+激光雕刻+UV
安装方式：防霉玻璃胶胶固定</t>
  </si>
  <si>
    <t>详见设计方案P209</t>
  </si>
  <si>
    <t>9.26食堂三楼楼文化墙2</t>
  </si>
  <si>
    <t>规格：3428*980mm
材质工艺：8mmpvc垫白+激光雕刻+UV+侧喷；12mmpvc垫白+激光雕刻+UV+侧喷；
15mm亚克力+激光雕刻+UV
安装方式：防霉玻璃胶胶固定</t>
  </si>
  <si>
    <t>详见设计方案P210</t>
  </si>
  <si>
    <t>9.3食堂宣传海报</t>
  </si>
  <si>
    <t>规格：700*1000mm
材质工艺：铝合金快拆边框，侧厚10mm，正视宽度25mm
画面：kt板覆写真（哑膜）
安装方式：不锈钢膨胀螺丝固定</t>
  </si>
  <si>
    <t>详见设计方案P211</t>
  </si>
  <si>
    <t>10.1宿舍区室内公告栏</t>
  </si>
  <si>
    <t xml:space="preserve">规格：2700*1400mm
材质工艺：2mm304不锈钢折边（对应色样做烤氟碳漆/拉丝本色/热转印木纹工艺）20mm厚亚克力、15mm亚克力、松木板
内部根据结构钢骨架支撑
底板内容uv打印+局部立体字亚克力烤漆
面贴A4亚克力插槽8个+710*1328mm松木底板
安装方式：不锈钢膨胀螺丝
</t>
  </si>
  <si>
    <t>详见设计方案P213-214</t>
  </si>
  <si>
    <t>10.2宿舍区外墙公告栏</t>
  </si>
  <si>
    <t xml:space="preserve">规格：5140*1380mm
材质工艺：2mm304不锈钢折边（对应色样做烤氟碳漆/拉丝本色/热转印木纹工艺）
内部根据结构钢骨架支撑
底板内容kt板印刷
面挂钢化玻璃液压杆开合方式橱窗框架，底部不锈钢鸭嘴扣（工艺同户外宣传栏）
画面kt板+镜钉固定
安装方式：不锈钢膨胀螺丝
</t>
  </si>
  <si>
    <t>详见设计方案P215-216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</si>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</sst>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EE79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png"/><Relationship Id="rId98" Type="http://schemas.openxmlformats.org/officeDocument/2006/relationships/image" Target="media/image98.png"/><Relationship Id="rId97" Type="http://schemas.openxmlformats.org/officeDocument/2006/relationships/image" Target="media/image97.png"/><Relationship Id="rId96" Type="http://schemas.openxmlformats.org/officeDocument/2006/relationships/image" Target="media/image96.png"/><Relationship Id="rId95" Type="http://schemas.openxmlformats.org/officeDocument/2006/relationships/image" Target="media/image95.png"/><Relationship Id="rId94" Type="http://schemas.openxmlformats.org/officeDocument/2006/relationships/image" Target="media/image94.png"/><Relationship Id="rId93" Type="http://schemas.openxmlformats.org/officeDocument/2006/relationships/image" Target="media/image93.png"/><Relationship Id="rId92" Type="http://schemas.openxmlformats.org/officeDocument/2006/relationships/image" Target="media/image92.png"/><Relationship Id="rId91" Type="http://schemas.openxmlformats.org/officeDocument/2006/relationships/image" Target="media/image91.png"/><Relationship Id="rId90" Type="http://schemas.openxmlformats.org/officeDocument/2006/relationships/image" Target="media/image90.png"/><Relationship Id="rId9" Type="http://schemas.openxmlformats.org/officeDocument/2006/relationships/image" Target="media/image9.png"/><Relationship Id="rId89" Type="http://schemas.openxmlformats.org/officeDocument/2006/relationships/image" Target="media/image89.png"/><Relationship Id="rId88" Type="http://schemas.openxmlformats.org/officeDocument/2006/relationships/image" Target="media/image88.png"/><Relationship Id="rId87" Type="http://schemas.openxmlformats.org/officeDocument/2006/relationships/image" Target="media/image87.png"/><Relationship Id="rId86" Type="http://schemas.openxmlformats.org/officeDocument/2006/relationships/image" Target="media/image86.png"/><Relationship Id="rId85" Type="http://schemas.openxmlformats.org/officeDocument/2006/relationships/image" Target="media/image85.png"/><Relationship Id="rId84" Type="http://schemas.openxmlformats.org/officeDocument/2006/relationships/image" Target="media/image84.png"/><Relationship Id="rId83" Type="http://schemas.openxmlformats.org/officeDocument/2006/relationships/image" Target="media/image83.png"/><Relationship Id="rId82" Type="http://schemas.openxmlformats.org/officeDocument/2006/relationships/image" Target="media/image82.png"/><Relationship Id="rId81" Type="http://schemas.openxmlformats.org/officeDocument/2006/relationships/image" Target="media/image81.png"/><Relationship Id="rId80" Type="http://schemas.openxmlformats.org/officeDocument/2006/relationships/image" Target="media/image80.png"/><Relationship Id="rId8" Type="http://schemas.openxmlformats.org/officeDocument/2006/relationships/image" Target="media/image8.png"/><Relationship Id="rId79" Type="http://schemas.openxmlformats.org/officeDocument/2006/relationships/image" Target="media/image79.png"/><Relationship Id="rId78" Type="http://schemas.openxmlformats.org/officeDocument/2006/relationships/image" Target="media/image78.png"/><Relationship Id="rId77" Type="http://schemas.openxmlformats.org/officeDocument/2006/relationships/image" Target="media/image77.png"/><Relationship Id="rId76" Type="http://schemas.openxmlformats.org/officeDocument/2006/relationships/image" Target="media/image76.png"/><Relationship Id="rId75" Type="http://schemas.openxmlformats.org/officeDocument/2006/relationships/image" Target="media/image75.png"/><Relationship Id="rId74" Type="http://schemas.openxmlformats.org/officeDocument/2006/relationships/image" Target="media/image74.png"/><Relationship Id="rId73" Type="http://schemas.openxmlformats.org/officeDocument/2006/relationships/image" Target="media/image73.png"/><Relationship Id="rId72" Type="http://schemas.openxmlformats.org/officeDocument/2006/relationships/image" Target="media/image72.png"/><Relationship Id="rId71" Type="http://schemas.openxmlformats.org/officeDocument/2006/relationships/image" Target="media/image71.png"/><Relationship Id="rId70" Type="http://schemas.openxmlformats.org/officeDocument/2006/relationships/image" Target="media/image70.png"/><Relationship Id="rId7" Type="http://schemas.openxmlformats.org/officeDocument/2006/relationships/image" Target="media/image7.pn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png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media/image63.png"/><Relationship Id="rId62" Type="http://schemas.openxmlformats.org/officeDocument/2006/relationships/image" Target="media/image62.png"/><Relationship Id="rId61" Type="http://schemas.openxmlformats.org/officeDocument/2006/relationships/image" Target="media/image61.png"/><Relationship Id="rId60" Type="http://schemas.openxmlformats.org/officeDocument/2006/relationships/image" Target="media/image60.pn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pn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png"/><Relationship Id="rId54" Type="http://schemas.openxmlformats.org/officeDocument/2006/relationships/image" Target="media/image54.pn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6" Type="http://schemas.openxmlformats.org/officeDocument/2006/relationships/image" Target="media/image116.png"/><Relationship Id="rId115" Type="http://schemas.openxmlformats.org/officeDocument/2006/relationships/image" Target="media/image115.png"/><Relationship Id="rId114" Type="http://schemas.openxmlformats.org/officeDocument/2006/relationships/image" Target="media/image114.png"/><Relationship Id="rId113" Type="http://schemas.openxmlformats.org/officeDocument/2006/relationships/image" Target="media/image113.png"/><Relationship Id="rId112" Type="http://schemas.openxmlformats.org/officeDocument/2006/relationships/image" Target="media/image112.png"/><Relationship Id="rId111" Type="http://schemas.openxmlformats.org/officeDocument/2006/relationships/image" Target="media/image111.png"/><Relationship Id="rId110" Type="http://schemas.openxmlformats.org/officeDocument/2006/relationships/image" Target="media/image110.png"/><Relationship Id="rId11" Type="http://schemas.openxmlformats.org/officeDocument/2006/relationships/image" Target="media/image11.png"/><Relationship Id="rId109" Type="http://schemas.openxmlformats.org/officeDocument/2006/relationships/image" Target="media/image109.png"/><Relationship Id="rId108" Type="http://schemas.openxmlformats.org/officeDocument/2006/relationships/image" Target="media/image108.png"/><Relationship Id="rId107" Type="http://schemas.openxmlformats.org/officeDocument/2006/relationships/image" Target="media/image107.png"/><Relationship Id="rId106" Type="http://schemas.openxmlformats.org/officeDocument/2006/relationships/image" Target="media/image106.png"/><Relationship Id="rId105" Type="http://schemas.openxmlformats.org/officeDocument/2006/relationships/image" Target="media/image105.png"/><Relationship Id="rId104" Type="http://schemas.openxmlformats.org/officeDocument/2006/relationships/image" Target="media/image104.png"/><Relationship Id="rId103" Type="http://schemas.openxmlformats.org/officeDocument/2006/relationships/image" Target="media/image103.png"/><Relationship Id="rId102" Type="http://schemas.openxmlformats.org/officeDocument/2006/relationships/image" Target="media/image102.png"/><Relationship Id="rId101" Type="http://schemas.openxmlformats.org/officeDocument/2006/relationships/image" Target="media/image101.png"/><Relationship Id="rId100" Type="http://schemas.openxmlformats.org/officeDocument/2006/relationships/image" Target="media/image100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5"/>
  <sheetViews>
    <sheetView tabSelected="1" zoomScale="85" zoomScaleNormal="85" workbookViewId="0">
      <pane ySplit="3" topLeftCell="A4" activePane="bottomLeft" state="frozen"/>
      <selection/>
      <selection pane="bottomLeft" activeCell="F5" sqref="F5"/>
    </sheetView>
  </sheetViews>
  <sheetFormatPr defaultColWidth="8.89166666666667" defaultRowHeight="16.5" outlineLevelCol="7"/>
  <cols>
    <col min="1" max="1" width="8.89166666666667" style="1"/>
    <col min="2" max="2" width="24.6666666666667" style="1" customWidth="1"/>
    <col min="3" max="4" width="10.4416666666667" style="1" customWidth="1"/>
    <col min="5" max="5" width="14.3833333333333" style="1" customWidth="1"/>
    <col min="6" max="6" width="63.675" style="5" customWidth="1"/>
    <col min="7" max="7" width="28.925" style="1" customWidth="1"/>
    <col min="8" max="8" width="34.1083333333333" style="1" customWidth="1"/>
    <col min="9" max="16384" width="8.89166666666667" style="1"/>
  </cols>
  <sheetData>
    <row r="1" s="1" customFormat="1" ht="44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s="1" customForma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spans="1:8">
      <c r="A3" s="9" t="s">
        <v>9</v>
      </c>
      <c r="B3" s="9"/>
      <c r="C3" s="10"/>
      <c r="D3" s="10"/>
      <c r="E3" s="10"/>
      <c r="F3" s="9"/>
      <c r="G3" s="9"/>
      <c r="H3" s="9"/>
    </row>
    <row r="4" s="1" customFormat="1" ht="181.5" spans="1:8">
      <c r="A4" s="11">
        <v>1</v>
      </c>
      <c r="B4" s="12" t="s">
        <v>10</v>
      </c>
      <c r="C4" s="13">
        <v>1</v>
      </c>
      <c r="D4" s="11" t="s">
        <v>11</v>
      </c>
      <c r="E4" s="11">
        <v>200000</v>
      </c>
      <c r="F4" s="14" t="s">
        <v>12</v>
      </c>
      <c r="G4" s="15" t="s">
        <v>13</v>
      </c>
      <c r="H4" s="15" t="str">
        <f>_xlfn.DISPIMG("ID_50EE8035815D4E5D8604C7D8B754BD21",1)</f>
        <v>=DISPIMG("ID_50EE8035815D4E5D8604C7D8B754BD21",1)</v>
      </c>
    </row>
    <row r="5" ht="198" spans="1:8">
      <c r="A5" s="11">
        <v>2</v>
      </c>
      <c r="B5" s="11" t="s">
        <v>14</v>
      </c>
      <c r="C5" s="13">
        <v>1</v>
      </c>
      <c r="D5" s="11" t="s">
        <v>15</v>
      </c>
      <c r="E5" s="11">
        <v>35000</v>
      </c>
      <c r="F5" s="14" t="s">
        <v>16</v>
      </c>
      <c r="G5" s="15" t="s">
        <v>17</v>
      </c>
      <c r="H5" s="15" t="str">
        <f>_xlfn.DISPIMG("ID_6132A4C4F95E484FAF87E931B6BDDBC2",1)</f>
        <v>=DISPIMG("ID_6132A4C4F95E484FAF87E931B6BDDBC2",1)</v>
      </c>
    </row>
    <row r="6" ht="198" spans="1:8">
      <c r="A6" s="11">
        <v>3</v>
      </c>
      <c r="B6" s="11" t="s">
        <v>18</v>
      </c>
      <c r="C6" s="13">
        <v>1</v>
      </c>
      <c r="D6" s="11" t="s">
        <v>11</v>
      </c>
      <c r="E6" s="11">
        <v>20000</v>
      </c>
      <c r="F6" s="14" t="s">
        <v>19</v>
      </c>
      <c r="G6" s="16" t="s">
        <v>20</v>
      </c>
      <c r="H6" s="15" t="str">
        <f>_xlfn.DISPIMG("ID_DE86A420A3794B1985B27A08C5C44C54",1)</f>
        <v>=DISPIMG("ID_DE86A420A3794B1985B27A08C5C44C54",1)</v>
      </c>
    </row>
    <row r="7" ht="198" spans="1:8">
      <c r="A7" s="11">
        <v>4</v>
      </c>
      <c r="B7" s="11" t="s">
        <v>21</v>
      </c>
      <c r="C7" s="13">
        <v>1</v>
      </c>
      <c r="D7" s="11" t="s">
        <v>15</v>
      </c>
      <c r="E7" s="11">
        <v>38000</v>
      </c>
      <c r="F7" s="14" t="s">
        <v>22</v>
      </c>
      <c r="G7" s="16" t="s">
        <v>23</v>
      </c>
      <c r="H7" s="15" t="str">
        <f>_xlfn.DISPIMG("ID_C5421CA197DF4B34B1130881DB5EF5E4",1)</f>
        <v>=DISPIMG("ID_C5421CA197DF4B34B1130881DB5EF5E4",1)</v>
      </c>
    </row>
    <row r="8" ht="231" spans="1:8">
      <c r="A8" s="11">
        <v>5</v>
      </c>
      <c r="B8" s="11" t="s">
        <v>24</v>
      </c>
      <c r="C8" s="13">
        <v>3</v>
      </c>
      <c r="D8" s="11" t="s">
        <v>25</v>
      </c>
      <c r="E8" s="11">
        <v>72000</v>
      </c>
      <c r="F8" s="14" t="s">
        <v>26</v>
      </c>
      <c r="G8" s="15" t="s">
        <v>27</v>
      </c>
      <c r="H8" s="15" t="str">
        <f>_xlfn.DISPIMG("ID_34DF238E18AD45879B33DC2D5F5CFC8E",1)</f>
        <v>=DISPIMG("ID_34DF238E18AD45879B33DC2D5F5CFC8E",1)</v>
      </c>
    </row>
    <row r="9" ht="165" spans="1:8">
      <c r="A9" s="11">
        <v>6</v>
      </c>
      <c r="B9" s="11" t="s">
        <v>28</v>
      </c>
      <c r="C9" s="13">
        <v>1</v>
      </c>
      <c r="D9" s="11" t="s">
        <v>15</v>
      </c>
      <c r="E9" s="11">
        <v>26000</v>
      </c>
      <c r="F9" s="14" t="s">
        <v>29</v>
      </c>
      <c r="G9" s="15" t="s">
        <v>30</v>
      </c>
      <c r="H9" s="15" t="str">
        <f>_xlfn.DISPIMG("ID_3FB66F1F8A594B58B263FE083A40F52D",1)</f>
        <v>=DISPIMG("ID_3FB66F1F8A594B58B263FE083A40F52D",1)</v>
      </c>
    </row>
    <row r="10" ht="165" spans="1:8">
      <c r="A10" s="11">
        <v>7</v>
      </c>
      <c r="B10" s="11" t="s">
        <v>31</v>
      </c>
      <c r="C10" s="13">
        <v>1</v>
      </c>
      <c r="D10" s="11" t="s">
        <v>15</v>
      </c>
      <c r="E10" s="11">
        <v>20000</v>
      </c>
      <c r="F10" s="14" t="s">
        <v>32</v>
      </c>
      <c r="G10" s="15" t="s">
        <v>33</v>
      </c>
      <c r="H10" s="15" t="str">
        <f>_xlfn.DISPIMG("ID_1273EBB1E3BC45F99EC5DF17CDFDEDD7",1)</f>
        <v>=DISPIMG("ID_1273EBB1E3BC45F99EC5DF17CDFDEDD7",1)</v>
      </c>
    </row>
    <row r="11" s="1" customFormat="1" spans="1:8">
      <c r="A11" s="17" t="s">
        <v>34</v>
      </c>
      <c r="B11" s="17"/>
      <c r="C11" s="17"/>
      <c r="D11" s="17"/>
      <c r="E11" s="18"/>
      <c r="F11" s="19"/>
      <c r="G11" s="20"/>
      <c r="H11" s="20"/>
    </row>
    <row r="12" ht="181.5" spans="1:8">
      <c r="A12" s="11">
        <v>8</v>
      </c>
      <c r="B12" s="11" t="s">
        <v>35</v>
      </c>
      <c r="C12" s="21">
        <v>2</v>
      </c>
      <c r="D12" s="11" t="s">
        <v>15</v>
      </c>
      <c r="E12" s="11">
        <v>24000</v>
      </c>
      <c r="F12" s="14" t="s">
        <v>36</v>
      </c>
      <c r="G12" s="15" t="s">
        <v>37</v>
      </c>
      <c r="H12" s="15" t="str">
        <f>_xlfn.DISPIMG("ID_A973D561693C48A4A1EFC6796052037F",1)</f>
        <v>=DISPIMG("ID_A973D561693C48A4A1EFC6796052037F",1)</v>
      </c>
    </row>
    <row r="13" ht="181.5" spans="1:8">
      <c r="A13" s="11">
        <v>9</v>
      </c>
      <c r="B13" s="11" t="s">
        <v>38</v>
      </c>
      <c r="C13" s="21">
        <v>2</v>
      </c>
      <c r="D13" s="11" t="s">
        <v>15</v>
      </c>
      <c r="E13" s="11">
        <v>18000</v>
      </c>
      <c r="F13" s="14" t="s">
        <v>39</v>
      </c>
      <c r="G13" s="15" t="s">
        <v>40</v>
      </c>
      <c r="H13" s="15" t="str">
        <f>_xlfn.DISPIMG("ID_B7E6253BEED44EE78577289E55F0423F",1)</f>
        <v>=DISPIMG("ID_B7E6253BEED44EE78577289E55F0423F",1)</v>
      </c>
    </row>
    <row r="14" ht="198" spans="1:8">
      <c r="A14" s="11">
        <v>10</v>
      </c>
      <c r="B14" s="11" t="s">
        <v>41</v>
      </c>
      <c r="C14" s="21">
        <v>2</v>
      </c>
      <c r="D14" s="11" t="s">
        <v>15</v>
      </c>
      <c r="E14" s="11">
        <v>9600</v>
      </c>
      <c r="F14" s="14" t="s">
        <v>42</v>
      </c>
      <c r="G14" s="15" t="s">
        <v>43</v>
      </c>
      <c r="H14" s="15" t="str">
        <f>_xlfn.DISPIMG("ID_A1E8E82BBA284C9B887AC1E2F71F7774",1)</f>
        <v>=DISPIMG("ID_A1E8E82BBA284C9B887AC1E2F71F7774",1)</v>
      </c>
    </row>
    <row r="15" ht="198" spans="1:8">
      <c r="A15" s="11">
        <v>11</v>
      </c>
      <c r="B15" s="11" t="s">
        <v>44</v>
      </c>
      <c r="C15" s="21">
        <v>4</v>
      </c>
      <c r="D15" s="11" t="s">
        <v>15</v>
      </c>
      <c r="E15" s="11">
        <v>24000</v>
      </c>
      <c r="F15" s="14" t="s">
        <v>45</v>
      </c>
      <c r="G15" s="15" t="s">
        <v>46</v>
      </c>
      <c r="H15" s="15" t="str">
        <f>_xlfn.DISPIMG("ID_DC30FB239ECB4774BF90D2118647DE8C",1)</f>
        <v>=DISPIMG("ID_DC30FB239ECB4774BF90D2118647DE8C",1)</v>
      </c>
    </row>
    <row r="16" ht="198" spans="1:8">
      <c r="A16" s="11">
        <v>12</v>
      </c>
      <c r="B16" s="11" t="s">
        <v>47</v>
      </c>
      <c r="C16" s="21">
        <v>4</v>
      </c>
      <c r="D16" s="11" t="s">
        <v>15</v>
      </c>
      <c r="E16" s="11">
        <v>16800</v>
      </c>
      <c r="F16" s="14" t="s">
        <v>48</v>
      </c>
      <c r="G16" s="15" t="s">
        <v>49</v>
      </c>
      <c r="H16" s="15" t="str">
        <f>_xlfn.DISPIMG("ID_B98C10AA7C41495499F4E285E5FF971F",1)</f>
        <v>=DISPIMG("ID_B98C10AA7C41495499F4E285E5FF971F",1)</v>
      </c>
    </row>
    <row r="17" ht="148.5" spans="1:8">
      <c r="A17" s="11">
        <v>13</v>
      </c>
      <c r="B17" s="13" t="s">
        <v>50</v>
      </c>
      <c r="C17" s="13">
        <v>10</v>
      </c>
      <c r="D17" s="13" t="s">
        <v>15</v>
      </c>
      <c r="E17" s="13">
        <v>9000</v>
      </c>
      <c r="F17" s="22" t="s">
        <v>51</v>
      </c>
      <c r="G17" s="23" t="s">
        <v>52</v>
      </c>
      <c r="H17" s="24" t="str">
        <f t="shared" ref="H17:H20" si="0">_xlfn.DISPIMG("ID_5835AA80E33E4415859F575851F86C79",1)</f>
        <v>=DISPIMG("ID_5835AA80E33E4415859F575851F86C79",1)</v>
      </c>
    </row>
    <row r="18" ht="148.5" spans="1:8">
      <c r="A18" s="11">
        <v>14</v>
      </c>
      <c r="B18" s="13" t="s">
        <v>53</v>
      </c>
      <c r="C18" s="13">
        <v>37</v>
      </c>
      <c r="D18" s="13" t="s">
        <v>15</v>
      </c>
      <c r="E18" s="13">
        <v>37000</v>
      </c>
      <c r="F18" s="22" t="s">
        <v>54</v>
      </c>
      <c r="G18" s="23" t="s">
        <v>52</v>
      </c>
      <c r="H18" s="24" t="str">
        <f t="shared" si="0"/>
        <v>=DISPIMG("ID_5835AA80E33E4415859F575851F86C79",1)</v>
      </c>
    </row>
    <row r="19" ht="165" spans="1:8">
      <c r="A19" s="11">
        <v>15</v>
      </c>
      <c r="B19" s="13" t="s">
        <v>55</v>
      </c>
      <c r="C19" s="13">
        <v>6</v>
      </c>
      <c r="D19" s="13" t="s">
        <v>15</v>
      </c>
      <c r="E19" s="13">
        <v>7200</v>
      </c>
      <c r="F19" s="22" t="s">
        <v>56</v>
      </c>
      <c r="G19" s="23" t="s">
        <v>52</v>
      </c>
      <c r="H19" s="24" t="str">
        <f t="shared" si="0"/>
        <v>=DISPIMG("ID_5835AA80E33E4415859F575851F86C79",1)</v>
      </c>
    </row>
    <row r="20" ht="197.85" spans="1:8">
      <c r="A20" s="11">
        <v>16</v>
      </c>
      <c r="B20" s="13" t="s">
        <v>57</v>
      </c>
      <c r="C20" s="13">
        <v>40</v>
      </c>
      <c r="D20" s="13" t="s">
        <v>15</v>
      </c>
      <c r="E20" s="13">
        <v>56000</v>
      </c>
      <c r="F20" s="22" t="s">
        <v>58</v>
      </c>
      <c r="G20" s="23" t="s">
        <v>52</v>
      </c>
      <c r="H20" s="24" t="str">
        <f t="shared" si="0"/>
        <v>=DISPIMG("ID_5835AA80E33E4415859F575851F86C79",1)</v>
      </c>
    </row>
    <row r="21" ht="183" customHeight="1" spans="1:8">
      <c r="A21" s="11">
        <v>17</v>
      </c>
      <c r="B21" s="13" t="s">
        <v>59</v>
      </c>
      <c r="C21" s="21">
        <v>3</v>
      </c>
      <c r="D21" s="11" t="s">
        <v>15</v>
      </c>
      <c r="E21" s="11">
        <v>4800</v>
      </c>
      <c r="F21" s="22" t="s">
        <v>60</v>
      </c>
      <c r="G21" s="23" t="s">
        <v>61</v>
      </c>
      <c r="H21" s="15" t="str">
        <f>_xlfn.DISPIMG("ID_BE4FA1DB1D4542C09A1ACF14729FD4E8",1)</f>
        <v>=DISPIMG("ID_BE4FA1DB1D4542C09A1ACF14729FD4E8",1)</v>
      </c>
    </row>
    <row r="22" ht="214.5" spans="1:8">
      <c r="A22" s="11">
        <v>18</v>
      </c>
      <c r="B22" s="11" t="s">
        <v>62</v>
      </c>
      <c r="C22" s="21">
        <v>7</v>
      </c>
      <c r="D22" s="11" t="s">
        <v>15</v>
      </c>
      <c r="E22" s="11">
        <v>87500</v>
      </c>
      <c r="F22" s="14" t="s">
        <v>63</v>
      </c>
      <c r="G22" s="15" t="s">
        <v>64</v>
      </c>
      <c r="H22" s="15" t="str">
        <f>_xlfn.DISPIMG("ID_8818E1A945264B46B476392734AF514B",1)</f>
        <v>=DISPIMG("ID_8818E1A945264B46B476392734AF514B",1)</v>
      </c>
    </row>
    <row r="23" ht="214.5" spans="1:8">
      <c r="A23" s="11">
        <v>19</v>
      </c>
      <c r="B23" s="11" t="s">
        <v>65</v>
      </c>
      <c r="C23" s="21">
        <v>4</v>
      </c>
      <c r="D23" s="11" t="s">
        <v>15</v>
      </c>
      <c r="E23" s="11">
        <v>36000</v>
      </c>
      <c r="F23" s="14" t="s">
        <v>66</v>
      </c>
      <c r="G23" s="15" t="s">
        <v>67</v>
      </c>
      <c r="H23" s="15" t="str">
        <f>_xlfn.DISPIMG("ID_92598988D6B641768DE30DBE58FEC060",1)</f>
        <v>=DISPIMG("ID_92598988D6B641768DE30DBE58FEC060",1)</v>
      </c>
    </row>
    <row r="24" s="2" customFormat="1" ht="247.5" spans="1:8">
      <c r="A24" s="11">
        <v>20</v>
      </c>
      <c r="B24" s="25" t="s">
        <v>68</v>
      </c>
      <c r="C24" s="26">
        <v>80</v>
      </c>
      <c r="D24" s="25" t="s">
        <v>11</v>
      </c>
      <c r="E24" s="25">
        <v>152000</v>
      </c>
      <c r="F24" s="22" t="s">
        <v>69</v>
      </c>
      <c r="G24" s="16" t="s">
        <v>70</v>
      </c>
      <c r="H24" s="16" t="str">
        <f>_xlfn.DISPIMG("ID_F81E8F6850A84BEFBCC33BABC335A567",1)</f>
        <v>=DISPIMG("ID_F81E8F6850A84BEFBCC33BABC335A567",1)</v>
      </c>
    </row>
    <row r="25" s="2" customFormat="1" ht="253.95" spans="1:8">
      <c r="A25" s="11">
        <v>21</v>
      </c>
      <c r="B25" s="25" t="s">
        <v>71</v>
      </c>
      <c r="C25" s="26">
        <v>3</v>
      </c>
      <c r="D25" s="25" t="s">
        <v>15</v>
      </c>
      <c r="E25" s="25">
        <v>3900</v>
      </c>
      <c r="F25" s="22" t="s">
        <v>72</v>
      </c>
      <c r="G25" s="16" t="s">
        <v>73</v>
      </c>
      <c r="H25" s="16" t="str">
        <f>_xlfn.DISPIMG("ID_E862DB671C8B41B794DA030ACEC0FB29",1)</f>
        <v>=DISPIMG("ID_E862DB671C8B41B794DA030ACEC0FB29",1)</v>
      </c>
    </row>
    <row r="26" s="3" customFormat="1" ht="202" customHeight="1" spans="1:8">
      <c r="A26" s="11">
        <v>22</v>
      </c>
      <c r="B26" s="25" t="s">
        <v>74</v>
      </c>
      <c r="C26" s="26">
        <v>40</v>
      </c>
      <c r="D26" s="25" t="s">
        <v>15</v>
      </c>
      <c r="E26" s="25">
        <v>44000</v>
      </c>
      <c r="F26" s="22" t="s">
        <v>75</v>
      </c>
      <c r="G26" s="16" t="s">
        <v>76</v>
      </c>
      <c r="H26" s="24" t="str">
        <f>_xlfn.DISPIMG("ID_4B3D9180359842B0800CCFA25C94AF72",1)</f>
        <v>=DISPIMG("ID_4B3D9180359842B0800CCFA25C94AF72",1)</v>
      </c>
    </row>
    <row r="27" s="4" customFormat="1" ht="120.1" spans="1:8">
      <c r="A27" s="11">
        <v>23</v>
      </c>
      <c r="B27" s="11" t="s">
        <v>77</v>
      </c>
      <c r="C27" s="13">
        <v>40</v>
      </c>
      <c r="D27" s="11" t="s">
        <v>15</v>
      </c>
      <c r="E27" s="11">
        <v>12000</v>
      </c>
      <c r="F27" s="14" t="s">
        <v>78</v>
      </c>
      <c r="G27" s="16" t="s">
        <v>79</v>
      </c>
      <c r="H27" s="15" t="str">
        <f>_xlfn.DISPIMG("ID_EB7A7207358242D791AB57D0B62D0971",1)</f>
        <v>=DISPIMG("ID_EB7A7207358242D791AB57D0B62D0971",1)</v>
      </c>
    </row>
    <row r="28" ht="198" spans="1:8">
      <c r="A28" s="11">
        <v>24</v>
      </c>
      <c r="B28" s="11" t="s">
        <v>80</v>
      </c>
      <c r="C28" s="13">
        <v>40</v>
      </c>
      <c r="D28" s="11" t="s">
        <v>15</v>
      </c>
      <c r="E28" s="11">
        <v>14000</v>
      </c>
      <c r="F28" s="14" t="s">
        <v>81</v>
      </c>
      <c r="G28" s="15" t="s">
        <v>82</v>
      </c>
      <c r="H28" s="15" t="str">
        <f>_xlfn.DISPIMG("ID_CD23C46AFD854CF88D14689CF1BE58FE",1)</f>
        <v>=DISPIMG("ID_CD23C46AFD854CF88D14689CF1BE58FE",1)</v>
      </c>
    </row>
    <row r="29" ht="165" spans="1:8">
      <c r="A29" s="11">
        <v>25</v>
      </c>
      <c r="B29" s="11" t="s">
        <v>83</v>
      </c>
      <c r="C29" s="13">
        <v>20</v>
      </c>
      <c r="D29" s="11" t="s">
        <v>15</v>
      </c>
      <c r="E29" s="11">
        <v>9000</v>
      </c>
      <c r="F29" s="14" t="s">
        <v>84</v>
      </c>
      <c r="G29" s="15" t="s">
        <v>82</v>
      </c>
      <c r="H29" s="15" t="str">
        <f>_xlfn.DISPIMG("ID_3B56658BA9DB414594E93C98591E6AAE",1)</f>
        <v>=DISPIMG("ID_3B56658BA9DB414594E93C98591E6AAE",1)</v>
      </c>
    </row>
    <row r="30" ht="165" spans="1:8">
      <c r="A30" s="11">
        <v>26</v>
      </c>
      <c r="B30" s="11" t="s">
        <v>85</v>
      </c>
      <c r="C30" s="13">
        <v>45</v>
      </c>
      <c r="D30" s="11" t="s">
        <v>15</v>
      </c>
      <c r="E30" s="11">
        <v>40500</v>
      </c>
      <c r="F30" s="22" t="s">
        <v>86</v>
      </c>
      <c r="G30" s="15" t="s">
        <v>87</v>
      </c>
      <c r="H30" s="15" t="str">
        <f>_xlfn.DISPIMG("ID_7B81A02397D949D7A67DACB6D57A8779",1)</f>
        <v>=DISPIMG("ID_7B81A02397D949D7A67DACB6D57A8779",1)</v>
      </c>
    </row>
    <row r="31" ht="165" spans="1:8">
      <c r="A31" s="11">
        <v>27</v>
      </c>
      <c r="B31" s="11" t="s">
        <v>88</v>
      </c>
      <c r="C31" s="13">
        <v>400</v>
      </c>
      <c r="D31" s="11" t="s">
        <v>15</v>
      </c>
      <c r="E31" s="11">
        <v>56000</v>
      </c>
      <c r="F31" s="22" t="s">
        <v>89</v>
      </c>
      <c r="G31" s="15" t="s">
        <v>87</v>
      </c>
      <c r="H31" s="15" t="str">
        <f>_xlfn.DISPIMG("ID_D66598C0B3BA489D80840CCC5E6B229C",1)</f>
        <v>=DISPIMG("ID_D66598C0B3BA489D80840CCC5E6B229C",1)</v>
      </c>
    </row>
    <row r="32" ht="181.5" spans="1:8">
      <c r="A32" s="11">
        <v>28</v>
      </c>
      <c r="B32" s="11" t="s">
        <v>90</v>
      </c>
      <c r="C32" s="13">
        <v>210</v>
      </c>
      <c r="D32" s="11" t="s">
        <v>15</v>
      </c>
      <c r="E32" s="11">
        <v>42000</v>
      </c>
      <c r="F32" s="22" t="s">
        <v>91</v>
      </c>
      <c r="G32" s="15" t="s">
        <v>87</v>
      </c>
      <c r="H32" s="15" t="str">
        <f>_xlfn.DISPIMG("ID_0340686DA7CC4CBCBE5712E1B7F83613",1)</f>
        <v>=DISPIMG("ID_0340686DA7CC4CBCBE5712E1B7F83613",1)</v>
      </c>
    </row>
    <row r="33" ht="165" spans="1:8">
      <c r="A33" s="11">
        <v>29</v>
      </c>
      <c r="B33" s="11" t="s">
        <v>92</v>
      </c>
      <c r="C33" s="13">
        <v>260</v>
      </c>
      <c r="D33" s="11" t="s">
        <v>15</v>
      </c>
      <c r="E33" s="11">
        <v>36400</v>
      </c>
      <c r="F33" s="22" t="s">
        <v>93</v>
      </c>
      <c r="G33" s="15" t="s">
        <v>94</v>
      </c>
      <c r="H33" s="15" t="str">
        <f>_xlfn.DISPIMG("ID_C3BA4A3F38784642B9BA0BA9E966081E",1)</f>
        <v>=DISPIMG("ID_C3BA4A3F38784642B9BA0BA9E966081E",1)</v>
      </c>
    </row>
    <row r="34" ht="165" spans="1:8">
      <c r="A34" s="11">
        <v>30</v>
      </c>
      <c r="B34" s="11" t="s">
        <v>95</v>
      </c>
      <c r="C34" s="13">
        <v>120</v>
      </c>
      <c r="D34" s="11" t="s">
        <v>15</v>
      </c>
      <c r="E34" s="11">
        <v>48000</v>
      </c>
      <c r="F34" s="22" t="s">
        <v>96</v>
      </c>
      <c r="G34" s="15" t="s">
        <v>87</v>
      </c>
      <c r="H34" s="15" t="str">
        <f>_xlfn.DISPIMG("ID_0E230CF3B4894C48A3FC8A5D79C8C5CB",1)</f>
        <v>=DISPIMG("ID_0E230CF3B4894C48A3FC8A5D79C8C5CB",1)</v>
      </c>
    </row>
    <row r="35" ht="148.5" spans="1:8">
      <c r="A35" s="11">
        <v>31</v>
      </c>
      <c r="B35" s="11" t="s">
        <v>97</v>
      </c>
      <c r="C35" s="13">
        <v>200</v>
      </c>
      <c r="D35" s="11" t="s">
        <v>15</v>
      </c>
      <c r="E35" s="11">
        <v>36000</v>
      </c>
      <c r="F35" s="22" t="s">
        <v>98</v>
      </c>
      <c r="G35" s="15" t="s">
        <v>94</v>
      </c>
      <c r="H35" s="15" t="str">
        <f>_xlfn.DISPIMG("ID_8354C4CF2F7F48E7A9A113559236F532",1)</f>
        <v>=DISPIMG("ID_8354C4CF2F7F48E7A9A113559236F532",1)</v>
      </c>
    </row>
    <row r="36" s="1" customFormat="1" ht="148.5" spans="1:8">
      <c r="A36" s="11">
        <v>32</v>
      </c>
      <c r="B36" s="13" t="s">
        <v>99</v>
      </c>
      <c r="C36" s="13">
        <v>590</v>
      </c>
      <c r="D36" s="13" t="s">
        <v>15</v>
      </c>
      <c r="E36" s="27">
        <v>47200</v>
      </c>
      <c r="F36" s="22" t="s">
        <v>100</v>
      </c>
      <c r="G36" s="15" t="s">
        <v>87</v>
      </c>
      <c r="H36" s="24" t="str">
        <f>_xlfn.DISPIMG("ID_E746E7C899AD48C7B762B842604EE96D",1)</f>
        <v>=DISPIMG("ID_E746E7C899AD48C7B762B842604EE96D",1)</v>
      </c>
    </row>
    <row r="37" ht="148.5" spans="1:8">
      <c r="A37" s="11">
        <v>33</v>
      </c>
      <c r="B37" s="11" t="s">
        <v>101</v>
      </c>
      <c r="C37" s="13">
        <v>1620</v>
      </c>
      <c r="D37" s="11" t="s">
        <v>15</v>
      </c>
      <c r="E37" s="11">
        <v>42120</v>
      </c>
      <c r="F37" s="22" t="s">
        <v>102</v>
      </c>
      <c r="G37" s="16" t="s">
        <v>103</v>
      </c>
      <c r="H37" s="15" t="str">
        <f>_xlfn.DISPIMG("ID_B057907349774B2E8FE235B7B984549B",1)</f>
        <v>=DISPIMG("ID_B057907349774B2E8FE235B7B984549B",1)</v>
      </c>
    </row>
    <row r="38" ht="82.5" spans="1:8">
      <c r="A38" s="11">
        <v>34</v>
      </c>
      <c r="B38" s="11" t="s">
        <v>104</v>
      </c>
      <c r="C38" s="13">
        <v>1</v>
      </c>
      <c r="D38" s="11" t="s">
        <v>15</v>
      </c>
      <c r="E38" s="11">
        <v>9000</v>
      </c>
      <c r="F38" s="14" t="s">
        <v>105</v>
      </c>
      <c r="G38" s="15" t="s">
        <v>106</v>
      </c>
      <c r="H38" s="15" t="str">
        <f>_xlfn.DISPIMG("ID_B8D21009674641D4BE045AEB99F04DDD",1)</f>
        <v>=DISPIMG("ID_B8D21009674641D4BE045AEB99F04DDD",1)</v>
      </c>
    </row>
    <row r="39" ht="82.5" spans="1:8">
      <c r="A39" s="11">
        <v>35</v>
      </c>
      <c r="B39" s="11" t="s">
        <v>107</v>
      </c>
      <c r="C39" s="13">
        <v>1</v>
      </c>
      <c r="D39" s="11" t="s">
        <v>15</v>
      </c>
      <c r="E39" s="11">
        <v>9000</v>
      </c>
      <c r="F39" s="14" t="s">
        <v>105</v>
      </c>
      <c r="G39" s="15" t="s">
        <v>106</v>
      </c>
      <c r="H39" s="15" t="str">
        <f>_xlfn.DISPIMG("ID_50C31DCED09E4B41961D85AD81A6BAB4",1)</f>
        <v>=DISPIMG("ID_50C31DCED09E4B41961D85AD81A6BAB4",1)</v>
      </c>
    </row>
    <row r="40" ht="82.5" spans="1:8">
      <c r="A40" s="11">
        <v>36</v>
      </c>
      <c r="B40" s="11" t="s">
        <v>108</v>
      </c>
      <c r="C40" s="13">
        <v>25</v>
      </c>
      <c r="D40" s="11" t="s">
        <v>15</v>
      </c>
      <c r="E40" s="11">
        <v>30000</v>
      </c>
      <c r="F40" s="14" t="s">
        <v>109</v>
      </c>
      <c r="G40" s="15" t="s">
        <v>110</v>
      </c>
      <c r="H40" s="15" t="str">
        <f>_xlfn.DISPIMG("ID_D5A14DB6E8C6440D9D70294353F9EEEF",1)</f>
        <v>=DISPIMG("ID_D5A14DB6E8C6440D9D70294353F9EEEF",1)</v>
      </c>
    </row>
    <row r="41" ht="49.5" spans="1:8">
      <c r="A41" s="11">
        <v>37</v>
      </c>
      <c r="B41" s="11" t="s">
        <v>111</v>
      </c>
      <c r="C41" s="13">
        <v>25</v>
      </c>
      <c r="D41" s="11" t="s">
        <v>15</v>
      </c>
      <c r="E41" s="11">
        <v>6250</v>
      </c>
      <c r="F41" s="22" t="s">
        <v>112</v>
      </c>
      <c r="G41" s="15" t="s">
        <v>113</v>
      </c>
      <c r="H41" s="15" t="str">
        <f>_xlfn.DISPIMG("ID_D3DEDEB2001F4B949B0D42B08C597AA7",1)</f>
        <v>=DISPIMG("ID_D3DEDEB2001F4B949B0D42B08C597AA7",1)</v>
      </c>
    </row>
    <row r="42" ht="49.5" spans="1:8">
      <c r="A42" s="11">
        <v>38</v>
      </c>
      <c r="B42" s="11" t="s">
        <v>114</v>
      </c>
      <c r="C42" s="13">
        <v>25</v>
      </c>
      <c r="D42" s="11" t="s">
        <v>15</v>
      </c>
      <c r="E42" s="11">
        <v>17500</v>
      </c>
      <c r="F42" s="22" t="s">
        <v>115</v>
      </c>
      <c r="G42" s="15" t="s">
        <v>113</v>
      </c>
      <c r="H42" s="15" t="str">
        <f>_xlfn.DISPIMG("ID_301075AA69B3412CA4A7E644A0970736",1)</f>
        <v>=DISPIMG("ID_301075AA69B3412CA4A7E644A0970736",1)</v>
      </c>
    </row>
    <row r="43" ht="115.5" spans="1:8">
      <c r="A43" s="11">
        <v>39</v>
      </c>
      <c r="B43" s="11" t="s">
        <v>116</v>
      </c>
      <c r="C43" s="13">
        <v>650</v>
      </c>
      <c r="D43" s="21" t="s">
        <v>117</v>
      </c>
      <c r="E43" s="11">
        <v>65000</v>
      </c>
      <c r="F43" s="14" t="s">
        <v>118</v>
      </c>
      <c r="G43" s="15" t="s">
        <v>119</v>
      </c>
      <c r="H43" s="15" t="str">
        <f>_xlfn.DISPIMG("ID_ADAACFF8841E4C13883CD5B2429514B9",1)</f>
        <v>=DISPIMG("ID_ADAACFF8841E4C13883CD5B2429514B9",1)</v>
      </c>
    </row>
    <row r="44" s="1" customFormat="1" spans="1:8">
      <c r="A44" s="17" t="s">
        <v>120</v>
      </c>
      <c r="B44" s="17"/>
      <c r="C44" s="17"/>
      <c r="D44" s="17"/>
      <c r="E44" s="18"/>
      <c r="F44" s="19"/>
      <c r="G44" s="20"/>
      <c r="H44" s="20"/>
    </row>
    <row r="45" ht="33" spans="1:8">
      <c r="A45" s="11">
        <v>40</v>
      </c>
      <c r="B45" s="28" t="s">
        <v>121</v>
      </c>
      <c r="C45" s="13">
        <v>1</v>
      </c>
      <c r="D45" s="13" t="s">
        <v>122</v>
      </c>
      <c r="E45" s="11">
        <v>450</v>
      </c>
      <c r="F45" s="14" t="s">
        <v>123</v>
      </c>
      <c r="G45" s="15" t="s">
        <v>124</v>
      </c>
      <c r="H45" s="16" t="str">
        <f>_xlfn.DISPIMG("ID_7587FC459338474C9DE0E9B3112C2879",1)</f>
        <v>=DISPIMG("ID_7587FC459338474C9DE0E9B3112C2879",1)</v>
      </c>
    </row>
    <row r="46" ht="181.5" spans="1:8">
      <c r="A46" s="11">
        <v>41</v>
      </c>
      <c r="B46" s="28" t="s">
        <v>125</v>
      </c>
      <c r="C46" s="13">
        <v>95</v>
      </c>
      <c r="D46" s="13" t="s">
        <v>15</v>
      </c>
      <c r="E46" s="11">
        <v>28500</v>
      </c>
      <c r="F46" s="14" t="s">
        <v>126</v>
      </c>
      <c r="G46" s="15" t="s">
        <v>127</v>
      </c>
      <c r="H46" s="16" t="str">
        <f>_xlfn.DISPIMG("ID_CBCC51C83C5E4DF1AE60D2AFA35F0254",1)</f>
        <v>=DISPIMG("ID_CBCC51C83C5E4DF1AE60D2AFA35F0254",1)</v>
      </c>
    </row>
    <row r="47" ht="181.5" spans="1:8">
      <c r="A47" s="11">
        <v>42</v>
      </c>
      <c r="B47" s="28" t="s">
        <v>128</v>
      </c>
      <c r="C47" s="27">
        <v>1</v>
      </c>
      <c r="D47" s="27" t="s">
        <v>122</v>
      </c>
      <c r="E47" s="11">
        <v>4000</v>
      </c>
      <c r="F47" s="14" t="s">
        <v>129</v>
      </c>
      <c r="G47" s="15" t="s">
        <v>130</v>
      </c>
      <c r="H47" s="16" t="str">
        <f>_xlfn.DISPIMG("ID_274082F411CD4FB7AEF076DF2D635E34",1)</f>
        <v>=DISPIMG("ID_274082F411CD4FB7AEF076DF2D635E34",1)</v>
      </c>
    </row>
    <row r="48" ht="231" spans="1:8">
      <c r="A48" s="11">
        <v>43</v>
      </c>
      <c r="B48" s="27" t="s">
        <v>131</v>
      </c>
      <c r="C48" s="13">
        <v>110</v>
      </c>
      <c r="D48" s="13" t="s">
        <v>11</v>
      </c>
      <c r="E48" s="11">
        <v>55000</v>
      </c>
      <c r="F48" s="22" t="s">
        <v>132</v>
      </c>
      <c r="G48" s="15" t="s">
        <v>133</v>
      </c>
      <c r="H48" s="16" t="str">
        <f>_xlfn.DISPIMG("ID_A2B7CBC9ADBB4E7E9BBBEFDE893E3104",1)</f>
        <v>=DISPIMG("ID_A2B7CBC9ADBB4E7E9BBBEFDE893E3104",1)</v>
      </c>
    </row>
    <row r="49" ht="49.5" spans="1:8">
      <c r="A49" s="11">
        <v>44</v>
      </c>
      <c r="B49" s="27" t="s">
        <v>134</v>
      </c>
      <c r="C49" s="13">
        <v>110</v>
      </c>
      <c r="D49" s="13" t="s">
        <v>11</v>
      </c>
      <c r="E49" s="11">
        <v>77000</v>
      </c>
      <c r="F49" s="22" t="s">
        <v>135</v>
      </c>
      <c r="G49" s="15" t="s">
        <v>136</v>
      </c>
      <c r="H49" s="16" t="str">
        <f>_xlfn.DISPIMG("ID_A523E1B4A6454917842C632BF512131A",1)</f>
        <v>=DISPIMG("ID_A523E1B4A6454917842C632BF512131A",1)</v>
      </c>
    </row>
    <row r="50" ht="115.5" spans="1:8">
      <c r="A50" s="11">
        <v>45</v>
      </c>
      <c r="B50" s="27" t="s">
        <v>137</v>
      </c>
      <c r="C50" s="13">
        <v>320</v>
      </c>
      <c r="D50" s="13" t="s">
        <v>11</v>
      </c>
      <c r="E50" s="11">
        <v>121600</v>
      </c>
      <c r="F50" s="14" t="s">
        <v>138</v>
      </c>
      <c r="G50" s="15" t="s">
        <v>139</v>
      </c>
      <c r="H50" s="16" t="str">
        <f>_xlfn.DISPIMG("ID_297591E2C3474C65A07D08DD77D94EED",1)</f>
        <v>=DISPIMG("ID_297591E2C3474C65A07D08DD77D94EED",1)</v>
      </c>
    </row>
    <row r="51" ht="82.5" spans="1:8">
      <c r="A51" s="11">
        <v>46</v>
      </c>
      <c r="B51" s="27" t="s">
        <v>140</v>
      </c>
      <c r="C51" s="13">
        <v>20</v>
      </c>
      <c r="D51" s="13" t="s">
        <v>15</v>
      </c>
      <c r="E51" s="11">
        <v>12000</v>
      </c>
      <c r="F51" s="22" t="s">
        <v>141</v>
      </c>
      <c r="G51" s="15" t="s">
        <v>142</v>
      </c>
      <c r="H51" s="16" t="str">
        <f>_xlfn.DISPIMG("ID_BD1901A123C34091BC770E4ABB6A6B04",1)</f>
        <v>=DISPIMG("ID_BD1901A123C34091BC770E4ABB6A6B04",1)</v>
      </c>
    </row>
    <row r="52" ht="148.5" spans="1:8">
      <c r="A52" s="11">
        <v>47</v>
      </c>
      <c r="B52" s="27" t="s">
        <v>143</v>
      </c>
      <c r="C52" s="27">
        <v>20</v>
      </c>
      <c r="D52" s="27" t="s">
        <v>15</v>
      </c>
      <c r="E52" s="11">
        <v>140000</v>
      </c>
      <c r="F52" s="14" t="s">
        <v>144</v>
      </c>
      <c r="G52" s="15" t="s">
        <v>145</v>
      </c>
      <c r="H52" s="16" t="str">
        <f>_xlfn.DISPIMG("ID_E9A5F84425604AA387D118BE443B3D48",1)</f>
        <v>=DISPIMG("ID_E9A5F84425604AA387D118BE443B3D48",1)</v>
      </c>
    </row>
    <row r="53" ht="66" spans="1:8">
      <c r="A53" s="11">
        <v>48</v>
      </c>
      <c r="B53" s="27" t="s">
        <v>146</v>
      </c>
      <c r="C53" s="13">
        <v>20</v>
      </c>
      <c r="D53" s="13" t="s">
        <v>122</v>
      </c>
      <c r="E53" s="11">
        <v>60000</v>
      </c>
      <c r="F53" s="22" t="s">
        <v>147</v>
      </c>
      <c r="G53" s="15" t="s">
        <v>148</v>
      </c>
      <c r="H53" s="16" t="str">
        <f>_xlfn.DISPIMG("ID_D767AD52BA594C25A96C25154AF79596",1)</f>
        <v>=DISPIMG("ID_D767AD52BA594C25A96C25154AF79596",1)</v>
      </c>
    </row>
    <row r="54" ht="132" spans="1:8">
      <c r="A54" s="11">
        <v>49</v>
      </c>
      <c r="B54" s="27" t="s">
        <v>149</v>
      </c>
      <c r="C54" s="13">
        <v>20</v>
      </c>
      <c r="D54" s="13" t="s">
        <v>11</v>
      </c>
      <c r="E54" s="11">
        <v>80000</v>
      </c>
      <c r="F54" s="14" t="s">
        <v>150</v>
      </c>
      <c r="G54" s="15" t="s">
        <v>151</v>
      </c>
      <c r="H54" s="16" t="str">
        <f>_xlfn.DISPIMG("ID_735F8F179E1B4FF39BBF3AC366B67286",1)</f>
        <v>=DISPIMG("ID_735F8F179E1B4FF39BBF3AC366B67286",1)</v>
      </c>
    </row>
    <row r="55" ht="99" spans="1:8">
      <c r="A55" s="11">
        <v>50</v>
      </c>
      <c r="B55" s="27" t="s">
        <v>152</v>
      </c>
      <c r="C55" s="13">
        <v>20</v>
      </c>
      <c r="D55" s="13" t="s">
        <v>11</v>
      </c>
      <c r="E55" s="11">
        <v>170000</v>
      </c>
      <c r="F55" s="14" t="s">
        <v>153</v>
      </c>
      <c r="G55" s="15" t="s">
        <v>154</v>
      </c>
      <c r="H55" s="16" t="str">
        <f>_xlfn.DISPIMG("ID_9C0000AFEBEC4F0CA0844B4C926C4002",1)</f>
        <v>=DISPIMG("ID_9C0000AFEBEC4F0CA0844B4C926C4002",1)</v>
      </c>
    </row>
    <row r="56" ht="148.5" spans="1:8">
      <c r="A56" s="11">
        <v>51</v>
      </c>
      <c r="B56" s="27" t="s">
        <v>155</v>
      </c>
      <c r="C56" s="13">
        <v>1</v>
      </c>
      <c r="D56" s="13" t="s">
        <v>122</v>
      </c>
      <c r="E56" s="11">
        <v>18000</v>
      </c>
      <c r="F56" s="22" t="s">
        <v>156</v>
      </c>
      <c r="G56" s="15" t="s">
        <v>157</v>
      </c>
      <c r="H56" s="16" t="str">
        <f>_xlfn.DISPIMG("ID_4153E73182DD4B80934F7848E41BA686",1)</f>
        <v>=DISPIMG("ID_4153E73182DD4B80934F7848E41BA686",1)</v>
      </c>
    </row>
    <row r="57" ht="66" spans="1:8">
      <c r="A57" s="11">
        <v>52</v>
      </c>
      <c r="B57" s="27" t="s">
        <v>158</v>
      </c>
      <c r="C57" s="13">
        <v>1</v>
      </c>
      <c r="D57" s="13" t="s">
        <v>122</v>
      </c>
      <c r="E57" s="11">
        <v>18000</v>
      </c>
      <c r="F57" s="22" t="s">
        <v>159</v>
      </c>
      <c r="G57" s="15" t="s">
        <v>160</v>
      </c>
      <c r="H57" s="16" t="str">
        <f>_xlfn.DISPIMG("ID_03533E43F49D4E6EA6E5B9C239A8780C",1)</f>
        <v>=DISPIMG("ID_03533E43F49D4E6EA6E5B9C239A8780C",1)</v>
      </c>
    </row>
    <row r="58" ht="66" spans="1:8">
      <c r="A58" s="11">
        <v>53</v>
      </c>
      <c r="B58" s="27" t="s">
        <v>161</v>
      </c>
      <c r="C58" s="13">
        <v>1</v>
      </c>
      <c r="D58" s="13" t="s">
        <v>122</v>
      </c>
      <c r="E58" s="11">
        <v>18000</v>
      </c>
      <c r="F58" s="22" t="s">
        <v>162</v>
      </c>
      <c r="G58" s="15" t="s">
        <v>163</v>
      </c>
      <c r="H58" s="16" t="str">
        <f>_xlfn.DISPIMG("ID_ADDB2D4668CD42BCB4323FD6A4639D52",1)</f>
        <v>=DISPIMG("ID_ADDB2D4668CD42BCB4323FD6A4639D52",1)</v>
      </c>
    </row>
    <row r="59" ht="66" spans="1:8">
      <c r="A59" s="11">
        <v>54</v>
      </c>
      <c r="B59" s="27" t="s">
        <v>164</v>
      </c>
      <c r="C59" s="13">
        <v>1</v>
      </c>
      <c r="D59" s="13" t="s">
        <v>122</v>
      </c>
      <c r="E59" s="11">
        <v>16000</v>
      </c>
      <c r="F59" s="22" t="s">
        <v>165</v>
      </c>
      <c r="G59" s="15" t="s">
        <v>166</v>
      </c>
      <c r="H59" s="16" t="str">
        <f>_xlfn.DISPIMG("ID_68F1C6C76E0A46C596FB54819CBD24C7",1)</f>
        <v>=DISPIMG("ID_68F1C6C76E0A46C596FB54819CBD24C7",1)</v>
      </c>
    </row>
    <row r="60" ht="82.5" spans="1:8">
      <c r="A60" s="11">
        <v>55</v>
      </c>
      <c r="B60" s="27" t="s">
        <v>167</v>
      </c>
      <c r="C60" s="13">
        <v>4</v>
      </c>
      <c r="D60" s="13" t="s">
        <v>122</v>
      </c>
      <c r="E60" s="11">
        <v>36000</v>
      </c>
      <c r="F60" s="22" t="s">
        <v>168</v>
      </c>
      <c r="G60" s="15" t="s">
        <v>169</v>
      </c>
      <c r="H60" s="16" t="str">
        <f>_xlfn.DISPIMG("ID_11580C74ECDF4103B94947485A077464",1)</f>
        <v>=DISPIMG("ID_11580C74ECDF4103B94947485A077464",1)</v>
      </c>
    </row>
    <row r="61" ht="82.5" spans="1:8">
      <c r="A61" s="11">
        <v>56</v>
      </c>
      <c r="B61" s="27" t="s">
        <v>170</v>
      </c>
      <c r="C61" s="27">
        <v>3</v>
      </c>
      <c r="D61" s="27" t="s">
        <v>122</v>
      </c>
      <c r="E61" s="11">
        <v>11400</v>
      </c>
      <c r="F61" s="14" t="s">
        <v>171</v>
      </c>
      <c r="G61" s="15" t="s">
        <v>172</v>
      </c>
      <c r="H61" s="16" t="str">
        <f>_xlfn.DISPIMG("ID_91C379E111004DDB8145F98FEC71E9E7",1)</f>
        <v>=DISPIMG("ID_91C379E111004DDB8145F98FEC71E9E7",1)</v>
      </c>
    </row>
    <row r="62" ht="66" spans="1:8">
      <c r="A62" s="11">
        <v>57</v>
      </c>
      <c r="B62" s="27" t="s">
        <v>173</v>
      </c>
      <c r="C62" s="13">
        <v>1</v>
      </c>
      <c r="D62" s="13" t="s">
        <v>122</v>
      </c>
      <c r="E62" s="11">
        <v>3500</v>
      </c>
      <c r="F62" s="22" t="s">
        <v>174</v>
      </c>
      <c r="G62" s="15" t="s">
        <v>175</v>
      </c>
      <c r="H62" s="16" t="str">
        <f>_xlfn.DISPIMG("ID_795C9E9831424EC68198581B8E70E0AD",1)</f>
        <v>=DISPIMG("ID_795C9E9831424EC68198581B8E70E0AD",1)</v>
      </c>
    </row>
    <row r="63" ht="66" spans="1:8">
      <c r="A63" s="11">
        <v>58</v>
      </c>
      <c r="B63" s="27" t="s">
        <v>176</v>
      </c>
      <c r="C63" s="13">
        <v>1</v>
      </c>
      <c r="D63" s="13" t="s">
        <v>122</v>
      </c>
      <c r="E63" s="11">
        <v>3000</v>
      </c>
      <c r="F63" s="22" t="s">
        <v>177</v>
      </c>
      <c r="G63" s="15" t="s">
        <v>178</v>
      </c>
      <c r="H63" s="16" t="str">
        <f>_xlfn.DISPIMG("ID_1C2BE1E8D4CB4B89BA2E8B090B8061F1",1)</f>
        <v>=DISPIMG("ID_1C2BE1E8D4CB4B89BA2E8B090B8061F1",1)</v>
      </c>
    </row>
    <row r="64" ht="148.5" spans="1:8">
      <c r="A64" s="11">
        <v>59</v>
      </c>
      <c r="B64" s="27" t="s">
        <v>179</v>
      </c>
      <c r="C64" s="13">
        <v>1</v>
      </c>
      <c r="D64" s="13" t="s">
        <v>122</v>
      </c>
      <c r="E64" s="11">
        <v>75000</v>
      </c>
      <c r="F64" s="14" t="s">
        <v>180</v>
      </c>
      <c r="G64" s="15" t="s">
        <v>181</v>
      </c>
      <c r="H64" s="16" t="str">
        <f>_xlfn.DISPIMG("ID_A56249E172384C3C9A826EA675322044",1)</f>
        <v>=DISPIMG("ID_A56249E172384C3C9A826EA675322044",1)</v>
      </c>
    </row>
    <row r="65" ht="82.5" spans="1:8">
      <c r="A65" s="11">
        <v>60</v>
      </c>
      <c r="B65" s="27" t="s">
        <v>182</v>
      </c>
      <c r="C65" s="27">
        <v>2</v>
      </c>
      <c r="D65" s="27" t="s">
        <v>122</v>
      </c>
      <c r="E65" s="11">
        <v>12000</v>
      </c>
      <c r="F65" s="14" t="s">
        <v>183</v>
      </c>
      <c r="G65" s="15" t="s">
        <v>184</v>
      </c>
      <c r="H65" s="16" t="str">
        <f>_xlfn.DISPIMG("ID_EC164A6B1EE9440C8010F7029B16FF73",1)</f>
        <v>=DISPIMG("ID_EC164A6B1EE9440C8010F7029B16FF73",1)</v>
      </c>
    </row>
    <row r="66" ht="82.5" spans="1:8">
      <c r="A66" s="11">
        <v>61</v>
      </c>
      <c r="B66" s="27" t="s">
        <v>185</v>
      </c>
      <c r="C66" s="13">
        <v>1</v>
      </c>
      <c r="D66" s="13" t="s">
        <v>122</v>
      </c>
      <c r="E66" s="11">
        <v>7000</v>
      </c>
      <c r="F66" s="14" t="s">
        <v>186</v>
      </c>
      <c r="G66" s="15" t="s">
        <v>187</v>
      </c>
      <c r="H66" s="16" t="str">
        <f>_xlfn.DISPIMG("ID_D26C5CE622B5464395D6572B0A317B48",1)</f>
        <v>=DISPIMG("ID_D26C5CE622B5464395D6572B0A317B48",1)</v>
      </c>
    </row>
    <row r="67" ht="66" spans="1:8">
      <c r="A67" s="11">
        <v>62</v>
      </c>
      <c r="B67" s="27" t="s">
        <v>188</v>
      </c>
      <c r="C67" s="13">
        <v>96</v>
      </c>
      <c r="D67" s="13" t="s">
        <v>15</v>
      </c>
      <c r="E67" s="11">
        <v>28800</v>
      </c>
      <c r="F67" s="14" t="s">
        <v>189</v>
      </c>
      <c r="G67" s="15" t="s">
        <v>190</v>
      </c>
      <c r="H67" s="16" t="str">
        <f>_xlfn.DISPIMG("ID_0239C0A50325410ABEDBBECF57F70739",1)</f>
        <v>=DISPIMG("ID_0239C0A50325410ABEDBBECF57F70739",1)</v>
      </c>
    </row>
    <row r="68" ht="66" spans="1:8">
      <c r="A68" s="11">
        <v>63</v>
      </c>
      <c r="B68" s="27" t="s">
        <v>191</v>
      </c>
      <c r="C68" s="27">
        <v>30</v>
      </c>
      <c r="D68" s="27" t="s">
        <v>15</v>
      </c>
      <c r="E68" s="11">
        <v>90000</v>
      </c>
      <c r="F68" s="14" t="s">
        <v>192</v>
      </c>
      <c r="G68" s="15" t="s">
        <v>193</v>
      </c>
      <c r="H68" s="16" t="str">
        <f>_xlfn.DISPIMG("ID_68B1ECE1C40D47EBA649DE041EC1C7FE",1)</f>
        <v>=DISPIMG("ID_68B1ECE1C40D47EBA649DE041EC1C7FE",1)</v>
      </c>
    </row>
    <row r="69" ht="110" spans="1:8">
      <c r="A69" s="11">
        <v>64</v>
      </c>
      <c r="B69" s="27" t="s">
        <v>194</v>
      </c>
      <c r="C69" s="13">
        <v>40</v>
      </c>
      <c r="D69" s="13" t="s">
        <v>15</v>
      </c>
      <c r="E69" s="11">
        <v>44000</v>
      </c>
      <c r="F69" s="14" t="s">
        <v>195</v>
      </c>
      <c r="G69" s="15" t="s">
        <v>196</v>
      </c>
      <c r="H69" s="29" t="str">
        <f>_xlfn.DISPIMG("ID_6EEB7590EECD43808DC9B21F8C45BCEB",1)</f>
        <v>=DISPIMG("ID_6EEB7590EECD43808DC9B21F8C45BCEB",1)</v>
      </c>
    </row>
    <row r="70" ht="165" spans="1:8">
      <c r="A70" s="11">
        <v>65</v>
      </c>
      <c r="B70" s="27" t="s">
        <v>197</v>
      </c>
      <c r="C70" s="27">
        <v>1</v>
      </c>
      <c r="D70" s="27" t="s">
        <v>122</v>
      </c>
      <c r="E70" s="11">
        <v>14000</v>
      </c>
      <c r="F70" s="14" t="s">
        <v>198</v>
      </c>
      <c r="G70" s="15" t="s">
        <v>199</v>
      </c>
      <c r="H70" s="16" t="str">
        <f>_xlfn.DISPIMG("ID_5E4BE57EBD2345159C43B538D4FC8378",1)</f>
        <v>=DISPIMG("ID_5E4BE57EBD2345159C43B538D4FC8378",1)</v>
      </c>
    </row>
    <row r="71" ht="181.5" spans="1:8">
      <c r="A71" s="11">
        <v>66</v>
      </c>
      <c r="B71" s="27" t="s">
        <v>200</v>
      </c>
      <c r="C71" s="27">
        <v>1</v>
      </c>
      <c r="D71" s="27" t="s">
        <v>122</v>
      </c>
      <c r="E71" s="11">
        <v>10000</v>
      </c>
      <c r="F71" s="14" t="s">
        <v>201</v>
      </c>
      <c r="G71" s="15" t="s">
        <v>202</v>
      </c>
      <c r="H71" s="16" t="str">
        <f>_xlfn.DISPIMG("ID_65E6BD693CA643E0B35D507AFB753C17",1)</f>
        <v>=DISPIMG("ID_65E6BD693CA643E0B35D507AFB753C17",1)</v>
      </c>
    </row>
    <row r="72" ht="82.5" spans="1:8">
      <c r="A72" s="11">
        <v>67</v>
      </c>
      <c r="B72" s="27" t="s">
        <v>203</v>
      </c>
      <c r="C72" s="13">
        <v>1</v>
      </c>
      <c r="D72" s="13" t="s">
        <v>122</v>
      </c>
      <c r="E72" s="11">
        <v>8000</v>
      </c>
      <c r="F72" s="22" t="s">
        <v>204</v>
      </c>
      <c r="G72" s="15" t="s">
        <v>205</v>
      </c>
      <c r="H72" s="16" t="str">
        <f>_xlfn.DISPIMG("ID_B153D40167C1458FA6F70C4F21885CCA",1)</f>
        <v>=DISPIMG("ID_B153D40167C1458FA6F70C4F21885CCA",1)</v>
      </c>
    </row>
    <row r="73" ht="82.5" spans="1:8">
      <c r="A73" s="11">
        <v>68</v>
      </c>
      <c r="B73" s="27" t="s">
        <v>206</v>
      </c>
      <c r="C73" s="13">
        <v>1</v>
      </c>
      <c r="D73" s="13" t="s">
        <v>122</v>
      </c>
      <c r="E73" s="11">
        <v>8500</v>
      </c>
      <c r="F73" s="22" t="s">
        <v>207</v>
      </c>
      <c r="G73" s="15" t="s">
        <v>208</v>
      </c>
      <c r="H73" s="16" t="str">
        <f>_xlfn.DISPIMG("ID_017ACCDAB3234962936EBC26BB0FD8F1",1)</f>
        <v>=DISPIMG("ID_017ACCDAB3234962936EBC26BB0FD8F1",1)</v>
      </c>
    </row>
    <row r="74" ht="115.5" spans="1:8">
      <c r="A74" s="11">
        <v>69</v>
      </c>
      <c r="B74" s="27" t="s">
        <v>209</v>
      </c>
      <c r="C74" s="27">
        <v>1</v>
      </c>
      <c r="D74" s="27" t="s">
        <v>122</v>
      </c>
      <c r="E74" s="11">
        <v>4000</v>
      </c>
      <c r="F74" s="14" t="s">
        <v>210</v>
      </c>
      <c r="G74" s="15" t="s">
        <v>211</v>
      </c>
      <c r="H74" s="16" t="str">
        <f>_xlfn.DISPIMG("ID_A17DD237CB08489899DB710E4573F28A",1)</f>
        <v>=DISPIMG("ID_A17DD237CB08489899DB710E4573F28A",1)</v>
      </c>
    </row>
    <row r="75" ht="99" spans="1:8">
      <c r="A75" s="11">
        <v>70</v>
      </c>
      <c r="B75" s="27" t="s">
        <v>212</v>
      </c>
      <c r="C75" s="27">
        <v>3</v>
      </c>
      <c r="D75" s="27" t="s">
        <v>15</v>
      </c>
      <c r="E75" s="11">
        <v>48000</v>
      </c>
      <c r="F75" s="14" t="s">
        <v>213</v>
      </c>
      <c r="G75" s="15" t="s">
        <v>214</v>
      </c>
      <c r="H75" s="16" t="str">
        <f>_xlfn.DISPIMG("ID_BBA9671ED95F42D3BAF5716209C1B914",1)</f>
        <v>=DISPIMG("ID_BBA9671ED95F42D3BAF5716209C1B914",1)</v>
      </c>
    </row>
    <row r="76" ht="66" spans="1:8">
      <c r="A76" s="11">
        <v>71</v>
      </c>
      <c r="B76" s="27" t="s">
        <v>215</v>
      </c>
      <c r="C76" s="13">
        <v>1</v>
      </c>
      <c r="D76" s="13" t="s">
        <v>122</v>
      </c>
      <c r="E76" s="11">
        <v>5500</v>
      </c>
      <c r="F76" s="22" t="s">
        <v>216</v>
      </c>
      <c r="G76" s="15" t="s">
        <v>217</v>
      </c>
      <c r="H76" s="16" t="str">
        <f>_xlfn.DISPIMG("ID_A400DA68A90749208E107D8FE2FCC2E2",1)</f>
        <v>=DISPIMG("ID_A400DA68A90749208E107D8FE2FCC2E2",1)</v>
      </c>
    </row>
    <row r="77" ht="115.5" spans="1:8">
      <c r="A77" s="11">
        <v>72</v>
      </c>
      <c r="B77" s="27" t="s">
        <v>218</v>
      </c>
      <c r="C77" s="13">
        <v>1</v>
      </c>
      <c r="D77" s="13" t="s">
        <v>122</v>
      </c>
      <c r="E77" s="11">
        <v>4000</v>
      </c>
      <c r="F77" s="14" t="s">
        <v>210</v>
      </c>
      <c r="G77" s="15" t="s">
        <v>219</v>
      </c>
      <c r="H77" s="16" t="str">
        <f>_xlfn.DISPIMG("ID_3AB377C06D2343F28C315E38B5CF5545",1)</f>
        <v>=DISPIMG("ID_3AB377C06D2343F28C315E38B5CF5545",1)</v>
      </c>
    </row>
    <row r="78" ht="132" spans="1:8">
      <c r="A78" s="11">
        <v>73</v>
      </c>
      <c r="B78" s="27" t="s">
        <v>220</v>
      </c>
      <c r="C78" s="27">
        <v>8</v>
      </c>
      <c r="D78" s="27" t="s">
        <v>221</v>
      </c>
      <c r="E78" s="11">
        <v>42400</v>
      </c>
      <c r="F78" s="14" t="s">
        <v>222</v>
      </c>
      <c r="G78" s="15" t="s">
        <v>223</v>
      </c>
      <c r="H78" s="16" t="str">
        <f>_xlfn.DISPIMG("ID_49B453539CE44113A8827A0B1C714525",1)</f>
        <v>=DISPIMG("ID_49B453539CE44113A8827A0B1C714525",1)</v>
      </c>
    </row>
    <row r="79" ht="132" spans="1:8">
      <c r="A79" s="11">
        <v>74</v>
      </c>
      <c r="B79" s="27" t="s">
        <v>224</v>
      </c>
      <c r="C79" s="27">
        <v>1</v>
      </c>
      <c r="D79" s="27" t="s">
        <v>15</v>
      </c>
      <c r="E79" s="11">
        <v>10000</v>
      </c>
      <c r="F79" s="14" t="s">
        <v>225</v>
      </c>
      <c r="G79" s="15" t="s">
        <v>226</v>
      </c>
      <c r="H79" s="16" t="str">
        <f>_xlfn.DISPIMG("ID_7786B06F2A164105B04BD6B4142191F9",1)</f>
        <v>=DISPIMG("ID_7786B06F2A164105B04BD6B4142191F9",1)</v>
      </c>
    </row>
    <row r="80" ht="66" spans="1:8">
      <c r="A80" s="11">
        <v>75</v>
      </c>
      <c r="B80" s="27" t="s">
        <v>227</v>
      </c>
      <c r="C80" s="13">
        <v>1</v>
      </c>
      <c r="D80" s="13" t="s">
        <v>122</v>
      </c>
      <c r="E80" s="11">
        <v>4000</v>
      </c>
      <c r="F80" s="14" t="s">
        <v>228</v>
      </c>
      <c r="G80" s="15" t="s">
        <v>229</v>
      </c>
      <c r="H80" s="16" t="str">
        <f>_xlfn.DISPIMG("ID_15CDB10FE2AF41FFAFD9FA7EF8A40E8C",1)</f>
        <v>=DISPIMG("ID_15CDB10FE2AF41FFAFD9FA7EF8A40E8C",1)</v>
      </c>
    </row>
    <row r="81" ht="132" spans="1:8">
      <c r="A81" s="11">
        <v>76</v>
      </c>
      <c r="B81" s="27" t="s">
        <v>230</v>
      </c>
      <c r="C81" s="13">
        <v>1</v>
      </c>
      <c r="D81" s="13" t="s">
        <v>122</v>
      </c>
      <c r="E81" s="11">
        <v>15000</v>
      </c>
      <c r="F81" s="22" t="s">
        <v>231</v>
      </c>
      <c r="G81" s="15" t="s">
        <v>232</v>
      </c>
      <c r="H81" s="16" t="str">
        <f>_xlfn.DISPIMG("ID_51BD26EEA07A4D13A7ADC1F075E08B62",1)</f>
        <v>=DISPIMG("ID_51BD26EEA07A4D13A7ADC1F075E08B62",1)</v>
      </c>
    </row>
    <row r="82" ht="115.5" spans="1:8">
      <c r="A82" s="11">
        <v>77</v>
      </c>
      <c r="B82" s="27" t="s">
        <v>233</v>
      </c>
      <c r="C82" s="27">
        <v>1</v>
      </c>
      <c r="D82" s="27" t="s">
        <v>122</v>
      </c>
      <c r="E82" s="11">
        <v>10000</v>
      </c>
      <c r="F82" s="22" t="s">
        <v>234</v>
      </c>
      <c r="G82" s="15" t="s">
        <v>235</v>
      </c>
      <c r="H82" s="16" t="str">
        <f>_xlfn.DISPIMG("ID_A00CC9A14832455D8FEA21A613899731",1)</f>
        <v>=DISPIMG("ID_A00CC9A14832455D8FEA21A613899731",1)</v>
      </c>
    </row>
    <row r="83" ht="66" spans="1:8">
      <c r="A83" s="11">
        <v>78</v>
      </c>
      <c r="B83" s="27" t="s">
        <v>236</v>
      </c>
      <c r="C83" s="13">
        <v>1</v>
      </c>
      <c r="D83" s="13" t="s">
        <v>122</v>
      </c>
      <c r="E83" s="11">
        <v>10000</v>
      </c>
      <c r="F83" s="14" t="s">
        <v>237</v>
      </c>
      <c r="G83" s="15" t="s">
        <v>238</v>
      </c>
      <c r="H83" s="16" t="str">
        <f>_xlfn.DISPIMG("ID_933D654248E1499F9150D3CFA5D79412",1)</f>
        <v>=DISPIMG("ID_933D654248E1499F9150D3CFA5D79412",1)</v>
      </c>
    </row>
    <row r="84" ht="115.5" spans="1:8">
      <c r="A84" s="11">
        <v>79</v>
      </c>
      <c r="B84" s="27" t="s">
        <v>239</v>
      </c>
      <c r="C84" s="13">
        <v>1</v>
      </c>
      <c r="D84" s="13" t="s">
        <v>122</v>
      </c>
      <c r="E84" s="11">
        <v>25000</v>
      </c>
      <c r="F84" s="14" t="s">
        <v>240</v>
      </c>
      <c r="G84" s="15" t="s">
        <v>241</v>
      </c>
      <c r="H84" s="16" t="str">
        <f>_xlfn.DISPIMG("ID_928E0967BB0148428799176780681577",1)</f>
        <v>=DISPIMG("ID_928E0967BB0148428799176780681577",1)</v>
      </c>
    </row>
    <row r="85" ht="99" spans="1:8">
      <c r="A85" s="11">
        <v>80</v>
      </c>
      <c r="B85" s="27" t="s">
        <v>242</v>
      </c>
      <c r="C85" s="13">
        <v>1</v>
      </c>
      <c r="D85" s="13" t="s">
        <v>122</v>
      </c>
      <c r="E85" s="11">
        <v>6500</v>
      </c>
      <c r="F85" s="22" t="s">
        <v>243</v>
      </c>
      <c r="G85" s="15" t="s">
        <v>244</v>
      </c>
      <c r="H85" s="16" t="str">
        <f>_xlfn.DISPIMG("ID_67C24445487D4C0FBDE8BB00E483FCC2",1)</f>
        <v>=DISPIMG("ID_67C24445487D4C0FBDE8BB00E483FCC2",1)</v>
      </c>
    </row>
    <row r="86" ht="98" spans="1:8">
      <c r="A86" s="11">
        <v>81</v>
      </c>
      <c r="B86" s="27" t="s">
        <v>245</v>
      </c>
      <c r="C86" s="13">
        <v>1</v>
      </c>
      <c r="D86" s="13" t="s">
        <v>122</v>
      </c>
      <c r="E86" s="11">
        <v>8000</v>
      </c>
      <c r="F86" s="22" t="s">
        <v>246</v>
      </c>
      <c r="G86" s="15" t="s">
        <v>247</v>
      </c>
      <c r="H86" s="16" t="str">
        <f>_xlfn.DISPIMG("ID_D868697C872D4A079E1CF183FA49B149",1)</f>
        <v>=DISPIMG("ID_D868697C872D4A079E1CF183FA49B149",1)</v>
      </c>
    </row>
    <row r="87" ht="66" spans="1:8">
      <c r="A87" s="11">
        <v>82</v>
      </c>
      <c r="B87" s="27" t="s">
        <v>248</v>
      </c>
      <c r="C87" s="13">
        <v>1</v>
      </c>
      <c r="D87" s="13" t="s">
        <v>122</v>
      </c>
      <c r="E87" s="11">
        <v>3500</v>
      </c>
      <c r="F87" s="22" t="s">
        <v>249</v>
      </c>
      <c r="G87" s="15" t="s">
        <v>250</v>
      </c>
      <c r="H87" s="16" t="str">
        <f>_xlfn.DISPIMG("ID_44AB2A31E65A4682A339D718CF53199B",1)</f>
        <v>=DISPIMG("ID_44AB2A31E65A4682A339D718CF53199B",1)</v>
      </c>
    </row>
    <row r="88" s="1" customFormat="1" ht="247.5" spans="1:8">
      <c r="A88" s="11">
        <v>83</v>
      </c>
      <c r="B88" s="27" t="s">
        <v>251</v>
      </c>
      <c r="C88" s="13">
        <v>1</v>
      </c>
      <c r="D88" s="13" t="s">
        <v>11</v>
      </c>
      <c r="E88" s="11">
        <v>40000</v>
      </c>
      <c r="F88" s="14" t="s">
        <v>252</v>
      </c>
      <c r="G88" s="15" t="s">
        <v>253</v>
      </c>
      <c r="H88" s="16" t="str">
        <f>_xlfn.DISPIMG("ID_53844B1501DC448BBC4BA40A783B07D5",1)</f>
        <v>=DISPIMG("ID_53844B1501DC448BBC4BA40A783B07D5",1)</v>
      </c>
    </row>
    <row r="89" ht="82.5" spans="1:8">
      <c r="A89" s="11">
        <v>84</v>
      </c>
      <c r="B89" s="27" t="s">
        <v>254</v>
      </c>
      <c r="C89" s="27">
        <v>1</v>
      </c>
      <c r="D89" s="27" t="s">
        <v>122</v>
      </c>
      <c r="E89" s="11">
        <v>26000</v>
      </c>
      <c r="F89" s="14" t="s">
        <v>255</v>
      </c>
      <c r="G89" s="15" t="s">
        <v>256</v>
      </c>
      <c r="H89" s="16" t="str">
        <f>_xlfn.DISPIMG("ID_23DB9234AE8445979581DA31855C5641",1)</f>
        <v>=DISPIMG("ID_23DB9234AE8445979581DA31855C5641",1)</v>
      </c>
    </row>
    <row r="90" ht="49.5" spans="1:8">
      <c r="A90" s="11">
        <v>85</v>
      </c>
      <c r="B90" s="27" t="s">
        <v>257</v>
      </c>
      <c r="C90" s="13">
        <v>120</v>
      </c>
      <c r="D90" s="13" t="s">
        <v>25</v>
      </c>
      <c r="E90" s="11">
        <v>18000</v>
      </c>
      <c r="F90" s="22" t="s">
        <v>258</v>
      </c>
      <c r="G90" s="15" t="s">
        <v>259</v>
      </c>
      <c r="H90" s="16" t="str">
        <f>_xlfn.DISPIMG("ID_14E3203BCCCA4677A64384578A15F7E8",1)</f>
        <v>=DISPIMG("ID_14E3203BCCCA4677A64384578A15F7E8",1)</v>
      </c>
    </row>
    <row r="91" ht="82.5" spans="1:8">
      <c r="A91" s="11">
        <v>86</v>
      </c>
      <c r="B91" s="27" t="s">
        <v>260</v>
      </c>
      <c r="C91" s="13">
        <v>55</v>
      </c>
      <c r="D91" s="13" t="s">
        <v>122</v>
      </c>
      <c r="E91" s="11">
        <v>192500</v>
      </c>
      <c r="F91" s="22" t="s">
        <v>261</v>
      </c>
      <c r="G91" s="15" t="s">
        <v>262</v>
      </c>
      <c r="H91" s="16" t="str">
        <f>_xlfn.DISPIMG("ID_D0B9366D9ECF4A73BC562A2AED47171F",1)</f>
        <v>=DISPIMG("ID_D0B9366D9ECF4A73BC562A2AED47171F",1)</v>
      </c>
    </row>
    <row r="92" ht="82.5" spans="1:8">
      <c r="A92" s="11">
        <v>87</v>
      </c>
      <c r="B92" s="27" t="s">
        <v>263</v>
      </c>
      <c r="C92" s="27">
        <v>14</v>
      </c>
      <c r="D92" s="27" t="s">
        <v>15</v>
      </c>
      <c r="E92" s="11">
        <v>11200</v>
      </c>
      <c r="F92" s="14" t="s">
        <v>264</v>
      </c>
      <c r="G92" s="15" t="s">
        <v>265</v>
      </c>
      <c r="H92" s="16" t="str">
        <f>_xlfn.DISPIMG("ID_2A7F51CF85CD4C0186BB178C8AAE2F46",1)</f>
        <v>=DISPIMG("ID_2A7F51CF85CD4C0186BB178C8AAE2F46",1)</v>
      </c>
    </row>
    <row r="93" ht="115.5" spans="1:8">
      <c r="A93" s="11">
        <v>88</v>
      </c>
      <c r="B93" s="27" t="s">
        <v>266</v>
      </c>
      <c r="C93" s="27">
        <v>14</v>
      </c>
      <c r="D93" s="27" t="s">
        <v>11</v>
      </c>
      <c r="E93" s="11">
        <v>49000</v>
      </c>
      <c r="F93" s="22" t="s">
        <v>267</v>
      </c>
      <c r="G93" s="15" t="s">
        <v>268</v>
      </c>
      <c r="H93" s="16" t="str">
        <f>_xlfn.DISPIMG("ID_917EE03C51BA44C9BA44A88792F376C1",1)</f>
        <v>=DISPIMG("ID_917EE03C51BA44C9BA44A88792F376C1",1)</v>
      </c>
    </row>
    <row r="94" ht="115.5" spans="1:8">
      <c r="A94" s="11">
        <v>89</v>
      </c>
      <c r="B94" s="30" t="s">
        <v>269</v>
      </c>
      <c r="C94" s="11">
        <v>1</v>
      </c>
      <c r="D94" s="11" t="s">
        <v>122</v>
      </c>
      <c r="E94" s="11">
        <v>8000</v>
      </c>
      <c r="F94" s="22" t="s">
        <v>270</v>
      </c>
      <c r="G94" s="15" t="s">
        <v>271</v>
      </c>
      <c r="H94" s="16" t="str">
        <f>_xlfn.DISPIMG("ID_F9D6A6923BCF4745B351D32227791EEA",1)</f>
        <v>=DISPIMG("ID_F9D6A6923BCF4745B351D32227791EEA",1)</v>
      </c>
    </row>
    <row r="95" ht="82.5" spans="1:8">
      <c r="A95" s="11">
        <v>90</v>
      </c>
      <c r="B95" s="30" t="s">
        <v>272</v>
      </c>
      <c r="C95" s="11">
        <v>1</v>
      </c>
      <c r="D95" s="11" t="s">
        <v>122</v>
      </c>
      <c r="E95" s="11">
        <v>18000</v>
      </c>
      <c r="F95" s="14" t="s">
        <v>273</v>
      </c>
      <c r="G95" s="15" t="s">
        <v>274</v>
      </c>
      <c r="H95" s="16" t="str">
        <f>_xlfn.DISPIMG("ID_2C4301D770E34CAA897A2B1BF4DD3058",1)</f>
        <v>=DISPIMG("ID_2C4301D770E34CAA897A2B1BF4DD3058",1)</v>
      </c>
    </row>
    <row r="96" ht="99" spans="1:8">
      <c r="A96" s="11">
        <v>91</v>
      </c>
      <c r="B96" s="30" t="s">
        <v>275</v>
      </c>
      <c r="C96" s="11">
        <v>25</v>
      </c>
      <c r="D96" s="11" t="s">
        <v>15</v>
      </c>
      <c r="E96" s="11">
        <v>50000</v>
      </c>
      <c r="F96" s="14" t="s">
        <v>276</v>
      </c>
      <c r="G96" s="15" t="s">
        <v>277</v>
      </c>
      <c r="H96" s="16" t="str">
        <f>_xlfn.DISPIMG("ID_C4A4B8687BD24371906B85E6788A8B74",1)</f>
        <v>=DISPIMG("ID_C4A4B8687BD24371906B85E6788A8B74",1)</v>
      </c>
    </row>
    <row r="97" ht="82.5" spans="1:8">
      <c r="A97" s="11">
        <v>92</v>
      </c>
      <c r="B97" s="30" t="s">
        <v>278</v>
      </c>
      <c r="C97" s="11">
        <v>6</v>
      </c>
      <c r="D97" s="11" t="s">
        <v>15</v>
      </c>
      <c r="E97" s="11">
        <v>12000</v>
      </c>
      <c r="F97" s="14" t="s">
        <v>279</v>
      </c>
      <c r="G97" s="15" t="s">
        <v>280</v>
      </c>
      <c r="H97" s="16" t="str">
        <f>_xlfn.DISPIMG("ID_AD14E46EA69E445B925220E0757CFC17",1)</f>
        <v>=DISPIMG("ID_AD14E46EA69E445B925220E0757CFC17",1)</v>
      </c>
    </row>
    <row r="98" ht="66" spans="1:8">
      <c r="A98" s="11">
        <v>93</v>
      </c>
      <c r="B98" s="30" t="s">
        <v>281</v>
      </c>
      <c r="C98" s="11">
        <v>7</v>
      </c>
      <c r="D98" s="11" t="s">
        <v>15</v>
      </c>
      <c r="E98" s="11">
        <v>17500</v>
      </c>
      <c r="F98" s="14" t="s">
        <v>282</v>
      </c>
      <c r="G98" s="15" t="s">
        <v>283</v>
      </c>
      <c r="H98" s="16" t="str">
        <f>_xlfn.DISPIMG("ID_8224000074174656B8A27CE614AEFDA6",1)</f>
        <v>=DISPIMG("ID_8224000074174656B8A27CE614AEFDA6",1)</v>
      </c>
    </row>
    <row r="99" ht="66" spans="1:8">
      <c r="A99" s="11">
        <v>94</v>
      </c>
      <c r="B99" s="30" t="s">
        <v>284</v>
      </c>
      <c r="C99" s="11">
        <v>50</v>
      </c>
      <c r="D99" s="11" t="s">
        <v>15</v>
      </c>
      <c r="E99" s="11">
        <v>12500</v>
      </c>
      <c r="F99" s="14" t="s">
        <v>285</v>
      </c>
      <c r="G99" s="15" t="s">
        <v>286</v>
      </c>
      <c r="H99" s="16" t="str">
        <f>_xlfn.DISPIMG("ID_BAE26AC772D04F30921B7F87A523A0DA",1)</f>
        <v>=DISPIMG("ID_BAE26AC772D04F30921B7F87A523A0DA",1)</v>
      </c>
    </row>
    <row r="100" ht="99" spans="1:8">
      <c r="A100" s="11">
        <v>95</v>
      </c>
      <c r="B100" s="30" t="s">
        <v>287</v>
      </c>
      <c r="C100" s="11">
        <v>1</v>
      </c>
      <c r="D100" s="11" t="s">
        <v>122</v>
      </c>
      <c r="E100" s="11">
        <v>10000</v>
      </c>
      <c r="F100" s="22" t="s">
        <v>288</v>
      </c>
      <c r="G100" s="15" t="s">
        <v>289</v>
      </c>
      <c r="H100" s="16" t="str">
        <f>_xlfn.DISPIMG("ID_6AD7CB370B1C437A852AE1EC96FE8E8E",1)</f>
        <v>=DISPIMG("ID_6AD7CB370B1C437A852AE1EC96FE8E8E",1)</v>
      </c>
    </row>
    <row r="101" ht="115.5" spans="1:8">
      <c r="A101" s="11">
        <v>96</v>
      </c>
      <c r="B101" s="30" t="s">
        <v>290</v>
      </c>
      <c r="C101" s="11">
        <v>1</v>
      </c>
      <c r="D101" s="11" t="s">
        <v>122</v>
      </c>
      <c r="E101" s="11">
        <v>7000</v>
      </c>
      <c r="F101" s="22" t="s">
        <v>291</v>
      </c>
      <c r="G101" s="15" t="s">
        <v>292</v>
      </c>
      <c r="H101" s="16" t="str">
        <f>_xlfn.DISPIMG("ID_DA66A2E12C4C4373BABE8885EDA15012",1)</f>
        <v>=DISPIMG("ID_DA66A2E12C4C4373BABE8885EDA15012",1)</v>
      </c>
    </row>
    <row r="102" ht="99" spans="1:8">
      <c r="A102" s="11">
        <v>97</v>
      </c>
      <c r="B102" s="30" t="s">
        <v>293</v>
      </c>
      <c r="C102" s="11">
        <v>1</v>
      </c>
      <c r="D102" s="11" t="s">
        <v>122</v>
      </c>
      <c r="E102" s="11">
        <v>5000</v>
      </c>
      <c r="F102" s="22" t="s">
        <v>294</v>
      </c>
      <c r="G102" s="15" t="s">
        <v>295</v>
      </c>
      <c r="H102" s="16" t="str">
        <f>_xlfn.DISPIMG("ID_B7F4D9ABB4D14F35BDA8C0F9F81BC6B7",1)</f>
        <v>=DISPIMG("ID_B7F4D9ABB4D14F35BDA8C0F9F81BC6B7",1)</v>
      </c>
    </row>
    <row r="103" ht="115.5" spans="1:8">
      <c r="A103" s="11">
        <v>98</v>
      </c>
      <c r="B103" s="30" t="s">
        <v>296</v>
      </c>
      <c r="C103" s="11">
        <v>1</v>
      </c>
      <c r="D103" s="11" t="s">
        <v>122</v>
      </c>
      <c r="E103" s="11">
        <v>7000</v>
      </c>
      <c r="F103" s="22" t="s">
        <v>297</v>
      </c>
      <c r="G103" s="15" t="s">
        <v>298</v>
      </c>
      <c r="H103" s="16" t="str">
        <f>_xlfn.DISPIMG("ID_4AA86C70BDED46D7AE5C0D4C4EAD6179",1)</f>
        <v>=DISPIMG("ID_4AA86C70BDED46D7AE5C0D4C4EAD6179",1)</v>
      </c>
    </row>
    <row r="104" ht="82.5" spans="1:8">
      <c r="A104" s="11">
        <v>99</v>
      </c>
      <c r="B104" s="30" t="s">
        <v>299</v>
      </c>
      <c r="C104" s="11">
        <v>1</v>
      </c>
      <c r="D104" s="11" t="s">
        <v>122</v>
      </c>
      <c r="E104" s="11">
        <v>6500</v>
      </c>
      <c r="F104" s="22" t="s">
        <v>300</v>
      </c>
      <c r="G104" s="15" t="s">
        <v>301</v>
      </c>
      <c r="H104" s="16" t="str">
        <f>_xlfn.DISPIMG("ID_35B21C25F95A4845B98D9457E0DA9EDF",1)</f>
        <v>=DISPIMG("ID_35B21C25F95A4845B98D9457E0DA9EDF",1)</v>
      </c>
    </row>
    <row r="105" ht="66" spans="1:8">
      <c r="A105" s="11">
        <v>100</v>
      </c>
      <c r="B105" s="30" t="s">
        <v>302</v>
      </c>
      <c r="C105" s="11">
        <v>1</v>
      </c>
      <c r="D105" s="11" t="s">
        <v>122</v>
      </c>
      <c r="E105" s="11">
        <v>4000</v>
      </c>
      <c r="F105" s="22" t="s">
        <v>303</v>
      </c>
      <c r="G105" s="15" t="s">
        <v>304</v>
      </c>
      <c r="H105" s="16" t="str">
        <f>_xlfn.DISPIMG("ID_C6B06A5EF5F64F059364B715D79FF6FE",1)</f>
        <v>=DISPIMG("ID_C6B06A5EF5F64F059364B715D79FF6FE",1)</v>
      </c>
    </row>
    <row r="106" ht="66" spans="1:8">
      <c r="A106" s="11">
        <v>101</v>
      </c>
      <c r="B106" s="30" t="s">
        <v>305</v>
      </c>
      <c r="C106" s="11">
        <v>1</v>
      </c>
      <c r="D106" s="11" t="s">
        <v>122</v>
      </c>
      <c r="E106" s="11">
        <v>3800</v>
      </c>
      <c r="F106" s="22" t="s">
        <v>306</v>
      </c>
      <c r="G106" s="15" t="s">
        <v>307</v>
      </c>
      <c r="H106" s="16" t="str">
        <f>_xlfn.DISPIMG("ID_25B4D060E68E41A9B059253D5B581A71",1)</f>
        <v>=DISPIMG("ID_25B4D060E68E41A9B059253D5B581A71",1)</v>
      </c>
    </row>
    <row r="107" ht="66" spans="1:8">
      <c r="A107" s="11">
        <v>102</v>
      </c>
      <c r="B107" s="30" t="s">
        <v>308</v>
      </c>
      <c r="C107" s="11">
        <v>12</v>
      </c>
      <c r="D107" s="11" t="s">
        <v>15</v>
      </c>
      <c r="E107" s="11">
        <v>1200</v>
      </c>
      <c r="F107" s="22" t="s">
        <v>309</v>
      </c>
      <c r="G107" s="15" t="s">
        <v>310</v>
      </c>
      <c r="H107" s="16" t="str">
        <f>_xlfn.DISPIMG("ID_7156B2726B2C417794F8A75D6CB326B3",1)</f>
        <v>=DISPIMG("ID_7156B2726B2C417794F8A75D6CB326B3",1)</v>
      </c>
    </row>
    <row r="108" ht="82.5" spans="1:8">
      <c r="A108" s="11">
        <v>103</v>
      </c>
      <c r="B108" s="30" t="s">
        <v>311</v>
      </c>
      <c r="C108" s="11">
        <v>12</v>
      </c>
      <c r="D108" s="11" t="s">
        <v>11</v>
      </c>
      <c r="E108" s="11">
        <v>24000</v>
      </c>
      <c r="F108" s="22" t="s">
        <v>312</v>
      </c>
      <c r="G108" s="15" t="s">
        <v>313</v>
      </c>
      <c r="H108" s="16" t="str">
        <f>_xlfn.DISPIMG("ID_5865225816CF4CEBBD2FB00BC7D249BC",1)</f>
        <v>=DISPIMG("ID_5865225816CF4CEBBD2FB00BC7D249BC",1)</v>
      </c>
    </row>
    <row r="109" ht="34.5" spans="1:8">
      <c r="A109" s="11">
        <v>104</v>
      </c>
      <c r="B109" s="30" t="s">
        <v>314</v>
      </c>
      <c r="C109" s="11">
        <v>52</v>
      </c>
      <c r="D109" s="11" t="s">
        <v>15</v>
      </c>
      <c r="E109" s="11">
        <v>4160</v>
      </c>
      <c r="F109" s="14" t="s">
        <v>315</v>
      </c>
      <c r="G109" s="15" t="s">
        <v>316</v>
      </c>
      <c r="H109" s="16" t="str">
        <f>_xlfn.DISPIMG("ID_63D3C40DC9604501AE9511FA0A9C0719",1)</f>
        <v>=DISPIMG("ID_63D3C40DC9604501AE9511FA0A9C0719",1)</v>
      </c>
    </row>
    <row r="110" ht="115.5" spans="1:8">
      <c r="A110" s="11">
        <v>105</v>
      </c>
      <c r="B110" s="30" t="s">
        <v>317</v>
      </c>
      <c r="C110" s="11">
        <v>1</v>
      </c>
      <c r="D110" s="11" t="s">
        <v>122</v>
      </c>
      <c r="E110" s="11">
        <v>23000</v>
      </c>
      <c r="F110" s="22" t="s">
        <v>318</v>
      </c>
      <c r="G110" s="15" t="s">
        <v>319</v>
      </c>
      <c r="H110" s="16" t="str">
        <f>_xlfn.DISPIMG("ID_AEF1254F59A548B597DCEDFEFA894B03",1)</f>
        <v>=DISPIMG("ID_AEF1254F59A548B597DCEDFEFA894B03",1)</v>
      </c>
    </row>
    <row r="111" ht="115.5" spans="1:8">
      <c r="A111" s="11">
        <v>106</v>
      </c>
      <c r="B111" s="30" t="s">
        <v>320</v>
      </c>
      <c r="C111" s="11">
        <v>1</v>
      </c>
      <c r="D111" s="11" t="s">
        <v>122</v>
      </c>
      <c r="E111" s="11">
        <v>20000</v>
      </c>
      <c r="F111" s="22" t="s">
        <v>321</v>
      </c>
      <c r="G111" s="15" t="s">
        <v>322</v>
      </c>
      <c r="H111" s="16" t="str">
        <f>_xlfn.DISPIMG("ID_8975BDE0BC9A455B9AFF1326A93D4491",1)</f>
        <v>=DISPIMG("ID_8975BDE0BC9A455B9AFF1326A93D4491",1)</v>
      </c>
    </row>
    <row r="112" ht="99" spans="1:8">
      <c r="A112" s="11">
        <v>107</v>
      </c>
      <c r="B112" s="30" t="s">
        <v>323</v>
      </c>
      <c r="C112" s="11">
        <v>1</v>
      </c>
      <c r="D112" s="11" t="s">
        <v>122</v>
      </c>
      <c r="E112" s="11">
        <v>8000</v>
      </c>
      <c r="F112" s="22" t="s">
        <v>324</v>
      </c>
      <c r="G112" s="15" t="s">
        <v>325</v>
      </c>
      <c r="H112" s="16" t="str">
        <f>_xlfn.DISPIMG("ID_0201B115E5BA4CC4908B15EB10A625FF",1)</f>
        <v>=DISPIMG("ID_0201B115E5BA4CC4908B15EB10A625FF",1)</v>
      </c>
    </row>
    <row r="113" ht="115.5" spans="1:8">
      <c r="A113" s="11">
        <v>108</v>
      </c>
      <c r="B113" s="30" t="s">
        <v>326</v>
      </c>
      <c r="C113" s="11">
        <v>1</v>
      </c>
      <c r="D113" s="11" t="s">
        <v>122</v>
      </c>
      <c r="E113" s="11">
        <v>7000</v>
      </c>
      <c r="F113" s="22" t="s">
        <v>327</v>
      </c>
      <c r="G113" s="15" t="s">
        <v>328</v>
      </c>
      <c r="H113" s="16" t="str">
        <f>_xlfn.DISPIMG("ID_C3729080970D442DBB3F6122FD95ACBF",1)</f>
        <v>=DISPIMG("ID_C3729080970D442DBB3F6122FD95ACBF",1)</v>
      </c>
    </row>
    <row r="114" ht="82.5" spans="1:8">
      <c r="A114" s="11">
        <v>109</v>
      </c>
      <c r="B114" s="30" t="s">
        <v>329</v>
      </c>
      <c r="C114" s="11">
        <v>20</v>
      </c>
      <c r="D114" s="11" t="s">
        <v>15</v>
      </c>
      <c r="E114" s="11">
        <v>18000</v>
      </c>
      <c r="F114" s="14" t="s">
        <v>330</v>
      </c>
      <c r="G114" s="15" t="s">
        <v>331</v>
      </c>
      <c r="H114" s="16" t="str">
        <f>_xlfn.DISPIMG("ID_3AD97A162C614648B0E049B36C9BEEE8",1)</f>
        <v>=DISPIMG("ID_3AD97A162C614648B0E049B36C9BEEE8",1)</v>
      </c>
    </row>
    <row r="115" ht="115.5" spans="1:8">
      <c r="A115" s="11">
        <v>110</v>
      </c>
      <c r="B115" s="30" t="s">
        <v>332</v>
      </c>
      <c r="C115" s="11">
        <v>2</v>
      </c>
      <c r="D115" s="11" t="s">
        <v>15</v>
      </c>
      <c r="E115" s="11">
        <v>14000</v>
      </c>
      <c r="F115" s="22" t="s">
        <v>333</v>
      </c>
      <c r="G115" s="15" t="s">
        <v>334</v>
      </c>
      <c r="H115" s="16" t="str">
        <f>_xlfn.DISPIMG("ID_DEBDD7CD365846278232EF104EF41743",1)</f>
        <v>=DISPIMG("ID_DEBDD7CD365846278232EF104EF41743",1)</v>
      </c>
    </row>
    <row r="116" ht="66" spans="1:8">
      <c r="A116" s="11">
        <v>111</v>
      </c>
      <c r="B116" s="30" t="s">
        <v>335</v>
      </c>
      <c r="C116" s="11">
        <v>1</v>
      </c>
      <c r="D116" s="11" t="s">
        <v>122</v>
      </c>
      <c r="E116" s="11">
        <v>4500</v>
      </c>
      <c r="F116" s="22" t="s">
        <v>336</v>
      </c>
      <c r="G116" s="15" t="s">
        <v>337</v>
      </c>
      <c r="H116" s="16" t="str">
        <f>_xlfn.DISPIMG("ID_7AF360D0CD3C4924B5F4A3ABCC7AC809",1)</f>
        <v>=DISPIMG("ID_7AF360D0CD3C4924B5F4A3ABCC7AC809",1)</v>
      </c>
    </row>
    <row r="117" ht="99" spans="1:8">
      <c r="A117" s="11">
        <v>112</v>
      </c>
      <c r="B117" s="30" t="s">
        <v>338</v>
      </c>
      <c r="C117" s="11">
        <v>1</v>
      </c>
      <c r="D117" s="11" t="s">
        <v>122</v>
      </c>
      <c r="E117" s="11">
        <v>4500</v>
      </c>
      <c r="F117" s="22" t="s">
        <v>339</v>
      </c>
      <c r="G117" s="15" t="s">
        <v>340</v>
      </c>
      <c r="H117" s="16" t="str">
        <f>_xlfn.DISPIMG("ID_53029021259145D58A9D4003652AE06C",1)</f>
        <v>=DISPIMG("ID_53029021259145D58A9D4003652AE06C",1)</v>
      </c>
    </row>
    <row r="118" ht="66" spans="1:8">
      <c r="A118" s="11">
        <v>113</v>
      </c>
      <c r="B118" s="30" t="s">
        <v>341</v>
      </c>
      <c r="C118" s="11">
        <v>1</v>
      </c>
      <c r="D118" s="11" t="s">
        <v>122</v>
      </c>
      <c r="E118" s="11">
        <v>3000</v>
      </c>
      <c r="F118" s="22" t="s">
        <v>342</v>
      </c>
      <c r="G118" s="15" t="s">
        <v>343</v>
      </c>
      <c r="H118" s="16" t="str">
        <f>_xlfn.DISPIMG("ID_B1AC3886EF724BD39396E7A2A6C3A2A9",1)</f>
        <v>=DISPIMG("ID_B1AC3886EF724BD39396E7A2A6C3A2A9",1)</v>
      </c>
    </row>
    <row r="119" ht="82.5" spans="1:8">
      <c r="A119" s="11">
        <v>114</v>
      </c>
      <c r="B119" s="30" t="s">
        <v>344</v>
      </c>
      <c r="C119" s="11">
        <v>1</v>
      </c>
      <c r="D119" s="11" t="s">
        <v>122</v>
      </c>
      <c r="E119" s="11">
        <v>6000</v>
      </c>
      <c r="F119" s="22" t="s">
        <v>345</v>
      </c>
      <c r="G119" s="15" t="s">
        <v>346</v>
      </c>
      <c r="H119" s="16" t="str">
        <f>_xlfn.DISPIMG("ID_6EBD9F7246634904B7077A574C18F79A",1)</f>
        <v>=DISPIMG("ID_6EBD9F7246634904B7077A574C18F79A",1)</v>
      </c>
    </row>
    <row r="120" ht="66" spans="1:8">
      <c r="A120" s="11">
        <v>115</v>
      </c>
      <c r="B120" s="30" t="s">
        <v>347</v>
      </c>
      <c r="C120" s="11">
        <v>1</v>
      </c>
      <c r="D120" s="11" t="s">
        <v>122</v>
      </c>
      <c r="E120" s="11">
        <v>2800</v>
      </c>
      <c r="F120" s="22" t="s">
        <v>348</v>
      </c>
      <c r="G120" s="15" t="s">
        <v>349</v>
      </c>
      <c r="H120" s="16" t="str">
        <f>_xlfn.DISPIMG("ID_E6F5AE50AB804FBB9A2441ACAE910C47",1)</f>
        <v>=DISPIMG("ID_E6F5AE50AB804FBB9A2441ACAE910C47",1)</v>
      </c>
    </row>
    <row r="121" ht="82.5" spans="1:8">
      <c r="A121" s="11">
        <v>116</v>
      </c>
      <c r="B121" s="30" t="s">
        <v>350</v>
      </c>
      <c r="C121" s="11">
        <v>1</v>
      </c>
      <c r="D121" s="11" t="s">
        <v>122</v>
      </c>
      <c r="E121" s="11">
        <v>3200</v>
      </c>
      <c r="F121" s="22" t="s">
        <v>351</v>
      </c>
      <c r="G121" s="15" t="s">
        <v>352</v>
      </c>
      <c r="H121" s="16" t="str">
        <f>_xlfn.DISPIMG("ID_FF9409CE25CE4C4ABFE28CB4F94B373C",1)</f>
        <v>=DISPIMG("ID_FF9409CE25CE4C4ABFE28CB4F94B373C",1)</v>
      </c>
    </row>
    <row r="122" ht="66" spans="1:8">
      <c r="A122" s="11">
        <v>117</v>
      </c>
      <c r="B122" s="30" t="s">
        <v>353</v>
      </c>
      <c r="C122" s="11">
        <v>40</v>
      </c>
      <c r="D122" s="11" t="s">
        <v>15</v>
      </c>
      <c r="E122" s="11">
        <v>12800</v>
      </c>
      <c r="F122" s="14" t="s">
        <v>354</v>
      </c>
      <c r="G122" s="15" t="s">
        <v>355</v>
      </c>
      <c r="H122" s="16" t="str">
        <f>_xlfn.DISPIMG("ID_04A9251D1838434899E82BBDBC188DC9",1)</f>
        <v>=DISPIMG("ID_04A9251D1838434899E82BBDBC188DC9",1)</v>
      </c>
    </row>
    <row r="123" ht="132" spans="1:8">
      <c r="A123" s="11">
        <v>118</v>
      </c>
      <c r="B123" s="30" t="s">
        <v>356</v>
      </c>
      <c r="C123" s="11">
        <v>6</v>
      </c>
      <c r="D123" s="11" t="s">
        <v>15</v>
      </c>
      <c r="E123" s="11">
        <v>24000</v>
      </c>
      <c r="F123" s="14" t="s">
        <v>357</v>
      </c>
      <c r="G123" s="15" t="s">
        <v>358</v>
      </c>
      <c r="H123" s="16" t="str">
        <f>_xlfn.DISPIMG("ID_F29292A092964A5BA134D48D71E9D688",1)</f>
        <v>=DISPIMG("ID_F29292A092964A5BA134D48D71E9D688",1)</v>
      </c>
    </row>
    <row r="124" ht="165" spans="1:8">
      <c r="A124" s="11">
        <v>119</v>
      </c>
      <c r="B124" s="30" t="s">
        <v>359</v>
      </c>
      <c r="C124" s="11">
        <v>1</v>
      </c>
      <c r="D124" s="11" t="s">
        <v>15</v>
      </c>
      <c r="E124" s="11">
        <v>9000</v>
      </c>
      <c r="F124" s="14" t="s">
        <v>360</v>
      </c>
      <c r="G124" s="15" t="s">
        <v>361</v>
      </c>
      <c r="H124" s="16" t="str">
        <f>_xlfn.DISPIMG("ID_F2B412B04E43423AAD07DBB119758842",1)</f>
        <v>=DISPIMG("ID_F2B412B04E43423AAD07DBB119758842",1)</v>
      </c>
    </row>
    <row r="125" ht="21" spans="1:8">
      <c r="A125" s="31" t="s">
        <v>362</v>
      </c>
      <c r="B125" s="31"/>
      <c r="C125" s="31"/>
      <c r="D125" s="31"/>
      <c r="E125" s="31">
        <f>SUM(E4:E124)</f>
        <v>3513580</v>
      </c>
      <c r="F125" s="32"/>
      <c r="G125" s="33"/>
      <c r="H125" s="33"/>
    </row>
  </sheetData>
  <autoFilter xmlns:etc="http://www.wps.cn/officeDocument/2017/etCustomData" ref="A1:H209" etc:filterBottomFollowUsedRange="0">
    <extLst/>
  </autoFilter>
  <mergeCells count="5">
    <mergeCell ref="A1:H1"/>
    <mergeCell ref="A3:B3"/>
    <mergeCell ref="A11:B11"/>
    <mergeCell ref="A44:B44"/>
    <mergeCell ref="A125:D125"/>
  </mergeCells>
  <dataValidations count="1">
    <dataValidation type="list" allowBlank="1" showInputMessage="1" showErrorMessage="1" sqref="H45:H124">
      <formula1>"√"</formula1>
    </dataValidation>
  </dataValidations>
  <pageMargins left="0.75" right="0.75" top="1" bottom="1" header="0.5" footer="0.5"/>
  <pageSetup paperSize="9" scale="67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QSWH-20240702</dc:creator>
  <cp:lastModifiedBy>远在咫尺1388500570</cp:lastModifiedBy>
  <dcterms:created xsi:type="dcterms:W3CDTF">2026-02-11T14:16:00Z</dcterms:created>
  <dcterms:modified xsi:type="dcterms:W3CDTF">2026-03-13T07:34:13Z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B8A88AB19D5C4499BEBB2D7AAA8276E4_13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