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7440" tabRatio="657" activeTab="2"/>
  </bookViews>
  <sheets>
    <sheet name="汇总" sheetId="4" r:id="rId1"/>
    <sheet name="1号楼" sheetId="5" r:id="rId2"/>
    <sheet name="3-5号楼普通教学楼" sheetId="3" r:id="rId3"/>
    <sheet name="7号楼" sheetId="6" r:id="rId4"/>
    <sheet name="8号楼" sheetId="7" r:id="rId5"/>
    <sheet name="9号楼门卫" sheetId="8" r:id="rId6"/>
    <sheet name="10号楼礼堂" sheetId="9" r:id="rId7"/>
    <sheet name="11号楼男女生宿舍、教师公寓" sheetId="10" r:id="rId8"/>
    <sheet name="工程教育中心" sheetId="11" r:id="rId9"/>
    <sheet name="生涯教育和心理健康" sheetId="12" r:id="rId10"/>
    <sheet name="校园文化" sheetId="14" r:id="rId11"/>
  </sheets>
  <definedNames>
    <definedName name="_xlnm._FilterDatabase" localSheetId="1" hidden="1">'1号楼'!$A$1:$H$106</definedName>
    <definedName name="_xlnm._FilterDatabase" localSheetId="2" hidden="1">'3-5号楼普通教学楼'!$A$1:$H$55</definedName>
    <definedName name="_xlnm._FilterDatabase" localSheetId="3" hidden="1">'7号楼'!$A$1:$H$51</definedName>
    <definedName name="_xlnm._FilterDatabase" localSheetId="5" hidden="1">'9号楼门卫'!$A$1:$H$11</definedName>
    <definedName name="_xlnm._FilterDatabase" localSheetId="6" hidden="1">'10号楼礼堂'!$A$1:$H$32</definedName>
    <definedName name="_xlnm.Print_Area" localSheetId="2">'3-5号楼普通教学楼'!$A$1:$H$56</definedName>
    <definedName name="_xlnm.Print_Area" localSheetId="0">汇总!$A$1:$D$13</definedName>
    <definedName name="_xlnm.Print_Area" localSheetId="1">'1号楼'!$A$1:$H$106</definedName>
    <definedName name="_xlnm.Print_Area" localSheetId="3">'7号楼'!$A$1:$H$51</definedName>
    <definedName name="_xlnm.Print_Area" localSheetId="4">'8号楼'!$A$1:$H$8</definedName>
    <definedName name="_xlnm.Print_Area" localSheetId="6">'10号楼礼堂'!$A$1:$H$32</definedName>
    <definedName name="_xlnm.Print_Area" localSheetId="7">'11号楼男女生宿舍、教师公寓'!$A$1:$H$63</definedName>
    <definedName name="_xlnm._FilterDatabase" hidden="1">生涯教育和心理健康!$A$2:$H$11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9" name="ID_77775A1747EE4630820D923CE399A1F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1465" y="33828990"/>
          <a:ext cx="1144905" cy="1362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0" name="ID_2910B98C7106496FBD1DF07A2ADF66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2405" y="32278320"/>
          <a:ext cx="1357630" cy="13125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6" name="ID_B60D3CA3CF044E0989A5660FB72A523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19555" y="28629610"/>
          <a:ext cx="1201420" cy="1575435"/>
        </a:xfrm>
        <a:prstGeom prst="rect">
          <a:avLst/>
        </a:prstGeom>
      </xdr:spPr>
    </xdr:pic>
  </etc:cellImage>
  <etc:cellImage>
    <xdr:pic>
      <xdr:nvPicPr>
        <xdr:cNvPr id="217" name="ID_66C4FAB1686D44C188C94763E8009569"/>
        <xdr:cNvPicPr>
          <a:picLocks noChangeAspect="1"/>
        </xdr:cNvPicPr>
      </xdr:nvPicPr>
      <xdr:blipFill>
        <a:blip r:embed="rId4"/>
        <a:srcRect t="3524"/>
        <a:stretch>
          <a:fillRect/>
        </a:stretch>
      </xdr:blipFill>
      <xdr:spPr>
        <a:xfrm>
          <a:off x="1931035" y="42805985"/>
          <a:ext cx="600710" cy="921385"/>
        </a:xfrm>
        <a:prstGeom prst="rect">
          <a:avLst/>
        </a:prstGeom>
      </xdr:spPr>
    </xdr:pic>
  </etc:cellImage>
  <etc:cellImage>
    <xdr:pic>
      <xdr:nvPicPr>
        <xdr:cNvPr id="242" name="ID_A40C50E4AF0A487DBB1FCE9D55AE038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23085" y="30951805"/>
          <a:ext cx="582295" cy="1113155"/>
        </a:xfrm>
        <a:prstGeom prst="rect">
          <a:avLst/>
        </a:prstGeom>
      </xdr:spPr>
    </xdr:pic>
  </etc:cellImage>
  <etc:cellImage>
    <xdr:pic>
      <xdr:nvPicPr>
        <xdr:cNvPr id="243" name="ID_33091141D52548E7AD5EC0DE66696C7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59890" y="41338500"/>
          <a:ext cx="977900" cy="930910"/>
        </a:xfrm>
        <a:prstGeom prst="rect">
          <a:avLst/>
        </a:prstGeom>
      </xdr:spPr>
    </xdr:pic>
  </etc:cellImage>
  <etc:cellImage>
    <xdr:pic>
      <xdr:nvPicPr>
        <xdr:cNvPr id="244" name="ID_1D9C6B7BD473474FBA8076983F8784D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67180" y="39674800"/>
          <a:ext cx="1097915" cy="826135"/>
        </a:xfrm>
        <a:prstGeom prst="rect">
          <a:avLst/>
        </a:prstGeom>
      </xdr:spPr>
    </xdr:pic>
  </etc:cellImage>
  <etc:cellImage>
    <xdr:pic>
      <xdr:nvPicPr>
        <xdr:cNvPr id="129" name="ID_C069293B06184079BEB72FDF16048E5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205595" y="2139315"/>
          <a:ext cx="1097915" cy="1056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5" name="ID_4AC2F05933F84CC5B95827CCBA1DDE0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774680" y="4434840"/>
          <a:ext cx="1774825" cy="8870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2" name="ID_A478C1BBA6834F1CB88440BD4BE6B20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876280" y="3192780"/>
          <a:ext cx="1355725" cy="1560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1" name="ID_B394DAB3E5FB4544A6C2FEA204919BD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736580" y="8463280"/>
          <a:ext cx="1678305" cy="8997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6" name="ID_2DE15D6C262D4EA1B78AD42964D255F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706100" y="11913870"/>
          <a:ext cx="1664970" cy="846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7" name="ID_212A6FF402464127B418F6B84A73DAC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800080" y="13150850"/>
          <a:ext cx="1528445" cy="619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0" name="ID_C8CDCA20F7914E86B852C0EA0221767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819765" y="14381480"/>
          <a:ext cx="1433195" cy="9759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1" name="ID_D4CAC2707D3746A1BEBA2546B0C7930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831830" y="16181705"/>
          <a:ext cx="1715770" cy="5664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2" name="ID_7720B76E02024C59B402AA040AD0768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060430" y="15423515"/>
          <a:ext cx="777875" cy="9658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3" name="ID_28181BBDB09945578393CC1E03AD163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826115" y="19327495"/>
          <a:ext cx="1445895" cy="8242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4" name="ID_11041FC9D17C4A44BB9B3ADB4AD818D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0984865" y="18172430"/>
          <a:ext cx="843280" cy="10267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32B00A90CADC46049C415C6909E26C57" descr="4a56be982762e51b685e9c4601eaead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546860" y="30723205"/>
          <a:ext cx="1507490" cy="980440"/>
        </a:xfrm>
        <a:prstGeom prst="rect">
          <a:avLst/>
        </a:prstGeom>
      </xdr:spPr>
    </xdr:pic>
  </etc:cellImage>
  <etc:cellImage>
    <xdr:pic>
      <xdr:nvPicPr>
        <xdr:cNvPr id="66" name="ID_54C25D96CD7A42DCA6CA869B93ED28DD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772920" y="32505015"/>
          <a:ext cx="1125220" cy="1435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827167AAA7C741069DFEC9459547034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818640" y="142668625"/>
          <a:ext cx="963930" cy="1028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6DBDFC08EF6648B6B01034CC87DC242B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783715" y="140830935"/>
          <a:ext cx="1033780" cy="10814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275D782C6A764F2485B0A47D90FCBA0C" descr="OP-F5907.jpg"/>
        <xdr:cNvPicPr>
          <a:picLocks noChangeAspect="1" noChangeArrowheads="1"/>
        </xdr:cNvPicPr>
      </xdr:nvPicPr>
      <xdr:blipFill>
        <a:blip r:embed="rId23"/>
        <a:srcRect l="716" t="9120" b="7782"/>
        <a:stretch>
          <a:fillRect/>
        </a:stretch>
      </xdr:blipFill>
      <xdr:spPr>
        <a:xfrm>
          <a:off x="1472565" y="139476480"/>
          <a:ext cx="1656715" cy="882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91" name="ID_388BCA655BBD4F10B2EB9D0B37FEDC6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830705" y="137696575"/>
          <a:ext cx="939800" cy="993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3" name="ID_CE857154601846C3A99BBA57F3001D1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932940" y="135996680"/>
          <a:ext cx="735330" cy="1008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8" name="ID_9CECC1FD000F440FA355E345D2B12CA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577340" y="134493635"/>
          <a:ext cx="1447165" cy="5289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8E2042E245854D6290D668E88B907C2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788160" y="132212080"/>
          <a:ext cx="1025525" cy="10534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7" name="ID_2E979C800E3E4728A09EA741A215258F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818640" y="130500120"/>
          <a:ext cx="963930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8" name="ID_7CC0A168B9D24847B6B39D59A7D5CFE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911350" y="128473200"/>
          <a:ext cx="778510" cy="1641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6" name="ID_76DCCAE4115E42BCB31C190C632AB807" descr="4a56be982762e51b685e9c4601eaead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546860" y="124766705"/>
          <a:ext cx="1507490" cy="980440"/>
        </a:xfrm>
        <a:prstGeom prst="rect">
          <a:avLst/>
        </a:prstGeom>
      </xdr:spPr>
    </xdr:pic>
  </etc:cellImage>
  <etc:cellImage>
    <xdr:pic>
      <xdr:nvPicPr>
        <xdr:cNvPr id="257" name="ID_1C0961B0F3E946AA9AD6CE617433718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704975" y="14472285"/>
          <a:ext cx="1191260" cy="979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8" name="ID_F600E5D97E3D4CCD8B3673777672CF5A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932940" y="12752705"/>
          <a:ext cx="735330" cy="1008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9" name="ID_2022F3C21734420D96C70BCE3D02BCA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555115" y="10984230"/>
          <a:ext cx="1490980" cy="9385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0" name="ID_E60AD5D1074642ABB5AF532398A2CB9B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520825" y="9087485"/>
          <a:ext cx="1559560" cy="8807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1" name="ID_A2CC55CC2BC6487D86D746E8C4ED466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704975" y="6976110"/>
          <a:ext cx="1191260" cy="979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2" name="ID_14FB7C94A0454FE1B63301D46A47960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870710" y="5172710"/>
          <a:ext cx="860425" cy="11639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3" name="ID_FC3629425EA24421912C5D99C873946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703070" y="3498850"/>
          <a:ext cx="1195070" cy="1200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4" name="ID_1AF8060111EE4D1E874C743DCF390AF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469390" y="2134235"/>
          <a:ext cx="1662430" cy="421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5" name="ID_C98BD9A75F6B455C8B9C94A8C7A63A6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534160" y="16778605"/>
          <a:ext cx="1533525" cy="5613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6" name="ID_90A4E7F8593A4A5884E97FE5F9E0F04D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932940" y="18263235"/>
          <a:ext cx="735330" cy="1008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7" name="ID_E196CEE8D7F84E38B4C083EBA2AC4AC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857375" y="19954240"/>
          <a:ext cx="887095" cy="937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8" name="ID_D781D26B992945ABBE267217E9E63DFD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534795" y="21909405"/>
          <a:ext cx="1532255" cy="925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9" name="ID_638056FD184240C6987BEE9C5A62B707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862455" y="23689945"/>
          <a:ext cx="876300" cy="1206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0" name="ID_9C5EB9E71FFF4035BF5FD3E16F30578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938655" y="25434925"/>
          <a:ext cx="723900" cy="15265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1" name="ID_85EAAAAF138B4FDD98CD4FF6234EDDD9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781810" y="27195145"/>
          <a:ext cx="1037590" cy="1177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2" name="ID_1D26ABA0984C45EAB911F9CFDB7264D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724660" y="28771215"/>
          <a:ext cx="1152525" cy="1184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3" name="ID_54E33787C945458D907210B110F099D0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927860" y="34450655"/>
          <a:ext cx="746125" cy="15735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4" name="ID_EBC07C310CF249E38FF406DB2E13458C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781810" y="36360100"/>
          <a:ext cx="1037590" cy="1177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5" name="ID_8D620860316C4232888A5AD421A258ED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724660" y="38004115"/>
          <a:ext cx="1152525" cy="1184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6" name="ID_18360477789A43668FF8C30AADE44F1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603375" y="39903400"/>
          <a:ext cx="1395095" cy="1075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7" name="ID_2C672631C7A04B0DA9C471AD445790C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887855" y="41802685"/>
          <a:ext cx="825500" cy="1353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8" name="ID_500AB39DBAB3422F939E6CFD9EB502AA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854200" y="44120435"/>
          <a:ext cx="893445" cy="12077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9" name="ID_3543BFC753AF4B639D1D8656854CDE46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656080" y="46174660"/>
          <a:ext cx="1289685" cy="7886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0" name="ID_9DA2C1068B0F4532A602DD9FCBDBF58E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825625" y="47564040"/>
          <a:ext cx="949960" cy="1172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1" name="ID_3195B95FCB92409BB784E286FC252F51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533525" y="50002440"/>
          <a:ext cx="1534795" cy="8674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2" name="ID_9081ED14A88A473E9433F8443C60E8C6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783080" y="52473860"/>
          <a:ext cx="1035685" cy="1306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3" name="ID_02F552776B604F42ABD076BBA1E924EA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656080" y="55678070"/>
          <a:ext cx="1289050" cy="161988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84" name="ID_DE08A4B792724B82A3D920F49EF2ABAA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703070" y="59418220"/>
          <a:ext cx="1195705" cy="1120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6" name="ID_5F3691FBEC084218A23427BD0EB3B090" descr="4a56be982762e51b685e9c4601eaead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546860" y="63741300"/>
          <a:ext cx="1507490" cy="980440"/>
        </a:xfrm>
        <a:prstGeom prst="rect">
          <a:avLst/>
        </a:prstGeom>
      </xdr:spPr>
    </xdr:pic>
  </etc:cellImage>
  <etc:cellImage>
    <xdr:pic>
      <xdr:nvPicPr>
        <xdr:cNvPr id="288" name="ID_8F02056062D34C86AA4A0C5A34D1733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931670" y="67492245"/>
          <a:ext cx="737870" cy="1555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9" name="ID_FC450AF4FF2E460787D5E4C369EC3FB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781810" y="69307075"/>
          <a:ext cx="1037590" cy="1177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0" name="ID_22FBACAEB7C84C1D87F7B3EEFDB11DF7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724660" y="70909815"/>
          <a:ext cx="1152525" cy="1184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1" name="ID_353B54D4CB434FC2B53BB4CD6DF56D32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555750" y="72758300"/>
          <a:ext cx="1490345" cy="1149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2" name="ID_45F2429ED8E64A3FAC0E1B6F2D31965E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688465" y="74895710"/>
          <a:ext cx="1224280" cy="756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3" name="ID_1D231B1AF16845F68B73DB626D03CC63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894205" y="76452730"/>
          <a:ext cx="812800" cy="13328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4" name="ID_7E36FF8E3D834DA59E1E849DEDD0E618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885315" y="77832585"/>
          <a:ext cx="830580" cy="13639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5" name="ID_26AB10E76A6042A486521CD5A640B7DD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701165" y="80138270"/>
          <a:ext cx="1198880" cy="15817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6" name="ID_060EA3B529244D8F99A158ED2AD84088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897380" y="82167095"/>
          <a:ext cx="807085" cy="1295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7" name="ID_169BBB6EE385416F8A655CC966D674DD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798320" y="84021295"/>
          <a:ext cx="1004570" cy="939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8" name="ID_6A41DE1CD04046E68C03286E76BF31A5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953895" y="85547200"/>
          <a:ext cx="694055" cy="10121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9" name="ID_229F019BE76E4860BD6A4F53D2C6ED1B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534795" y="87081360"/>
          <a:ext cx="1532255" cy="925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" name="ID_02A1ECD66B5543C3963D66625A241201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867535" y="91013915"/>
          <a:ext cx="866775" cy="1280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" name="ID_C3E2157650484FC78593FE90162737B5" descr="77032de33cac8ab8a0f3821f442cf6a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473835" y="93135450"/>
          <a:ext cx="1653540" cy="1660525"/>
        </a:xfrm>
        <a:prstGeom prst="rect">
          <a:avLst/>
        </a:prstGeom>
      </xdr:spPr>
    </xdr:pic>
  </etc:cellImage>
  <etc:cellImage>
    <xdr:pic>
      <xdr:nvPicPr>
        <xdr:cNvPr id="304" name="ID_010786F6816D48E69B15130A1A610F0E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818640" y="96627950"/>
          <a:ext cx="964565" cy="1190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5" name="ID_353BC162959845A78E1110F4C168F913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768475" y="98080195"/>
          <a:ext cx="1064895" cy="1448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6" name="ID_F084DD2D2CD8481E95E42779457D2354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943735" y="99869625"/>
          <a:ext cx="713740" cy="1689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7" name="ID_540B6D4E92CE41C69BA29921F35AE520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762125" y="101975920"/>
          <a:ext cx="1076960" cy="1149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8" name="ID_B6106D94A51C49078736F57FBCE1BAED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602740" y="103595805"/>
          <a:ext cx="1396365" cy="739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9" name="ID_76BAE2ADDCA64277ACBEC9F456C8F69C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731645" y="104599105"/>
          <a:ext cx="1137920" cy="929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0" name="ID_641EAB894F6142B39D6B0308E87B8A35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721485" y="106074210"/>
          <a:ext cx="1158875" cy="9861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1" name="ID_4EBFEC1BF8864933A4C7D34A85839D8E" descr="1622110725(1)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885950" y="107669965"/>
          <a:ext cx="829310" cy="959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2" name="ID_1BE9DA56D603479ABA6743FCF552FC50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858645" y="108901230"/>
          <a:ext cx="883920" cy="9899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3" name="ID_81E3D4A625814CC9B38CCE3C6C2D7449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555750" y="110537625"/>
          <a:ext cx="1489710" cy="879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4" name="ID_4EE76E7A1EE045B3A60618825E4D7AF2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590675" y="112443895"/>
          <a:ext cx="1419860" cy="800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6" name="ID_36924BDCA83F4D10B68F8D3D9DECD519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852930" y="115585875"/>
          <a:ext cx="895350" cy="1104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7" name="ID_0484A8EC7A1A483CA191F5547CBFE553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2035175" y="117060345"/>
          <a:ext cx="530860" cy="13722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8" name="ID_F5AF57764F3E4A5D8ECE668CB1870EC9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521460" y="119324755"/>
          <a:ext cx="1558290" cy="919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9" name="ID_BE2184A43198441C9A149A81435800BA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565275" y="121130695"/>
          <a:ext cx="1470660" cy="756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0" name="ID_3BEE86F163744758B0E6EEC71509D11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818640" y="122786775"/>
          <a:ext cx="963930" cy="1028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1" name="ID_4A00A62D5BC5451B914F7C83B2438BF2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905000" y="95149035"/>
          <a:ext cx="943610" cy="12788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2" name="ID_3C6660278C6F43D48B6B5A0EB218E885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639570" y="100631625"/>
          <a:ext cx="815975" cy="11601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3" name="ID_2543A6939C7F4F8E82FD7613E20FBAFC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625600" y="98498660"/>
          <a:ext cx="843915" cy="1149985"/>
        </a:xfrm>
        <a:prstGeom prst="rect">
          <a:avLst/>
        </a:prstGeom>
      </xdr:spPr>
    </xdr:pic>
  </etc:cellImage>
  <etc:cellImage>
    <xdr:pic>
      <xdr:nvPicPr>
        <xdr:cNvPr id="324" name="ID_8C5D7447EA5A4A55B49E8D28FFAD2DEC" descr="贝尔培训桌.941"/>
        <xdr:cNvPicPr>
          <a:picLocks noChangeAspect="1"/>
        </xdr:cNvPicPr>
      </xdr:nvPicPr>
      <xdr:blipFill>
        <a:blip r:embed="rId82"/>
        <a:srcRect l="20500" t="15264" r="19327" b="8435"/>
        <a:stretch>
          <a:fillRect/>
        </a:stretch>
      </xdr:blipFill>
      <xdr:spPr>
        <a:xfrm>
          <a:off x="1518920" y="96045655"/>
          <a:ext cx="1056640" cy="961390"/>
        </a:xfrm>
        <a:prstGeom prst="rect">
          <a:avLst/>
        </a:prstGeom>
      </xdr:spPr>
    </xdr:pic>
  </etc:cellImage>
  <etc:cellImage>
    <xdr:pic>
      <xdr:nvPicPr>
        <xdr:cNvPr id="325" name="ID_83FB4A0580EB44AFB6EB5E76F124B0FD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553210" y="93050995"/>
          <a:ext cx="988695" cy="999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6" name="ID_4E183D71299D42F3AC377D3AA385A16E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675765" y="91234260"/>
          <a:ext cx="742950" cy="1082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7" name="ID_3EE444D40EA44B6A878CD4EA2F7EB118"/>
        <xdr:cNvPicPr>
          <a:picLocks noChangeAspect="1"/>
        </xdr:cNvPicPr>
      </xdr:nvPicPr>
      <xdr:blipFill>
        <a:blip r:embed="rId85"/>
        <a:srcRect r="912"/>
        <a:stretch>
          <a:fillRect/>
        </a:stretch>
      </xdr:blipFill>
      <xdr:spPr>
        <a:xfrm>
          <a:off x="1447165" y="89884885"/>
          <a:ext cx="1172210" cy="6203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8" name="ID_185F0CC1FCA749DCAF5539E2796A344C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1671320" y="87785575"/>
          <a:ext cx="752475" cy="10966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9" name="ID_96E02F5DAC8B44818F544649ABF8ADEF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647190" y="86289515"/>
          <a:ext cx="800100" cy="9455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0" name="ID_C1D25659C9A9400D9E86B10539BC19F9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435100" y="84608035"/>
          <a:ext cx="1224915" cy="499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1" name="ID_DAF769370E9241BC85A7994C2A288440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662430" y="82160110"/>
          <a:ext cx="770255" cy="1082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2" name="ID_2AFF487BE1BB440A87B48DC442811A94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553210" y="80051275"/>
          <a:ext cx="988695" cy="999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3" name="ID_D541B9A8CFB544AB9080277B620A2759" descr="84389ac3f61f76d95a08aa5c0c54c96"/>
        <xdr:cNvPicPr>
          <a:picLocks noChangeAspect="1"/>
        </xdr:cNvPicPr>
      </xdr:nvPicPr>
      <xdr:blipFill>
        <a:blip r:embed="rId90"/>
        <a:srcRect l="38910" t="11503" r="40083" b="9587"/>
        <a:stretch>
          <a:fillRect/>
        </a:stretch>
      </xdr:blipFill>
      <xdr:spPr>
        <a:xfrm>
          <a:off x="1673860" y="77752575"/>
          <a:ext cx="747395" cy="1525905"/>
        </a:xfrm>
        <a:prstGeom prst="rect">
          <a:avLst/>
        </a:prstGeom>
      </xdr:spPr>
    </xdr:pic>
  </etc:cellImage>
  <etc:cellImage>
    <xdr:pic>
      <xdr:nvPicPr>
        <xdr:cNvPr id="334" name="ID_B9578F2A47894F0EA272DEAF030F2F84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619250" y="75874880"/>
          <a:ext cx="856615" cy="1179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5" name="ID_2BCB95DA934043808FBBC46EF9E3FFDE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484630" y="73558400"/>
          <a:ext cx="1125220" cy="1435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6" name="ID_C60CF4801CA24E5BADC2987741BC533B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444625" y="71458455"/>
          <a:ext cx="1205230" cy="807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7" name="ID_1DB11C6122DE44DA9BEDA5D3882FB0D2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509395" y="68647945"/>
          <a:ext cx="1076325" cy="1036955"/>
        </a:xfrm>
        <a:prstGeom prst="rect">
          <a:avLst/>
        </a:prstGeom>
      </xdr:spPr>
    </xdr:pic>
  </etc:cellImage>
  <etc:cellImage>
    <xdr:pic>
      <xdr:nvPicPr>
        <xdr:cNvPr id="338" name="ID_B2D04D869CB74874986AD70A55B47B4B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588770" y="67120135"/>
          <a:ext cx="916940" cy="640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9" name="ID_24860900D001479A97F826D7B20AFEB2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578610" y="64887475"/>
          <a:ext cx="937895" cy="1114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0" name="ID_237401E8BC4446789DC2F0DBDFEF7CB5" descr="C:\Users\Administrator\Desktop\桌子.jpg"/>
        <xdr:cNvPicPr>
          <a:picLocks noChangeAspect="1"/>
        </xdr:cNvPicPr>
      </xdr:nvPicPr>
      <xdr:blipFill>
        <a:blip r:embed="rId97"/>
        <a:srcRect l="23897" t="41112" r="31577" b="9497"/>
        <a:stretch>
          <a:fillRect/>
        </a:stretch>
      </xdr:blipFill>
      <xdr:spPr>
        <a:xfrm>
          <a:off x="1525905" y="63006605"/>
          <a:ext cx="1042670" cy="712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1" name="ID_75935B10478F4AF48DAECA487EE69B8A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548765" y="61054615"/>
          <a:ext cx="996950" cy="996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2" name="ID_264E6C48776B46909285F32A3247B93D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1675130" y="59171205"/>
          <a:ext cx="744220" cy="1299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3" name="ID_A512D2A6F46441F79E1F2E9D699562B2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1630045" y="57426225"/>
          <a:ext cx="835025" cy="1141095"/>
        </a:xfrm>
        <a:prstGeom prst="rect">
          <a:avLst/>
        </a:prstGeom>
      </xdr:spPr>
    </xdr:pic>
  </etc:cellImage>
  <etc:cellImage>
    <xdr:pic>
      <xdr:nvPicPr>
        <xdr:cNvPr id="344" name="ID_8CC70CFF2C1C48688EB2F46CB24F11CA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1638300" y="55242460"/>
          <a:ext cx="818515" cy="11283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5" name="ID_B07A932FA1AC4877AD0A9D67CB52A319"/>
        <xdr:cNvPicPr>
          <a:picLocks noChangeAspect="1"/>
        </xdr:cNvPicPr>
      </xdr:nvPicPr>
      <xdr:blipFill>
        <a:blip r:embed="rId102"/>
        <a:srcRect l="3004" r="12446"/>
        <a:stretch>
          <a:fillRect/>
        </a:stretch>
      </xdr:blipFill>
      <xdr:spPr>
        <a:xfrm>
          <a:off x="1466850" y="53202840"/>
          <a:ext cx="1161415" cy="657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6" name="ID_857E3D7B10A74960B044D50E0B6604BA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1557020" y="50284380"/>
          <a:ext cx="980440" cy="1273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7" name="ID_CE758D3930874085B4A1566AF291B5E8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1654175" y="47665640"/>
          <a:ext cx="786765" cy="11233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8" name="ID_63574B68332E43DCB9637B0C964BB8E6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1477645" y="44464605"/>
          <a:ext cx="1139190" cy="1108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9" name="ID_67BA2AB373B6419B814CD4A5176521F3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1472565" y="41310560"/>
          <a:ext cx="1149350" cy="898525"/>
        </a:xfrm>
        <a:prstGeom prst="rect">
          <a:avLst/>
        </a:prstGeom>
      </xdr:spPr>
    </xdr:pic>
  </etc:cellImage>
  <etc:cellImage>
    <xdr:pic>
      <xdr:nvPicPr>
        <xdr:cNvPr id="350" name="ID_DCD9F1EB604D4A8EAB00E2BE9ECFFEF5"/>
        <xdr:cNvPicPr>
          <a:picLocks noChangeAspect="1"/>
        </xdr:cNvPicPr>
      </xdr:nvPicPr>
      <xdr:blipFill>
        <a:blip r:embed="rId107"/>
        <a:srcRect l="8411" t="14671" r="6647"/>
        <a:stretch>
          <a:fillRect/>
        </a:stretch>
      </xdr:blipFill>
      <xdr:spPr>
        <a:xfrm>
          <a:off x="1518285" y="38515290"/>
          <a:ext cx="1058545" cy="1108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1" name="ID_297B515BF34F468AB6FE221FE2FBEFAD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1605915" y="35489515"/>
          <a:ext cx="883285" cy="10306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2" name="ID_384A34CCBAE64A0B95A3939507EA5643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450340" y="32778065"/>
          <a:ext cx="1193800" cy="8597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3" name="ID_6B76F40AB2E24C1DAB0CC3FB05C1F0F1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1654175" y="30010100"/>
          <a:ext cx="786765" cy="11233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4" name="ID_638F7943B8F240FABEFE51981B4F26C3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438275" y="27098625"/>
          <a:ext cx="1218565" cy="952500"/>
        </a:xfrm>
        <a:prstGeom prst="rect">
          <a:avLst/>
        </a:prstGeom>
      </xdr:spPr>
    </xdr:pic>
  </etc:cellImage>
  <etc:cellImage>
    <xdr:pic>
      <xdr:nvPicPr>
        <xdr:cNvPr id="355" name="ID_56E8B9F09956491287254D03565C03F7"/>
        <xdr:cNvPicPr>
          <a:picLocks noChangeAspect="1"/>
        </xdr:cNvPicPr>
      </xdr:nvPicPr>
      <xdr:blipFill>
        <a:blip r:embed="rId111"/>
        <a:srcRect l="8411" t="14671" r="6647"/>
        <a:stretch>
          <a:fillRect/>
        </a:stretch>
      </xdr:blipFill>
      <xdr:spPr>
        <a:xfrm>
          <a:off x="1545590" y="24223980"/>
          <a:ext cx="1003935" cy="1050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6" name="ID_B7087FC3D5784434BC4BD10E000BCF06" descr="单体"/>
        <xdr:cNvPicPr>
          <a:picLocks noChangeAspect="1"/>
        </xdr:cNvPicPr>
      </xdr:nvPicPr>
      <xdr:blipFill>
        <a:blip r:embed="rId112"/>
        <a:srcRect l="28969" t="18403" r="30438" b="11510"/>
        <a:stretch>
          <a:fillRect/>
        </a:stretch>
      </xdr:blipFill>
      <xdr:spPr>
        <a:xfrm>
          <a:off x="1651635" y="21488400"/>
          <a:ext cx="791845" cy="821055"/>
        </a:xfrm>
        <a:prstGeom prst="rect">
          <a:avLst/>
        </a:prstGeom>
      </xdr:spPr>
    </xdr:pic>
  </etc:cellImage>
  <etc:cellImage>
    <xdr:pic>
      <xdr:nvPicPr>
        <xdr:cNvPr id="357" name="ID_CFEC74567D7E40C294424F5CC903EDD1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592580" y="19519900"/>
          <a:ext cx="909320" cy="5327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8" name="ID_9559D9BE0C294007B7426D58A418915A"/>
        <xdr:cNvPicPr>
          <a:picLocks noChangeAspect="1"/>
        </xdr:cNvPicPr>
      </xdr:nvPicPr>
      <xdr:blipFill>
        <a:blip r:embed="rId114"/>
        <a:srcRect l="8411" t="14671" r="6647"/>
        <a:stretch>
          <a:fillRect/>
        </a:stretch>
      </xdr:blipFill>
      <xdr:spPr>
        <a:xfrm>
          <a:off x="1536065" y="1854835"/>
          <a:ext cx="1022350" cy="10706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9" name="ID_DBDBF1CBF60644729D7C3B76302C50CE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1447165" y="4242435"/>
          <a:ext cx="1200785" cy="349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0" name="ID_CEB6A5A51D5041FDA1A48375DF532803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1442720" y="7467600"/>
          <a:ext cx="1209040" cy="857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1" name="ID_0C651483B53F4371B0CDFF3FAA4DC62D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444625" y="11122025"/>
          <a:ext cx="1205865" cy="1000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2" name="ID_636D6739C7DF4C878550B27D4FB097B0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 flipH="1">
          <a:off x="1574165" y="12887960"/>
          <a:ext cx="946785" cy="1048385"/>
        </a:xfrm>
        <a:prstGeom prst="rect">
          <a:avLst/>
        </a:prstGeom>
      </xdr:spPr>
    </xdr:pic>
  </etc:cellImage>
  <etc:cellImage>
    <xdr:pic>
      <xdr:nvPicPr>
        <xdr:cNvPr id="363" name="ID_7A8B49F4FDA04A93AD9BFB668E9625D8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647190" y="14416405"/>
          <a:ext cx="800735" cy="13106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4" name="ID_DB3A832C377C4B8781C7CBFEF4ADE58F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1713865" y="15887700"/>
          <a:ext cx="667385" cy="1330325"/>
        </a:xfrm>
        <a:prstGeom prst="rect">
          <a:avLst/>
        </a:prstGeom>
      </xdr:spPr>
    </xdr:pic>
  </etc:cellImage>
  <etc:cellImage>
    <xdr:pic>
      <xdr:nvPicPr>
        <xdr:cNvPr id="365" name="ID_6EDBBDB664C94AF9997FA2924C9669EB"/>
        <xdr:cNvPicPr>
          <a:picLocks noChangeAspect="1"/>
        </xdr:cNvPicPr>
      </xdr:nvPicPr>
      <xdr:blipFill>
        <a:blip r:embed="rId121"/>
        <a:srcRect r="57850"/>
        <a:stretch>
          <a:fillRect/>
        </a:stretch>
      </xdr:blipFill>
      <xdr:spPr>
        <a:xfrm>
          <a:off x="1758950" y="17480280"/>
          <a:ext cx="577215" cy="1164590"/>
        </a:xfrm>
        <a:prstGeom prst="rect">
          <a:avLst/>
        </a:prstGeom>
      </xdr:spPr>
    </xdr:pic>
  </etc:cellImage>
  <etc:cellImage>
    <xdr:pic>
      <xdr:nvPicPr>
        <xdr:cNvPr id="366" name="ID_06E6AE36827849FD98B852BF51521638" descr="84389ac3f61f76d95a08aa5c0c54c96"/>
        <xdr:cNvPicPr>
          <a:picLocks noChangeAspect="1"/>
        </xdr:cNvPicPr>
      </xdr:nvPicPr>
      <xdr:blipFill>
        <a:blip r:embed="rId122"/>
        <a:srcRect l="38910" t="11503" r="40083" b="9587"/>
        <a:stretch>
          <a:fillRect/>
        </a:stretch>
      </xdr:blipFill>
      <xdr:spPr>
        <a:xfrm>
          <a:off x="1941195" y="75395455"/>
          <a:ext cx="720090" cy="1470025"/>
        </a:xfrm>
        <a:prstGeom prst="rect">
          <a:avLst/>
        </a:prstGeom>
      </xdr:spPr>
    </xdr:pic>
  </etc:cellImage>
  <etc:cellImage>
    <xdr:pic>
      <xdr:nvPicPr>
        <xdr:cNvPr id="367" name="ID_F3017C6E4D5C444E9C0D6F81D1C4D61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863090" y="73278365"/>
          <a:ext cx="876300" cy="1206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8" name="ID_8427496C14584BB197B7A033AB83A745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669415" y="71021575"/>
          <a:ext cx="1263650" cy="1184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9" name="ID_901B98455AFD424E9A8C8DE2C2BBC120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1901825" y="69144515"/>
          <a:ext cx="798830" cy="11639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0" name="ID_9FB5C2A46A104AAFA4B872B585FE0B45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1510665" y="67750690"/>
          <a:ext cx="1581785" cy="644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1" name="ID_53ABE460851A4419AA33FB457B4D717E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807210" y="65468500"/>
          <a:ext cx="988695" cy="999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2" name="ID_A84DA9234E554EFAB5987252A8EE22CB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1888490" y="63218060"/>
          <a:ext cx="825500" cy="11601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3" name="ID_F3C5125BF8584954BDC475A898E5B8F2" descr="84389ac3f61f76d95a08aa5c0c54c96"/>
        <xdr:cNvPicPr>
          <a:picLocks noChangeAspect="1"/>
        </xdr:cNvPicPr>
      </xdr:nvPicPr>
      <xdr:blipFill>
        <a:blip r:embed="rId90"/>
        <a:srcRect l="38910" t="11503" r="40083" b="9587"/>
        <a:stretch>
          <a:fillRect/>
        </a:stretch>
      </xdr:blipFill>
      <xdr:spPr>
        <a:xfrm>
          <a:off x="1927860" y="60881260"/>
          <a:ext cx="747395" cy="1525905"/>
        </a:xfrm>
        <a:prstGeom prst="rect">
          <a:avLst/>
        </a:prstGeom>
      </xdr:spPr>
    </xdr:pic>
  </etc:cellImage>
  <etc:cellImage>
    <xdr:pic>
      <xdr:nvPicPr>
        <xdr:cNvPr id="374" name="ID_06E34E1397254FD6B65939FEFFB9DB72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863090" y="58811160"/>
          <a:ext cx="876300" cy="1206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5" name="ID_BAF91211A77E44C8BCB26DAD219DDC25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1832610" y="54817010"/>
          <a:ext cx="937260" cy="937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6" name="ID_0D745D05623F4B79AE3C3F67800BC391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1450340" y="53306345"/>
          <a:ext cx="1702435" cy="1133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7" name="ID_3129945CFB674858B1BA6331A7BCA0CA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1444625" y="51379120"/>
          <a:ext cx="1713865" cy="9099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8" name="ID_69C19E7B4DB34330B6CC08C8EFB6E150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1627505" y="48886745"/>
          <a:ext cx="1348105" cy="1247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9" name="ID_4CE814A91568495B99F34E9112ED188F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524635" y="46862365"/>
          <a:ext cx="1553210" cy="1402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0" name="ID_682670596C39421DBF45C961F094CB3B" descr="84389ac3f61f76d95a08aa5c0c54c96"/>
        <xdr:cNvPicPr>
          <a:picLocks noChangeAspect="1"/>
        </xdr:cNvPicPr>
      </xdr:nvPicPr>
      <xdr:blipFill>
        <a:blip r:embed="rId90"/>
        <a:srcRect l="38910" t="11503" r="40083" b="9587"/>
        <a:stretch>
          <a:fillRect/>
        </a:stretch>
      </xdr:blipFill>
      <xdr:spPr>
        <a:xfrm>
          <a:off x="1927860" y="44749720"/>
          <a:ext cx="747395" cy="1525905"/>
        </a:xfrm>
        <a:prstGeom prst="rect">
          <a:avLst/>
        </a:prstGeom>
      </xdr:spPr>
    </xdr:pic>
  </etc:cellImage>
  <etc:cellImage>
    <xdr:pic>
      <xdr:nvPicPr>
        <xdr:cNvPr id="381" name="ID_4548B8BFC4EB4601A2CF54C4153FB31F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863090" y="42630725"/>
          <a:ext cx="876300" cy="1206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2" name="ID_871DEE5AA8DA47A895337171F2B30AE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535430" y="40439975"/>
          <a:ext cx="1532255" cy="925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3" name="ID_1E61FC0A8DA24147BEFD45D98243D38C" descr="2d0877525402ee425737d4419aacf82b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678305" y="37404675"/>
          <a:ext cx="1245870" cy="1498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4" name="ID_C96157DF785D4BEB98E7E5F40B78401B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1496695" y="35328225"/>
          <a:ext cx="1609725" cy="1177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5" name="ID_A2E1E144472D4922B59E128136012806"/>
        <xdr:cNvPicPr>
          <a:picLocks noChangeAspect="1"/>
        </xdr:cNvPicPr>
      </xdr:nvPicPr>
      <xdr:blipFill>
        <a:blip r:embed="rId135"/>
        <a:srcRect l="8105" t="-1173" r="10266" b="11437"/>
        <a:stretch>
          <a:fillRect/>
        </a:stretch>
      </xdr:blipFill>
      <xdr:spPr>
        <a:xfrm>
          <a:off x="1630045" y="33579435"/>
          <a:ext cx="1343025" cy="97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6" name="ID_FB6D4554EBB8455B8D12C5FAFF11603B"/>
        <xdr:cNvPicPr>
          <a:picLocks noChangeAspect="1"/>
        </xdr:cNvPicPr>
      </xdr:nvPicPr>
      <xdr:blipFill>
        <a:blip r:embed="rId136"/>
        <a:srcRect l="8281" t="11093" r="21174" b="4830"/>
        <a:stretch>
          <a:fillRect/>
        </a:stretch>
      </xdr:blipFill>
      <xdr:spPr>
        <a:xfrm>
          <a:off x="1630045" y="31995745"/>
          <a:ext cx="1342390" cy="1057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7" name="ID_A7DED97FC76B46A5A3477EBFC3EB831E"/>
        <xdr:cNvPicPr>
          <a:picLocks noChangeAspect="1"/>
        </xdr:cNvPicPr>
      </xdr:nvPicPr>
      <xdr:blipFill>
        <a:blip r:embed="rId137"/>
        <a:srcRect l="8281" t="11093" r="21174" b="4830"/>
        <a:stretch>
          <a:fillRect/>
        </a:stretch>
      </xdr:blipFill>
      <xdr:spPr>
        <a:xfrm>
          <a:off x="1616710" y="30688915"/>
          <a:ext cx="1369060" cy="10782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8" name="ID_A90DD890876D4082B62B88469C19CA73"/>
        <xdr:cNvPicPr>
          <a:picLocks noChangeAspect="1"/>
        </xdr:cNvPicPr>
      </xdr:nvPicPr>
      <xdr:blipFill>
        <a:blip r:embed="rId138"/>
        <a:srcRect l="10719" t="8659" r="10782" b="7961"/>
        <a:stretch>
          <a:fillRect/>
        </a:stretch>
      </xdr:blipFill>
      <xdr:spPr>
        <a:xfrm>
          <a:off x="1482725" y="28526105"/>
          <a:ext cx="1637665" cy="13125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9" name="ID_29AA21CD3FE9496594678A8FABE465C9" descr="TY01 (2)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1497330" y="25840690"/>
          <a:ext cx="1608455" cy="10947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0" name="ID_E66AD2338E7A47F3AE2B9ACEEBB4CF20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1600200" y="23176230"/>
          <a:ext cx="1402715" cy="1028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1" name="ID_7D4FED95FD8D4F03B46E7BCF8FDED6C8"/>
        <xdr:cNvPicPr>
          <a:picLocks noChangeAspect="1"/>
        </xdr:cNvPicPr>
      </xdr:nvPicPr>
      <xdr:blipFill>
        <a:blip r:embed="rId141"/>
        <a:srcRect l="6325" t="14303" r="9857" b="12459"/>
        <a:stretch>
          <a:fillRect/>
        </a:stretch>
      </xdr:blipFill>
      <xdr:spPr>
        <a:xfrm>
          <a:off x="1507490" y="3201670"/>
          <a:ext cx="1588135" cy="1044575"/>
        </a:xfrm>
        <a:prstGeom prst="rect">
          <a:avLst/>
        </a:prstGeom>
      </xdr:spPr>
    </xdr:pic>
  </etc:cellImage>
  <etc:cellImage>
    <xdr:pic>
      <xdr:nvPicPr>
        <xdr:cNvPr id="392" name="ID_BD5129FEA5D142D78931BE813C3B17F2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1600200" y="5899785"/>
          <a:ext cx="1402715" cy="1028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3" name="ID_9B7853DDD4A64C0CA6C30B0A5A80D35C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535430" y="8362315"/>
          <a:ext cx="1532255" cy="925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4" name="ID_5D44236CF8DB4A28980D9B87ADABB1A5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863090" y="10669270"/>
          <a:ext cx="876300" cy="1206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5" name="ID_18E65CD3FFFA4D11B68F2136A90576C2" descr="84389ac3f61f76d95a08aa5c0c54c96"/>
        <xdr:cNvPicPr>
          <a:picLocks noChangeAspect="1"/>
        </xdr:cNvPicPr>
      </xdr:nvPicPr>
      <xdr:blipFill>
        <a:blip r:embed="rId90"/>
        <a:srcRect l="38910" t="11503" r="40083" b="9587"/>
        <a:stretch>
          <a:fillRect/>
        </a:stretch>
      </xdr:blipFill>
      <xdr:spPr>
        <a:xfrm>
          <a:off x="1927860" y="12792075"/>
          <a:ext cx="747395" cy="1525905"/>
        </a:xfrm>
        <a:prstGeom prst="rect">
          <a:avLst/>
        </a:prstGeom>
      </xdr:spPr>
    </xdr:pic>
  </etc:cellImage>
  <etc:cellImage>
    <xdr:pic>
      <xdr:nvPicPr>
        <xdr:cNvPr id="396" name="ID_74201AD59B194C828AACBD78CE1AF740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1854200" y="15410815"/>
          <a:ext cx="894080" cy="1336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7" name="ID_599BC45C9C1545C9955FA90C966BE3E5"/>
        <xdr:cNvPicPr>
          <a:picLocks noChangeAspect="1"/>
        </xdr:cNvPicPr>
      </xdr:nvPicPr>
      <xdr:blipFill>
        <a:blip r:embed="rId143"/>
        <a:srcRect t="14518"/>
        <a:stretch>
          <a:fillRect/>
        </a:stretch>
      </xdr:blipFill>
      <xdr:spPr>
        <a:xfrm>
          <a:off x="1555115" y="17489170"/>
          <a:ext cx="1492250" cy="795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8" name="ID_720C7E594CFB4845B2CE4C482582621B"/>
        <xdr:cNvPicPr>
          <a:picLocks noChangeAspect="1"/>
        </xdr:cNvPicPr>
      </xdr:nvPicPr>
      <xdr:blipFill>
        <a:blip r:embed="rId144"/>
        <a:srcRect l="6325" t="14303" r="9857" b="12459"/>
        <a:stretch>
          <a:fillRect/>
        </a:stretch>
      </xdr:blipFill>
      <xdr:spPr>
        <a:xfrm>
          <a:off x="1524000" y="20353020"/>
          <a:ext cx="1555115" cy="1022350"/>
        </a:xfrm>
        <a:prstGeom prst="rect">
          <a:avLst/>
        </a:prstGeom>
      </xdr:spPr>
    </xdr:pic>
  </etc:cellImage>
  <etc:cellImage>
    <xdr:pic>
      <xdr:nvPicPr>
        <xdr:cNvPr id="399" name="ID_5E07165414A24665A2AD0350EC79F2B3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1753870" y="4170680"/>
          <a:ext cx="1093470" cy="1633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0" name="ID_CEF774685FDF4664BEC6E8A0E37B0E58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1529080" y="6803390"/>
          <a:ext cx="1543050" cy="9658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1" name="ID_E8740356BF4C4C2F908EF1069B81D305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1849120" y="1612900"/>
          <a:ext cx="903605" cy="1482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2" name="ID_3F7ED1BEE47A497C8B113E2A703A7053"/>
        <xdr:cNvPicPr>
          <a:picLocks noChangeAspect="1"/>
        </xdr:cNvPicPr>
      </xdr:nvPicPr>
      <xdr:blipFill>
        <a:blip r:embed="rId148"/>
        <a:srcRect r="2101"/>
        <a:stretch>
          <a:fillRect/>
        </a:stretch>
      </xdr:blipFill>
      <xdr:spPr>
        <a:xfrm>
          <a:off x="1988185" y="14523720"/>
          <a:ext cx="671195" cy="895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3" name="ID_C95A86D111274D04879CE200F02AD3F4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1661795" y="12231370"/>
          <a:ext cx="1324610" cy="1061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4" name="ID_EDCAAA509003441F882ECFED328157A7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1663065" y="9490710"/>
          <a:ext cx="1321435" cy="1040130"/>
        </a:xfrm>
        <a:prstGeom prst="rect">
          <a:avLst/>
        </a:prstGeom>
      </xdr:spPr>
    </xdr:pic>
  </etc:cellImage>
  <etc:cellImage>
    <xdr:pic>
      <xdr:nvPicPr>
        <xdr:cNvPr id="405" name="ID_59B1C48C8BBE407BB8657C11F9102263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829435" y="7356475"/>
          <a:ext cx="988695" cy="999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6" name="ID_002883EF4C774699ACD060987467AC85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1889760" y="5182235"/>
          <a:ext cx="868045" cy="11385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7" name="ID_85DA82B772E244208452084A8A9444F8"/>
        <xdr:cNvPicPr>
          <a:picLocks noChangeAspect="1"/>
        </xdr:cNvPicPr>
      </xdr:nvPicPr>
      <xdr:blipFill>
        <a:blip r:embed="rId148"/>
        <a:srcRect r="2101"/>
        <a:stretch>
          <a:fillRect/>
        </a:stretch>
      </xdr:blipFill>
      <xdr:spPr>
        <a:xfrm>
          <a:off x="1988185" y="3531870"/>
          <a:ext cx="671195" cy="895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8" name="ID_E576AECB9A2A428BA7C280F797AA4B98" descr="DEC-艾德"/>
        <xdr:cNvPicPr>
          <a:picLocks noChangeAspect="1"/>
        </xdr:cNvPicPr>
      </xdr:nvPicPr>
      <xdr:blipFill>
        <a:blip r:embed="rId152"/>
        <a:srcRect l="17760" r="22557"/>
        <a:stretch>
          <a:fillRect/>
        </a:stretch>
      </xdr:blipFill>
      <xdr:spPr>
        <a:xfrm>
          <a:off x="1784350" y="1644650"/>
          <a:ext cx="1079500" cy="1110615"/>
        </a:xfrm>
        <a:prstGeom prst="rect">
          <a:avLst/>
        </a:prstGeom>
      </xdr:spPr>
    </xdr:pic>
  </etc:cellImage>
  <etc:cellImage>
    <xdr:pic>
      <xdr:nvPicPr>
        <xdr:cNvPr id="409" name="ID_FE1D02956AC1467E8EC7679E4D6CCE7A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2014855" y="50409475"/>
          <a:ext cx="825500" cy="11601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0" name="ID_1456E708D5984C3B985D5252629B8556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932940" y="48463200"/>
          <a:ext cx="988695" cy="999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1" name="ID_026EEC05751840B7AF7A2825684AA0E6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1766570" y="46422310"/>
          <a:ext cx="1321435" cy="1106805"/>
        </a:xfrm>
        <a:prstGeom prst="rect">
          <a:avLst/>
        </a:prstGeom>
      </xdr:spPr>
    </xdr:pic>
  </etc:cellImage>
  <etc:cellImage>
    <xdr:pic>
      <xdr:nvPicPr>
        <xdr:cNvPr id="412" name="ID_7ABFA472FA8F4FC2B74E9DA9EA3A9D60"/>
        <xdr:cNvPicPr>
          <a:picLocks noChangeAspect="1"/>
        </xdr:cNvPicPr>
      </xdr:nvPicPr>
      <xdr:blipFill>
        <a:blip r:embed="rId148"/>
        <a:srcRect r="2101"/>
        <a:stretch>
          <a:fillRect/>
        </a:stretch>
      </xdr:blipFill>
      <xdr:spPr>
        <a:xfrm>
          <a:off x="2091690" y="44622085"/>
          <a:ext cx="671195" cy="895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3" name="ID_48A1D9DBF5ED43138E408447885CF82B" descr="DEC-艾德"/>
        <xdr:cNvPicPr>
          <a:picLocks noChangeAspect="1"/>
        </xdr:cNvPicPr>
      </xdr:nvPicPr>
      <xdr:blipFill>
        <a:blip r:embed="rId153"/>
        <a:srcRect l="17760" r="22557"/>
        <a:stretch>
          <a:fillRect/>
        </a:stretch>
      </xdr:blipFill>
      <xdr:spPr>
        <a:xfrm>
          <a:off x="1887855" y="42557700"/>
          <a:ext cx="1079500" cy="994410"/>
        </a:xfrm>
        <a:prstGeom prst="rect">
          <a:avLst/>
        </a:prstGeom>
      </xdr:spPr>
    </xdr:pic>
  </etc:cellImage>
  <etc:cellImage>
    <xdr:pic>
      <xdr:nvPicPr>
        <xdr:cNvPr id="414" name="ID_B3BAA4AEFAE74B6D9009A566AE8AA1C3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918335" y="40095170"/>
          <a:ext cx="1018540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5" name="ID_6C8FC7F4F64E49C6BC34A9E524ADC62C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1904365" y="38134290"/>
          <a:ext cx="1045845" cy="10941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6" name="ID_E1E5DFE5E74F4F2394274D53DBCB8AB3" descr="OP-F5907.jpg"/>
        <xdr:cNvPicPr>
          <a:picLocks noChangeAspect="1" noChangeArrowheads="1"/>
        </xdr:cNvPicPr>
      </xdr:nvPicPr>
      <xdr:blipFill>
        <a:blip r:embed="rId156"/>
        <a:srcRect l="716" t="9120" b="7782"/>
        <a:stretch>
          <a:fillRect/>
        </a:stretch>
      </xdr:blipFill>
      <xdr:spPr>
        <a:xfrm>
          <a:off x="1572895" y="36726495"/>
          <a:ext cx="1708785" cy="909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417" name="ID_A1A5765563D843F28E789DFAE7B5582C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2026920" y="34825305"/>
          <a:ext cx="800735" cy="897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8" name="ID_E4CF845611774FE9B7159E050CB97709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2032000" y="33080960"/>
          <a:ext cx="791210" cy="803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9" name="ID_31EA63F879EE4A54B55BFD4FE4254540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1745615" y="31810325"/>
          <a:ext cx="1363980" cy="6559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0" name="ID_B844BC0AEC2A43E3A932DA624454B8E9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1866265" y="30200600"/>
          <a:ext cx="1122680" cy="972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1" name="ID_E83E86CAC30445979A6100E3129EF7EF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2032635" y="28305125"/>
          <a:ext cx="789940" cy="1028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2" name="ID_504790ABFCC24FE19516DF333FDD9C15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1696085" y="26089610"/>
          <a:ext cx="1463040" cy="1337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3" name="ID_8B876DA71AFD4010B6AB82E36572190C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1525905" y="24248110"/>
          <a:ext cx="1802765" cy="803910"/>
        </a:xfrm>
        <a:prstGeom prst="rect">
          <a:avLst/>
        </a:prstGeom>
      </xdr:spPr>
    </xdr:pic>
  </etc:cellImage>
  <etc:cellImage>
    <xdr:pic>
      <xdr:nvPicPr>
        <xdr:cNvPr id="424" name="ID_756DD0BB2FB242DC9FB161861B924179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1969135" y="22304375"/>
          <a:ext cx="916940" cy="1189990"/>
        </a:xfrm>
        <a:prstGeom prst="rect">
          <a:avLst/>
        </a:prstGeom>
      </xdr:spPr>
    </xdr:pic>
  </etc:cellImage>
  <etc:cellImage>
    <xdr:pic>
      <xdr:nvPicPr>
        <xdr:cNvPr id="425" name="ID_ABA3544B926E47129952EF01D1037407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1745615" y="2065020"/>
          <a:ext cx="1363345" cy="8337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6" name="ID_4FAB21CED80947859B7A85722F1BD2A8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2004060" y="4112260"/>
          <a:ext cx="846455" cy="1045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7" name="ID_6FD3BBF8EE9D483D8FEF55B0DD161D1B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1941195" y="5885180"/>
          <a:ext cx="972185" cy="1314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8" name="ID_704FA6F49D454F27A62405FDCEFB5906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1787525" y="9048750"/>
          <a:ext cx="1280160" cy="160909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29" name="ID_0F0864B4D8C24F3AAFF14A413A9D1175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795780" y="12815570"/>
          <a:ext cx="1263650" cy="1184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0" name="ID_C5D07301192D41CC86DC379A030B11D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989455" y="15179675"/>
          <a:ext cx="876300" cy="1206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1" name="ID_23A1DAA869EE463FA42E3D0B02CF46C9" descr="84389ac3f61f76d95a08aa5c0c54c96"/>
        <xdr:cNvPicPr>
          <a:picLocks noChangeAspect="1"/>
        </xdr:cNvPicPr>
      </xdr:nvPicPr>
      <xdr:blipFill>
        <a:blip r:embed="rId169"/>
        <a:srcRect l="38910" t="11503" r="40083" b="9587"/>
        <a:stretch>
          <a:fillRect/>
        </a:stretch>
      </xdr:blipFill>
      <xdr:spPr>
        <a:xfrm>
          <a:off x="2070735" y="17461865"/>
          <a:ext cx="713740" cy="1457325"/>
        </a:xfrm>
        <a:prstGeom prst="rect">
          <a:avLst/>
        </a:prstGeom>
      </xdr:spPr>
    </xdr:pic>
  </etc:cellImage>
  <etc:cellImage>
    <xdr:pic>
      <xdr:nvPicPr>
        <xdr:cNvPr id="432" name="ID_853C6C80D2D249239BFFFD23D8EC9100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1588135" y="20059015"/>
          <a:ext cx="1678305" cy="1442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3" name="ID_C00353B000B14C23BBB54B2C95408395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1360805" y="100070285"/>
          <a:ext cx="1249680" cy="6934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4" name="ID_7B948B9EF63347FD9C33A83A92B02A15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1630680" y="98422460"/>
          <a:ext cx="710565" cy="9029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5" name="ID_6B01EDEF500240D090FD256DF2B0BCEA"/>
        <xdr:cNvPicPr>
          <a:picLocks noChangeAspect="1"/>
        </xdr:cNvPicPr>
      </xdr:nvPicPr>
      <xdr:blipFill>
        <a:blip r:embed="rId173"/>
        <a:srcRect t="13893" b="9012"/>
        <a:stretch>
          <a:fillRect/>
        </a:stretch>
      </xdr:blipFill>
      <xdr:spPr>
        <a:xfrm>
          <a:off x="1323975" y="96560005"/>
          <a:ext cx="1323975" cy="1243330"/>
        </a:xfrm>
        <a:prstGeom prst="rect">
          <a:avLst/>
        </a:prstGeom>
      </xdr:spPr>
    </xdr:pic>
  </etc:cellImage>
  <etc:cellImage>
    <xdr:pic>
      <xdr:nvPicPr>
        <xdr:cNvPr id="436" name="ID_457F6F3C16CD46A282445AE95F889CE3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1366520" y="95211265"/>
          <a:ext cx="1238885" cy="668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7" name="ID_A02A1A17D0C14C9A9A0AE3EC5E1A71D3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1517650" y="93827600"/>
          <a:ext cx="936625" cy="9169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8" name="ID_56EB0E29DAC44BA5A8606DE0351505AF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1383665" y="92480765"/>
          <a:ext cx="1203960" cy="7791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9" name="ID_E9D285B2F8EA497D95A846B2688A496A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1460500" y="90584655"/>
          <a:ext cx="1050925" cy="955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0" name="ID_F84E97D9786E41E2912A10AE5CE42B2B"/>
        <xdr:cNvPicPr>
          <a:picLocks noChangeAspect="1"/>
        </xdr:cNvPicPr>
      </xdr:nvPicPr>
      <xdr:blipFill>
        <a:blip r:embed="rId178"/>
        <a:srcRect l="-414"/>
        <a:stretch>
          <a:fillRect/>
        </a:stretch>
      </xdr:blipFill>
      <xdr:spPr>
        <a:xfrm>
          <a:off x="1600200" y="88139270"/>
          <a:ext cx="771525" cy="1607185"/>
        </a:xfrm>
        <a:prstGeom prst="rect">
          <a:avLst/>
        </a:prstGeom>
      </xdr:spPr>
    </xdr:pic>
  </etc:cellImage>
  <etc:cellImage>
    <xdr:pic>
      <xdr:nvPicPr>
        <xdr:cNvPr id="441" name="ID_73DBEF1E665844E1B677AEF79282FEEC"/>
        <xdr:cNvPicPr>
          <a:picLocks noChangeAspect="1"/>
        </xdr:cNvPicPr>
      </xdr:nvPicPr>
      <xdr:blipFill>
        <a:blip r:embed="rId178"/>
        <a:srcRect l="-414"/>
        <a:stretch>
          <a:fillRect/>
        </a:stretch>
      </xdr:blipFill>
      <xdr:spPr>
        <a:xfrm>
          <a:off x="1600200" y="85989795"/>
          <a:ext cx="771525" cy="1607185"/>
        </a:xfrm>
        <a:prstGeom prst="rect">
          <a:avLst/>
        </a:prstGeom>
      </xdr:spPr>
    </xdr:pic>
  </etc:cellImage>
  <etc:cellImage>
    <xdr:pic>
      <xdr:nvPicPr>
        <xdr:cNvPr id="442" name="ID_1F342128D38B4552A958AA4AA1FD02F0"/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424940" y="84300695"/>
          <a:ext cx="1122045" cy="1117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3" name="ID_CF329A96F8BF4CA790C49767EEA004E2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1289685" y="82812890"/>
          <a:ext cx="1391920" cy="664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4" name="ID_1B5C44ECFB2A4307A22552A2585E7777"/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1492250" y="80755490"/>
          <a:ext cx="987425" cy="9753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5" name="ID_C9F19D5E71164DE19429B7D89C992760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430655" y="78489810"/>
          <a:ext cx="1110615" cy="1258570"/>
        </a:xfrm>
        <a:prstGeom prst="rect">
          <a:avLst/>
        </a:prstGeom>
      </xdr:spPr>
    </xdr:pic>
  </etc:cellImage>
  <etc:cellImage>
    <xdr:pic>
      <xdr:nvPicPr>
        <xdr:cNvPr id="446" name="ID_7BF8B81D82B148C690B9A68C9ED7EB9B"/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1328420" y="76642595"/>
          <a:ext cx="1314450" cy="61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7" name="ID_76A33096171B4D70832561AF0899D35A" descr="VR-PhysCamera003_240323037a43e2315"/>
        <xdr:cNvPicPr>
          <a:picLocks noChangeAspect="1"/>
        </xdr:cNvPicPr>
      </xdr:nvPicPr>
      <xdr:blipFill>
        <a:blip r:embed="rId184"/>
        <a:srcRect l="7523" r="7222"/>
        <a:stretch>
          <a:fillRect/>
        </a:stretch>
      </xdr:blipFill>
      <xdr:spPr>
        <a:xfrm>
          <a:off x="1403350" y="74827130"/>
          <a:ext cx="1164590" cy="875665"/>
        </a:xfrm>
        <a:prstGeom prst="rect">
          <a:avLst/>
        </a:prstGeom>
      </xdr:spPr>
    </xdr:pic>
  </etc:cellImage>
  <etc:cellImage>
    <xdr:pic>
      <xdr:nvPicPr>
        <xdr:cNvPr id="448" name="ID_B0DB97F27ED44782B59EA9522A6FD695" descr="image-removebg-preview (10)"/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1365250" y="73178670"/>
          <a:ext cx="1241425" cy="756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9" name="ID_217B48EBB3A54A9CBD10CEB6C163E380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1630680" y="71141590"/>
          <a:ext cx="710565" cy="9029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0" name="ID_785B59F95FA245A7ADBD64981EAA948C"/>
        <xdr:cNvPicPr>
          <a:picLocks noChangeAspect="1"/>
        </xdr:cNvPicPr>
      </xdr:nvPicPr>
      <xdr:blipFill>
        <a:blip r:embed="rId173"/>
        <a:srcRect t="13893" b="9012"/>
        <a:stretch>
          <a:fillRect/>
        </a:stretch>
      </xdr:blipFill>
      <xdr:spPr>
        <a:xfrm>
          <a:off x="1323975" y="69260720"/>
          <a:ext cx="1323975" cy="1270635"/>
        </a:xfrm>
        <a:prstGeom prst="rect">
          <a:avLst/>
        </a:prstGeom>
      </xdr:spPr>
    </xdr:pic>
  </etc:cellImage>
  <etc:cellImage>
    <xdr:pic>
      <xdr:nvPicPr>
        <xdr:cNvPr id="451" name="ID_BE0B4132A74540668F8F6FBDA1B2550F"/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1639570" y="67918330"/>
          <a:ext cx="692785" cy="817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2" name="ID_C1AB0B3F67824D0A8FA49307FBE7A238" descr="餐桌2"/>
        <xdr:cNvPicPr>
          <a:picLocks noChangeAspect="1"/>
        </xdr:cNvPicPr>
      </xdr:nvPicPr>
      <xdr:blipFill>
        <a:blip r:embed="rId187"/>
        <a:srcRect l="4303" t="9045" r="8606"/>
        <a:stretch>
          <a:fillRect/>
        </a:stretch>
      </xdr:blipFill>
      <xdr:spPr>
        <a:xfrm>
          <a:off x="1411605" y="67068065"/>
          <a:ext cx="1148080" cy="670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3" name="ID_C9DF65B699E040D19C67F3C7E257C91F"/>
        <xdr:cNvPicPr>
          <a:picLocks noChangeAspect="1"/>
        </xdr:cNvPicPr>
      </xdr:nvPicPr>
      <xdr:blipFill>
        <a:blip r:embed="rId178"/>
        <a:srcRect l="-414"/>
        <a:stretch>
          <a:fillRect/>
        </a:stretch>
      </xdr:blipFill>
      <xdr:spPr>
        <a:xfrm>
          <a:off x="1600200" y="65133220"/>
          <a:ext cx="771525" cy="1607185"/>
        </a:xfrm>
        <a:prstGeom prst="rect">
          <a:avLst/>
        </a:prstGeom>
      </xdr:spPr>
    </xdr:pic>
  </etc:cellImage>
  <etc:cellImage>
    <xdr:pic>
      <xdr:nvPicPr>
        <xdr:cNvPr id="454" name="ID_10908B0B51C0497FB4B2070A88C49D88"/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1406525" y="63200915"/>
          <a:ext cx="1158240" cy="12045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5" name="ID_F71D049E904E441EB21818815552978C"/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1366520" y="61776610"/>
          <a:ext cx="1238885" cy="668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6" name="ID_03208B8176604ED6810C5A6BC501E627"/>
        <xdr:cNvPicPr>
          <a:picLocks noChangeAspect="1"/>
        </xdr:cNvPicPr>
      </xdr:nvPicPr>
      <xdr:blipFill>
        <a:blip r:embed="rId190"/>
        <a:stretch>
          <a:fillRect/>
        </a:stretch>
      </xdr:blipFill>
      <xdr:spPr>
        <a:xfrm>
          <a:off x="1274445" y="59917330"/>
          <a:ext cx="1422400" cy="901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7" name="ID_2A7568CF9851489EA0E51CBB2DCE7073"/>
        <xdr:cNvPicPr>
          <a:picLocks noChangeAspect="1"/>
        </xdr:cNvPicPr>
      </xdr:nvPicPr>
      <xdr:blipFill>
        <a:blip r:embed="rId191"/>
        <a:srcRect l="8897" r="9372"/>
        <a:stretch>
          <a:fillRect/>
        </a:stretch>
      </xdr:blipFill>
      <xdr:spPr>
        <a:xfrm>
          <a:off x="1517650" y="57296050"/>
          <a:ext cx="935990" cy="121285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458" name="ID_04159CB6BBD34DD78BE4C2B539511DF1"/>
        <xdr:cNvPicPr>
          <a:picLocks noChangeAspect="1"/>
        </xdr:cNvPicPr>
      </xdr:nvPicPr>
      <xdr:blipFill>
        <a:blip r:embed="rId173"/>
        <a:srcRect t="13893" b="9012"/>
        <a:stretch>
          <a:fillRect/>
        </a:stretch>
      </xdr:blipFill>
      <xdr:spPr>
        <a:xfrm>
          <a:off x="1323975" y="55132605"/>
          <a:ext cx="1323975" cy="1231265"/>
        </a:xfrm>
        <a:prstGeom prst="rect">
          <a:avLst/>
        </a:prstGeom>
      </xdr:spPr>
    </xdr:pic>
  </etc:cellImage>
  <etc:cellImage>
    <xdr:pic>
      <xdr:nvPicPr>
        <xdr:cNvPr id="459" name="ID_5ECBE361A6E3468680B1879CF96A8824"/>
        <xdr:cNvPicPr>
          <a:picLocks noChangeAspect="1"/>
        </xdr:cNvPicPr>
      </xdr:nvPicPr>
      <xdr:blipFill>
        <a:blip r:embed="rId192"/>
        <a:srcRect l="-414"/>
        <a:stretch>
          <a:fillRect/>
        </a:stretch>
      </xdr:blipFill>
      <xdr:spPr>
        <a:xfrm>
          <a:off x="1600200" y="52830095"/>
          <a:ext cx="771525" cy="1473200"/>
        </a:xfrm>
        <a:prstGeom prst="rect">
          <a:avLst/>
        </a:prstGeom>
      </xdr:spPr>
    </xdr:pic>
  </etc:cellImage>
  <etc:cellImage>
    <xdr:pic>
      <xdr:nvPicPr>
        <xdr:cNvPr id="460" name="ID_9A43A17E01A04197BA86A842A3046691"/>
        <xdr:cNvPicPr>
          <a:picLocks noChangeAspect="1"/>
        </xdr:cNvPicPr>
      </xdr:nvPicPr>
      <xdr:blipFill>
        <a:blip r:embed="rId192"/>
        <a:srcRect l="-414"/>
        <a:stretch>
          <a:fillRect/>
        </a:stretch>
      </xdr:blipFill>
      <xdr:spPr>
        <a:xfrm>
          <a:off x="1600200" y="50841275"/>
          <a:ext cx="771525" cy="1473200"/>
        </a:xfrm>
        <a:prstGeom prst="rect">
          <a:avLst/>
        </a:prstGeom>
      </xdr:spPr>
    </xdr:pic>
  </etc:cellImage>
  <etc:cellImage>
    <xdr:pic>
      <xdr:nvPicPr>
        <xdr:cNvPr id="461" name="ID_ABFCEBDDCF7C446C8C9F30547ABAF955"/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1517650" y="49233455"/>
          <a:ext cx="935990" cy="11804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2" name="ID_A86DB6E59A8F4E85B014ACE38B583579"/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1366520" y="48073310"/>
          <a:ext cx="1238885" cy="668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3" name="ID_472BAF5E1259461CBF94E4FF656CCAAB"/>
        <xdr:cNvPicPr>
          <a:picLocks noChangeAspect="1"/>
        </xdr:cNvPicPr>
      </xdr:nvPicPr>
      <xdr:blipFill>
        <a:blip r:embed="rId190"/>
        <a:stretch>
          <a:fillRect/>
        </a:stretch>
      </xdr:blipFill>
      <xdr:spPr>
        <a:xfrm>
          <a:off x="1274445" y="46262925"/>
          <a:ext cx="1422400" cy="901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4" name="ID_45755FB97BD54BAE94FC66D6D6B3D57F" descr="单体"/>
        <xdr:cNvPicPr>
          <a:picLocks noChangeAspect="1"/>
        </xdr:cNvPicPr>
      </xdr:nvPicPr>
      <xdr:blipFill>
        <a:blip r:embed="rId112"/>
        <a:srcRect l="28969" t="18403" r="30438" b="11510"/>
        <a:stretch>
          <a:fillRect/>
        </a:stretch>
      </xdr:blipFill>
      <xdr:spPr>
        <a:xfrm>
          <a:off x="1590040" y="37913310"/>
          <a:ext cx="791845" cy="821055"/>
        </a:xfrm>
        <a:prstGeom prst="rect">
          <a:avLst/>
        </a:prstGeom>
      </xdr:spPr>
    </xdr:pic>
  </etc:cellImage>
  <etc:cellImage>
    <xdr:pic>
      <xdr:nvPicPr>
        <xdr:cNvPr id="465" name="ID_4CA845B415C14AF6BA38F097DCF41A0C"/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1317625" y="35664140"/>
          <a:ext cx="1336040" cy="9626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6" name="ID_D2EA08B186C94F6A9692A538009D9B85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1385570" y="24768810"/>
          <a:ext cx="1200150" cy="15347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7" name="ID_24B4610785244A14BB7F599DF0E51BC6"/>
        <xdr:cNvPicPr>
          <a:picLocks noChangeAspect="1"/>
        </xdr:cNvPicPr>
      </xdr:nvPicPr>
      <xdr:blipFill>
        <a:blip r:embed="rId196"/>
        <a:stretch>
          <a:fillRect/>
        </a:stretch>
      </xdr:blipFill>
      <xdr:spPr>
        <a:xfrm>
          <a:off x="1496060" y="22539960"/>
          <a:ext cx="979805" cy="10299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8" name="ID_A28847CFD24B4E70A36866F7F1DB7ED7"/>
        <xdr:cNvPicPr>
          <a:picLocks noChangeAspect="1"/>
        </xdr:cNvPicPr>
      </xdr:nvPicPr>
      <xdr:blipFill>
        <a:blip r:embed="rId197"/>
        <a:stretch>
          <a:fillRect/>
        </a:stretch>
      </xdr:blipFill>
      <xdr:spPr>
        <a:xfrm>
          <a:off x="1504315" y="20746720"/>
          <a:ext cx="963295" cy="996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9" name="ID_C259DE3C1C434A0AB0039C68D3F58760"/>
        <xdr:cNvPicPr>
          <a:picLocks noChangeAspect="1"/>
        </xdr:cNvPicPr>
      </xdr:nvPicPr>
      <xdr:blipFill>
        <a:blip r:embed="rId198"/>
        <a:stretch>
          <a:fillRect/>
        </a:stretch>
      </xdr:blipFill>
      <xdr:spPr>
        <a:xfrm>
          <a:off x="1339215" y="18597880"/>
          <a:ext cx="1292860" cy="8756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0" name="ID_E46DD2A61BF54040BFCC4236CAF4F2C1" descr="DEC-艾德"/>
        <xdr:cNvPicPr>
          <a:picLocks noChangeAspect="1"/>
        </xdr:cNvPicPr>
      </xdr:nvPicPr>
      <xdr:blipFill>
        <a:blip r:embed="rId153"/>
        <a:srcRect l="17760" r="22557"/>
        <a:stretch>
          <a:fillRect/>
        </a:stretch>
      </xdr:blipFill>
      <xdr:spPr>
        <a:xfrm>
          <a:off x="1445895" y="1836420"/>
          <a:ext cx="1079500" cy="994410"/>
        </a:xfrm>
        <a:prstGeom prst="rect">
          <a:avLst/>
        </a:prstGeom>
      </xdr:spPr>
    </xdr:pic>
  </etc:cellImage>
  <etc:cellImage>
    <xdr:pic>
      <xdr:nvPicPr>
        <xdr:cNvPr id="471" name="ID_81EAE5A3AC81400381DC0B059315A469"/>
        <xdr:cNvPicPr>
          <a:picLocks noChangeAspect="1"/>
        </xdr:cNvPicPr>
      </xdr:nvPicPr>
      <xdr:blipFill>
        <a:blip r:embed="rId148"/>
        <a:srcRect r="2101"/>
        <a:stretch>
          <a:fillRect/>
        </a:stretch>
      </xdr:blipFill>
      <xdr:spPr>
        <a:xfrm>
          <a:off x="1650365" y="3836670"/>
          <a:ext cx="671195" cy="895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2" name="ID_FBB297D1CCB1410F96118C21B73DA971" descr="84389ac3f61f76d95a08aa5c0c54c96"/>
        <xdr:cNvPicPr>
          <a:picLocks noChangeAspect="1"/>
        </xdr:cNvPicPr>
      </xdr:nvPicPr>
      <xdr:blipFill>
        <a:blip r:embed="rId199"/>
        <a:srcRect l="38910" t="11503" r="40083" b="9587"/>
        <a:stretch>
          <a:fillRect/>
        </a:stretch>
      </xdr:blipFill>
      <xdr:spPr>
        <a:xfrm>
          <a:off x="1639570" y="5396865"/>
          <a:ext cx="692785" cy="1414145"/>
        </a:xfrm>
        <a:prstGeom prst="rect">
          <a:avLst/>
        </a:prstGeom>
      </xdr:spPr>
    </xdr:pic>
  </etc:cellImage>
  <etc:cellImage>
    <xdr:pic>
      <xdr:nvPicPr>
        <xdr:cNvPr id="473" name="ID_F6E986AB658448BCAA885E28A1F76846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491615" y="7820025"/>
          <a:ext cx="988695" cy="999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4" name="ID_688ACD1C971F4C34B4BED893DC23F949"/>
        <xdr:cNvPicPr>
          <a:picLocks noChangeAspect="1"/>
        </xdr:cNvPicPr>
      </xdr:nvPicPr>
      <xdr:blipFill>
        <a:blip r:embed="rId200"/>
        <a:stretch>
          <a:fillRect/>
        </a:stretch>
      </xdr:blipFill>
      <xdr:spPr>
        <a:xfrm>
          <a:off x="1328420" y="10139045"/>
          <a:ext cx="1314450" cy="832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5" name="ID_B2DDE2F2BE5744538B135BFD37C28701"/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1366520" y="11913235"/>
          <a:ext cx="1238885" cy="668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6" name="ID_B0A82DFF91FC45EE8BF89CB683BDFBDD"/>
        <xdr:cNvPicPr>
          <a:picLocks noChangeAspect="1"/>
        </xdr:cNvPicPr>
      </xdr:nvPicPr>
      <xdr:blipFill>
        <a:blip r:embed="rId201"/>
        <a:stretch>
          <a:fillRect/>
        </a:stretch>
      </xdr:blipFill>
      <xdr:spPr>
        <a:xfrm>
          <a:off x="1478280" y="13436600"/>
          <a:ext cx="1014730" cy="1279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7" name="ID_6913D5EA730A47769DDAD7787FDF10F3"/>
        <xdr:cNvPicPr>
          <a:picLocks noChangeAspect="1"/>
        </xdr:cNvPicPr>
      </xdr:nvPicPr>
      <xdr:blipFill>
        <a:blip r:embed="rId192"/>
        <a:srcRect l="-414"/>
        <a:stretch>
          <a:fillRect/>
        </a:stretch>
      </xdr:blipFill>
      <xdr:spPr>
        <a:xfrm>
          <a:off x="1600200" y="15730220"/>
          <a:ext cx="771525" cy="14732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<sst xmlns="http://schemas.openxmlformats.org/spreadsheetml/2006/main" count="1406" uniqueCount="681">
  <si>
    <t>省锡中滨湖分校家具采购项目清单（汇总）</t>
  </si>
  <si>
    <t>序号</t>
  </si>
  <si>
    <t>楼栋</t>
  </si>
  <si>
    <t>页码</t>
  </si>
  <si>
    <t>备注</t>
  </si>
  <si>
    <t>1#行政楼</t>
  </si>
  <si>
    <t>2——12</t>
  </si>
  <si>
    <t>3#4#5#普通教学楼</t>
  </si>
  <si>
    <t>13——20</t>
  </si>
  <si>
    <t>7#食堂、风雨操场</t>
  </si>
  <si>
    <t>21——26</t>
  </si>
  <si>
    <t>8#看台、架空半地下室</t>
  </si>
  <si>
    <t>9#门卫</t>
  </si>
  <si>
    <t>28——29</t>
  </si>
  <si>
    <t>10#礼堂</t>
  </si>
  <si>
    <t>30——33</t>
  </si>
  <si>
    <t>11#宿舍楼</t>
  </si>
  <si>
    <t>34——41</t>
  </si>
  <si>
    <t>工程教育中心</t>
  </si>
  <si>
    <t>42——44</t>
  </si>
  <si>
    <t>生涯教育和心理健康区域</t>
  </si>
  <si>
    <t>45——46</t>
  </si>
  <si>
    <t>校园文化区域</t>
  </si>
  <si>
    <t>47——51</t>
  </si>
  <si>
    <t>技术要求</t>
  </si>
  <si>
    <t>一、1#行政楼</t>
  </si>
  <si>
    <t>品名</t>
  </si>
  <si>
    <t>参考图片</t>
  </si>
  <si>
    <t>规格（mm)</t>
  </si>
  <si>
    <t>材质</t>
  </si>
  <si>
    <t>数量</t>
  </si>
  <si>
    <t>单位</t>
  </si>
  <si>
    <t>（一）1#楼1层</t>
  </si>
  <si>
    <t>50人会议室（105㎡）</t>
  </si>
  <si>
    <t>9.6米会议桌</t>
  </si>
  <si>
    <t>9600*1600*750</t>
  </si>
  <si>
    <t>1、基材：采用中密度纤维板，经过防虫、防腐等处理。饰面选用木皮贴面，木皮饰面纹理清晰，无节疤；木皮经过防虫防蛀防腐处理。内部结构均匀，密度适中；
2、油漆：采用油性油漆，五底三面工艺，经嵌补、磨光、上色，五遍底漆、三遍面漆、紫外线固化等九道磨褪工艺制成；产品色泽一致，保证台面平整无颗粒、气泡、积粉、渣点，色泽均匀。 
3、胶水：采用热熔胶。
4、五金件：采用三合一连接件等五金。</t>
  </si>
  <si>
    <t>张</t>
  </si>
  <si>
    <t>条桌</t>
  </si>
  <si>
    <t>1400*400*750</t>
  </si>
  <si>
    <t>会议椅（弓形脚）</t>
  </si>
  <si>
    <t>660*580*950</t>
  </si>
  <si>
    <t>1、面料：采用透气西皮，柔软贴手，耐磨性强、透气性好。
2、海绵：内部采用高密度海绵，圆润厚实、弹性好，软硬适中。
3、靠背座垫夹板：背座连体双层弯板，座垫承受部分曲木板材经模具捌层高频热压成型，板材厚度≥12mm。板材承受压力不低于300KG，经防潮、防腐、防蛀等化学处理。
4、椅支架：电镀处理扁管弓形脚，钢管厚度≥1.8毫米，均经酸洗、防锈防腐蚀处理。
5、脚垫：采用橡胶防滑脚垫。</t>
  </si>
  <si>
    <t>把</t>
  </si>
  <si>
    <t>三门茶水柜</t>
  </si>
  <si>
    <t>1200*400*800</t>
  </si>
  <si>
    <t>1、基材：采用中密度纤维板，经过防虫、防腐等处理。饰面选用木皮贴面，木皮饰面纹理清晰，无节疤；木皮经过防虫防蛀防腐处理。内部结构均匀，密度适中；
2、油漆：采用油性油漆，五底三面工艺，经嵌补、磨光、上色，五遍底漆、三遍面漆、紫外线固化等九道磨褪工艺制成；产品色泽一致，保证台面平整无颗粒、气泡、积粉、渣点，色泽均匀。 
3、胶水：采用热熔胶。
4、五金件：采用静音缓冲门铰、静音滑轨、拉手及三合一连接件等五金。</t>
  </si>
  <si>
    <t>个</t>
  </si>
  <si>
    <t>100人会议室（191.8㎡）</t>
  </si>
  <si>
    <t>圆形会议桌</t>
  </si>
  <si>
    <t>直径2500*750</t>
  </si>
  <si>
    <t>1、基材：采用中密度纤维板，经过防虫、防腐等处理。饰面选用木皮贴面，木皮饰面纹理清晰，无节疤；木皮经过防虫防蛀防腐处理。内部结构均匀，密度适中；
2、油漆：采用油性油漆，五底三面工艺，经嵌补、磨光、上色，五遍底漆、三遍面漆、紫外线固化等九道磨褪工艺制成；产品色泽一致，保证台面平整无颗粒、气泡、积粉、渣点，色泽均匀。 
3、胶水：采用热熔胶。
4、五金件：采用三合一连接件等五金。
不含多媒体设备</t>
  </si>
  <si>
    <t>弧形会议桌（具体尺寸根据场地实际测量）</t>
  </si>
  <si>
    <t>弧长4605*600*750</t>
  </si>
  <si>
    <t>组</t>
  </si>
  <si>
    <t>弧长7565*600*750</t>
  </si>
  <si>
    <t>弧长5990*600*750</t>
  </si>
  <si>
    <t>弧长5290*600*750</t>
  </si>
  <si>
    <t>弧长5060*600*750</t>
  </si>
  <si>
    <t>10人会议室（20.7㎡）</t>
  </si>
  <si>
    <t>3米会议桌</t>
  </si>
  <si>
    <t>3000*1200*750</t>
  </si>
  <si>
    <t>二门茶水柜</t>
  </si>
  <si>
    <t>800*400*800</t>
  </si>
  <si>
    <t>1、基材：采用中密度纤维板，经过防虫、防腐等处理。饰面选用木皮贴面，木皮饰面纹理清晰，无节疤；木皮经过防虫防蛀防腐处理。内部结构均匀，密度适中；
2、油漆：采用油性油漆，五底三面工艺，经嵌补、磨光、上色，五遍底漆、三遍面漆、紫外线固化等九道磨褪工艺制成；产品色泽一致，保证台面平整无颗粒、气泡、积粉、渣点，色泽均匀。 
3、胶水：采用热熔胶。
4、五金件：采用静音缓冲门铰、拉手及三合一连接件等五金。</t>
  </si>
  <si>
    <t>预留办公室、安全办、后勤事务办公室（每间3人）</t>
  </si>
  <si>
    <t>1.4米办公桌</t>
  </si>
  <si>
    <t>1400*700*750</t>
  </si>
  <si>
    <t>1、面材：耐磨E0级三聚氰胺浸渍饰面，耐刮、耐磨、耐腐蚀、耐高温、耐火；表面透明度更好，耐污性更强防火、耐磨、防污、硬度高，表面哑光效果持久；
2、基材：采用刨花板，经过防虫、防腐的化学处理，强度高、刚性好、不变形、比重合理。台面及台脚板材厚度≥25mm，其余板材厚度≥16mm。
3、封边：PVC封边条，封边条原料不含重金属成份，弹性好，耐撞击。
4、胶粘剂：采用热熔胶。
5、五金配件：采用静音滑轨、锁具及三合一连接件等五金。</t>
  </si>
  <si>
    <t>办公椅（中背）</t>
  </si>
  <si>
    <t>645*600*1005-1095-1095</t>
  </si>
  <si>
    <t>1、选用防污透气纤维织物网布。
2、座垫面料采用防污弹力布座布布料，质感细腻，手感舒适，无色差，无异味；
3、海绵：内部采用高密度定型海绵，圆润厚实、弹性好，软硬适中。
4、转椅扶手及靠背塑胶配件：采用PP塑胶，塑胶零件不会变形，脆裂等现象，活动自如。
5、底盘：采用钢板冲压而成。
6、气压棒：采用三级电镀气棒，该气压棒在正常使用下能承受不低于20万次的循环加压而不出现金属疲劳。
7、椅脚：采用PP的五星脚，可承受不低于1200KG的压力（静止）。
8、椅轮：采用黑色PA轮。</t>
  </si>
  <si>
    <t>板式文件柜</t>
  </si>
  <si>
    <t>800*400*2000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</si>
  <si>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2、基材：采用刨花板，经过防虫、防腐的化学处理，强度高、刚性好、不变形、比重合理。顶板及层板厚度≥25mm，其余板材厚度≥16mm。
3、封边：PVC封边条，封边条原料不含重金属成份，弹性好，耐撞击。
4、胶粘剂：采用热熔胶。
5、五金配件：采用静音缓冲门铰、拉手、锁具及三合一连接件等五金。</t>
  </si>
  <si>
    <t>矮柜</t>
  </si>
  <si>
    <t>800*400*825</t>
  </si>
  <si>
    <t>板式茶水柜</t>
  </si>
  <si>
    <t>800*400*805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</si>
  <si>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2、基材：采用刨花板，经过防虫、防腐的化学处理，强度高、刚性好、不变形、比重合理。顶板及层板厚度≥25mm，其余板材厚度≥16mm。
3、封边：PVC封边条，封边条原料不含重金属成份，弹性好，耐撞击。
4、胶粘剂：采用热熔胶。
5、五金配件：采用静音缓冲门铰、拉手及三合一连接件等五金。</t>
  </si>
  <si>
    <t>后勤服务主任室</t>
  </si>
  <si>
    <t>1.6米办公桌(带侧柜)</t>
  </si>
  <si>
    <t>1600*1600*750</t>
  </si>
  <si>
    <t>主桌规格：1600*800*750，侧柜规格：1507*480*614
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2、基材：采用刨花板，经过防虫、防腐的化学处理，强度高、刚性好、不变形、比重合理。通体板材厚度≥16mm，台面下面加横梁。
3、封边：PVC封边条，封边条原料不含重金属成份，弹性好，耐撞击。
4、胶粘剂：采用热熔胶。
5、五金配件：采用静音滑轨、锁具及三合一连接件等五金。</t>
  </si>
  <si>
    <t>办公椅（高背）</t>
  </si>
  <si>
    <t>645*600*1190-1280</t>
  </si>
  <si>
    <t>1、头枕：采用PP固定头枕，网布加宽设计；
2、网布：选用防污透气纤维织物网布。
3、座垫面料采用防污弹力布座布布料，质感细腻，手感舒适，无色差，无异味；
4、海绵：内部采用高密度定型海绵，圆润厚实、弹性好，软硬适中。
5、转椅扶手及靠背塑胶配件：采用PP塑胶，塑胶零件不会变形，脆裂等现象，活动自如。
6、底盘：采用钢板冲压而成。
7、气压棒：采用三级电镀气棒，该气压棒在正常使用下能承受不低于20万次的循环加压而不出现金属疲劳。
8、椅脚：采用PP的五星脚，可承受不低于1200KG的压力（静止）。
9、椅轮：采用黑色PA轮。</t>
  </si>
  <si>
    <t>双人沙发</t>
  </si>
  <si>
    <t>1550*760*700</t>
  </si>
  <si>
    <t>1、饰面：透气西皮面料柔软贴手，透气性好、应无色差，表面无龟裂、破损，无油腻感。经精选裁剪，用高速衣车及粗线车套，直接包面，沉稳舒适。（颜色可选) 
2、海绵：高密度高回弹海绵。  
3、内架框架：主要骨架材料为实木框架，成型部位使用多层板定框成型，连接处必须牢固。经干燥防腐处理，木方经过烘干，杀虫、除菌处理，杜绝霉变、虫蛀。
4、承重弹力结构：靠背装钉多条橡筋，座垫为标准间距蛇形簧+平衡橡筋+面布；
5、脚架：沙发脚采用钢制金属喷涂，表面为静电粉末喷涂处理。
6、底部脚垫：配置PP塑料脚垫，防滑耐磨。</t>
  </si>
  <si>
    <t>预留用房（1间）</t>
  </si>
  <si>
    <t>1.5米货架</t>
  </si>
  <si>
    <t>1500*500*2000</t>
  </si>
  <si>
    <t>1、架体：采用冷轧钢板，钢板厚度≥0.8mm，经过剪切、冲压、折弯、焊接、装配而成，表面平整光滑、无划痕；
2、表面采用静电粉末涂料（塑粉）处理，塑粉附着力强，光洁平滑。无有机溶液，无毒害无气味，对人体及周围环境不产生危害，使用无异味。</t>
  </si>
  <si>
    <t>（二）1#楼2层</t>
  </si>
  <si>
    <t>报告厅（1间）</t>
  </si>
  <si>
    <t>演讲台</t>
  </si>
  <si>
    <t>600*500*1160</t>
  </si>
  <si>
    <t>1、基材：采用中密度纤维板，经过防虫、防腐等处理。饰面选用木皮贴面，木皮饰面纹理清晰，无节疤；木皮经过防虫防蛀防腐处理。内部结构均匀，密度适中；
2、油漆：采用水性漆，表面平整，无明显颗粒、渣点，颜色均匀，硬度高，耐磨性强，能长久保持漆面效果，表面经过五底三面油漆工艺处理，五遍水性底漆，三遍水性面漆喷涂制作而成。 
3、胶水：采用热熔胶。
4、五金件：采用三合一连接件等五金。
可加印学校LOGO</t>
  </si>
  <si>
    <t>主席台桌(带轮子)</t>
  </si>
  <si>
    <t>2100*500*750</t>
  </si>
  <si>
    <t>1、基材：采用中密度纤维板，经过防虫、防腐等处理。饰面选用木皮贴面，木皮饰面纹理清晰，无节疤；木皮经过防虫防蛀防腐处理。内部结构均匀，密度适中；
2、油漆：采用水性漆，表面平整，无明显颗粒、渣点，颜色均匀，硬度高，耐磨性强，能长久保持漆面效果，表面经过五底三面油漆工艺处理，五遍水性底漆，三遍水性面漆喷涂制作而成。 
3、胶水：采用热熔胶。
4、五金件：采用三合一连接件等五金。
5、脚下面加轮子，方便移动。</t>
  </si>
  <si>
    <t>主席台椅</t>
  </si>
  <si>
    <t>600*640*900</t>
  </si>
  <si>
    <t xml:space="preserve">1、饰面：采用西皮饰面，透气性好，质地柔软、耐磨性强，经防污处理,清洁方便。
2、海棉：采用高密度定型海绵，软硬适中回弹力强，坐感舒适。
3、椅架：橡胶木实木框架，采用水性漆，表面平整，无明显颗粒、渣点，颜色均匀，硬度高，耐磨性强，能长久保持漆面效果，表面经过五底三面油漆工艺处理，五遍水性底漆，三遍水性面漆喷涂制作而成。
</t>
  </si>
  <si>
    <t>台下条桌</t>
  </si>
  <si>
    <t>1500*480*750</t>
  </si>
  <si>
    <t>1、面材：耐磨E0级三聚氰胺浸渍饰面，防火、耐磨、防污、硬度高，表面哑光效果持久。
2、基材：刨花板，经过防虫、防腐的化学处理，强度高、刚性好、不变形、比重合理。台面板厚度≥25mm，前挡板厚度≥16mm。
3、封边：PVC封边条，封边条原料不含重金属成份，弹性好，耐撞击；
4、胶粘剂：采用胶粘剂。
5、台架：采用全铝合金材质，全模具化生产，表面精致，细腻，不生锈，可回收再利用，无污染。台脚颜色标配喷砂黑色。                 
6、桌脚采用PU万向脚轮，带刹车，移动静阻尼无声，平滑滚动的脚轮有助于会议空间的灵活配置。                                        
7、桌面一键快捷翻转折叠，中间配备手柄，翻起台面时，手柄自动支撑台面，拉手表面喷胶工艺，手感舒适。                                                                                          8、可以叠位放置，节约空间。                                                    9、配备防护机构，保证在打开和叠放时不会碰伤木板和铝材表面。                      
10、同时配备台面连接扣，可以实现产品直线快捷免工具连接及分离。                                                            11、配挡板，配书网，挡板安装快捷方便，可随时增加或拆卸。</t>
  </si>
  <si>
    <t>会议椅</t>
  </si>
  <si>
    <t>645*580*835</t>
  </si>
  <si>
    <t>1、椅背：背框采用全新PA+玻纤材质，一体注塑成型，高弹力竹节布背网，靠背倾仰机构设计，前后滑动扶手，有效距离不低于2.5cm。
2、椅座：座垫采用高密度定型海绵，定制弯曲板，舒适透气，配PP工程塑料防尘底壳。
3、椅架：采用壁厚≥1.5mm碳素钢椅架，全自动机械臂焊接，稳固性强，高速打砂除锈处理，表面高温喷涂烤漆，漆面牢固，具有防腐，抗氧化等性能，特制脚垫，全新超韧尼龙材质，抗磨损性强。
4、功能：椅架全折叠收纳，节省空间。</t>
  </si>
  <si>
    <t>礼堂椅（带写字板）</t>
  </si>
  <si>
    <t>中心距为580，座包打开侧深691，写字板打开侧深839，基本椅高为1015</t>
  </si>
  <si>
    <t>1、座椅布料选用针织面料，座椅面料渗透力强，富有弹性，经过阻燃及防静电处理。
2、写字板：支架采用≥16mm直径实心圆钢支撑结构，写字板面板采用多层板，四周油漆封边，扶手和写字板向上倾斜6.5度保证书写舒适自然状态，写字板回复机构加装PP材质一体注塑成型消音垫，保证写字板打开回收时带消音功能，不可有反弹力与燥音的出现。
3、座椅海绵选用高密度聚氨酯定型海绵原料，经模具冷固发泡一体成型的海绵。
4、所有金属的钢材都使用冷轧板或型材冲压成型，焊接件采用机器人焊接，焊接质量高，焊痕平滑、无焊渣。
5、座椅扶手盖：选用木材有线分割而成，表面涂5层聚氨酯油漆，曲线造型，不变形、不开裂。
6、座包采用阻尼加弹簧回复机构，两级缓冲先快后慢，使座包3秒内可回复到位，具备逃生消音功能，座包回复碰撞部位增加橡胶垫防撞降噪，使座包打开无噪音，回复缓慢无冲击性撞击，噪音低至A声级（≤35dB）,精确定位，故障率低，使用寿命≥30万次。回复速度可根据现场需要进行调节，并能随使用年限对回位机构进行维护。
7、座铁框采用碳素钢板冲压折弯焊接成形，同时增加实木夹板用于承重，保证座椅的舒适度、牢固度和长久使用无故障、无异响。
8、座、背外板采用高密度硬木多层板，经模具冷压注成型，不褪色，抗变型。背内板：采用夹板经模具压弯成型，外型成弧型，美观大方。
9、座椅站脚采用≥1.8mm厚碳素冷轧钢经模具冲压、焊接、打磨、除油除锈后静电喷涂而成，坚固耐用，防锈耐腐蚀。左右两侧配有侧板并面覆麻绒布，美观且防撞。
10、座椅与地面之间采用钢制压爆地脚螺栓强力固定，特别设有ABS塑料密封盖对地爆螺丝结构做密封处理，外表美观不积尘，便于清洁。</t>
  </si>
  <si>
    <t>音控室（2间）</t>
  </si>
  <si>
    <t>控制桌</t>
  </si>
  <si>
    <t>2800*700*750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</si>
  <si>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2、基材：采用刨花板，经过防虫、防腐的化学处理，强度高、刚性好、不变形、比重合理。台面板厚度≥25mm。
3、封边：PVC封边条，封边条原料不含重金属成份，弹性好，耐撞击。
4、胶粘剂：采用热熔胶。
5、脚架：采用壁厚≥1.2mm静电喷涂粉末处理的钢管，经过制模、落料、成型、焊接加工，采用全自动喷涂设备静电抗菌粉末，高温固化，并经过酸洗、磷化来清洁表面，防止表面生锈的工艺加工而成，坚固、耐用。</t>
  </si>
  <si>
    <t>645*600*1005-1095</t>
  </si>
  <si>
    <t>办公室（6间）</t>
  </si>
  <si>
    <t>1、饰面：透气西皮面料柔软贴手，透气性好、应无色差，表面无龟裂、破损，无油腻感。经精选裁剪，用高速衣车及粗线车套，直接包面，沉稳舒适。（颜色可选) 
2、海绵：高密度高回弹海绵。  
3、内架框架：主要骨架材料为实木框架，成型部位可使用多层板定框成型，连接处必须牢固。经干燥防腐处理，木方经过烘干，杀虫、除菌处理，杜绝霉变、虫蛀。
4、承重弹力结构：靠背装钉多条橡筋，坐垫为标准间距蛇形簧+平衡橡筋+面布；
5、脚架：沙发脚采用钢制金属喷涂，表面为静电粉末喷涂处理。
6、底部脚垫：配置PP塑料脚垫，防滑耐磨。</t>
  </si>
  <si>
    <t>茶几</t>
  </si>
  <si>
    <t>1000*500*420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</si>
  <si>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2、基材：采用刨花板，经过防虫、防腐的化学处理，强度高、刚性好、不变形、比重合理。台面板厚度≥25mm。
3、封边：PVC封边条，封边条原料不含重金属成份，弹性好，耐撞击。
4、胶粘剂：采用热熔胶。
5、脚架：采用静电喷涂粉末处理的钢管，经过制模、落料、成型、焊接加工，采用全自动喷涂设备静电抗菌粉末，高温固化，并经过酸洗、磷化来清洁表面，防止表面生锈的工艺加工而成，坚固、耐用。</t>
  </si>
  <si>
    <t>教务小仓库（1间）</t>
  </si>
  <si>
    <t>1米货架</t>
  </si>
  <si>
    <t>1000*500*2000</t>
  </si>
  <si>
    <t>（三）1#楼3层</t>
  </si>
  <si>
    <t>学校档案+阅档室（2间）</t>
  </si>
  <si>
    <t>密集架</t>
  </si>
  <si>
    <t>一列5组5列
W4750*H2400*D560</t>
  </si>
  <si>
    <t>1、门板：采用≥0.8mm厚冷轧钢板，背面点焊加强筋。右上门装有密集架闪电锁，组装后缝隙均匀，锁定紧密，开启灵活。
2、侧护板：采用冷轧钢板，材质厚度≥0.8mm。
3、轴承：调心轴承。
4、传动轴：采用圆钢，材质厚度直径≥20mm。
5、连接钢管：采用无缝钢管，材质厚度直径≥25mm。
6、防护装置：每列的接触面均有及密封装置,具有良好的防震,防尘,防鼠,防光,防潮,功能。
7、防震、防尘装置：≥20mm厚抗老化橡塑磁性密封条。
8、顶板：采用冷轧钢板，材质厚度≥0.8mm。
9、防倾倒装置：采用冷轧钢板，材质厚度≥2.0mm。
10、摇手柄：采用圆型方向盘式或摇把式，整体美观、牢固。</t>
  </si>
  <si>
    <t>立方米</t>
  </si>
  <si>
    <t>钢制档案柜</t>
  </si>
  <si>
    <t>900*400*1850</t>
  </si>
  <si>
    <r>
      <rPr>
        <sz val="11"/>
        <color theme="1"/>
        <rFont val="宋体"/>
        <charset val="134"/>
        <scheme val="minor"/>
      </rPr>
      <t>1.采用≥0.8mm冷轧钢板经剪切，冲压，折弯，焊接，装配而成。
2.采用全自动喷涂流水线，表面静电粉末涂料（塑粉）喷塑，涂层均匀，附着能力强。
3.</t>
    </r>
    <r>
      <rPr>
        <sz val="11"/>
        <rFont val="宋体"/>
        <charset val="134"/>
        <scheme val="minor"/>
      </rPr>
      <t>含锁具。</t>
    </r>
  </si>
  <si>
    <t>阅档桌</t>
  </si>
  <si>
    <t>1600*800*750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</si>
  <si>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2、基材：采用刨花板，经过防虫、防腐的化学处理，强度高、刚性好、不变形、比重合理。台面板厚度≥25mm
3、封边：PVC封边条，封边条原料不含重金属成份，弹性好，耐撞击。
4、胶粘剂：采用热熔胶。
5、脚架：采用壁厚≥1.2mm静电喷涂粉末处理的钢管，经过制模、落料、成型、焊接加工，采用全自动喷涂设备静电抗菌粉末，高温固化，并经过酸洗、磷化来清洁表面，防止表面生锈的工艺加工而成，坚固、耐用。</t>
  </si>
  <si>
    <t>阅档椅</t>
  </si>
  <si>
    <t>580*600*860</t>
  </si>
  <si>
    <t>1、靠背采用防污透气纤维织物（网布），座垫面料采用涤纶布料，柔软贴手，耐磨性强、透气性好。
2、海绵：采用高密度海绵，软硬适中，回弹性与透气性好。 
3、坐垫夹板：经模具捌层高频热压成型，板材厚度≥12mm。
4、扶手：采用连体固定扶手。
5、椅脚：采用黑砂纹弓形架。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</si>
  <si>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2、基材：采用刨花板，经过防虫、防腐的化学处理，强度高、刚性好、不变形、比重合理。台面及台脚板材厚度≥25mm，其余板材厚度≥16mm。
3、封边：PVC封边条，封边条原料不含重金属成份，弹性好，耐撞击。
4、胶粘剂：采用热熔胶。
5、五金配件：采用静音滑轨、锁具及三合一连接件等五金。</t>
  </si>
  <si>
    <t>办公椅</t>
  </si>
  <si>
    <t>仓库</t>
  </si>
  <si>
    <t>（三）1#楼4层</t>
  </si>
  <si>
    <t>书记办公室（1间）、校长室（1间）</t>
  </si>
  <si>
    <t>领导办公桌</t>
  </si>
  <si>
    <t>2000*1600*750</t>
  </si>
  <si>
    <t>1、基材：采用中密度纤维板，经过防虫、防腐等处理。饰面选用木皮贴面，木皮饰面纹理清晰，无节疤；木皮经过防虫防蛀防腐处理。内部结构均匀，密度适中；
2、油漆：采用水性漆，表面平整，无明显颗粒、渣点，颜色均匀，硬度高，耐磨性强，能长久保持漆面效果，表面经过五底三面油漆工艺处理，五遍水性底漆，三遍水性面漆喷涂制作而成。 
3、胶水：采用热熔胶。
4、五金件：采用静音缓冲门铰静音滑轨、锁具及三合一连接件等五金。</t>
  </si>
  <si>
    <t>领导办公椅</t>
  </si>
  <si>
    <t>640*700*1150</t>
  </si>
  <si>
    <t>1,面料：采用西皮饰面，纹理自然，手感舒适，耐磨耐刮。
2,海绵：采用发泡棉，软硬适中，久坐不变形。                    
3,扶手：实木流线型扶手，采用弯曲木扶手架，表面经过五底三面油漆工艺处理，表面光滑，光泽度好，舒适承托手肘，减轻肩膀负担。
4,底盘：多功能底盘，具有升降和逍遥（可锁定）功能。
5,气杆：采用升降气压杆，安全可靠，升降≥30万次无故障。
6,五星脚：实木油漆五星脚，一体成型，加倍结实。脚轮采用静音pu轮，具有噪音小，不伤地板等优点。</t>
  </si>
  <si>
    <t>接待椅</t>
  </si>
  <si>
    <t>1.2米中间文件柜</t>
  </si>
  <si>
    <t>1200*450*2200</t>
  </si>
  <si>
    <t>1、基材：采用中密度纤维板，经过防虫、防腐等处理。饰面选用木皮贴面，木皮饰面纹理清晰，无节疤；木皮经过防虫防蛀防腐处理。内部结构均匀，密度适中；
2、油漆：采用水性漆，表面平整，无明显颗粒、渣点，颜色均匀，硬度高，耐磨性强，能长久保持漆面效果，表面经过五底三面油漆工艺处理，五遍水性底漆，三遍水性面漆喷涂制作而成。 
3、胶水：采用热熔胶。
4、五金件：采用静音缓冲门铰、静音滑轨、拉手及三合一连接件等五金。</t>
  </si>
  <si>
    <t>0.9米两侧文件柜</t>
  </si>
  <si>
    <t>900*450*2200</t>
  </si>
  <si>
    <t>1、基材：采用中密度纤维板，经过防虫、防腐等处理。饰面选用木皮贴面，木皮饰面纹理清晰，无节疤；木皮经过防虫防蛀防腐处理。内部结构均匀，密度适中；
2、油漆：采用水性漆，表面平整，无明显颗粒、渣点，颜色均匀，硬度高，耐磨性强，能长久保持漆面效果，表面经过五底三面油漆工艺处理，五遍水性底漆，三遍水性面漆喷涂制作而成。 
3、胶水：采用热熔胶。
4、五金件：采用静音缓冲门铰、拉手及三合一连接件等五金。</t>
  </si>
  <si>
    <t>茶水柜</t>
  </si>
  <si>
    <t>800*400*850</t>
  </si>
  <si>
    <t>1、基材：采用中密度纤维板，经过防虫、防腐等处理。饰面选用木皮贴面，木皮饰面纹理清晰，无节疤；木皮经过防虫防蛀防腐处理。内部结构均匀，密度适中；
2、油漆：采用水性漆，表面平整，无明显颗粒、渣点，颜色均匀，硬度高，耐磨性强，能长久保持漆面效果，表面经过五底三面油漆工艺处理，五遍水性底漆，三遍水性面漆喷涂制作而成。
3、胶水：采用热熔胶。
4、五金件：采用静音缓冲门铰、静音滑轨、拉手及三合一连接件等五金。</t>
  </si>
  <si>
    <t>单人沙发</t>
  </si>
  <si>
    <t>830*760*700</t>
  </si>
  <si>
    <t>方茶几</t>
  </si>
  <si>
    <t>500*500*420</t>
  </si>
  <si>
    <t>1、基材：采用中密度纤维板，经过防虫、防腐等处理。饰面选用木皮贴面，木皮饰面纹理清晰，无节疤；木皮经过防虫防蛀防腐处理。内部结构均匀，密度适中；
2、油漆：采用水性漆，表面平整，无明显颗粒、渣点，颜色均匀，硬度高，耐磨性强，能长久保持漆面效果，表面经过五底三面油漆工艺处理，五遍水性底漆，三遍水性面漆喷涂制作而成。
3、胶水：采用热熔胶。
4、五金件：采用三合一连接件等五金。</t>
  </si>
  <si>
    <t>洽谈桌</t>
  </si>
  <si>
    <t>φ600*H560</t>
  </si>
  <si>
    <t>1、面板：采用岩板面板,防污性能,硬度高,耐刮花,耐腐蚀,使用寿命长。可选颜色白色和黑色。 岩板厚度≥11mm。                 
2、脚架：管材≥φ19mm,管壁厚度≥1.6mm。经过焊接、打磨、抛光等工艺。表面采用亮光镜面处理、质感好。</t>
  </si>
  <si>
    <t>洽谈椅</t>
  </si>
  <si>
    <t>620*600*730</t>
  </si>
  <si>
    <t>1、背部面料：背部采用PU西皮，有弹性；
2、坐垫及靠背面料：选用加厚混纺布料；
3、海绵：采用高密度、高回弹的原生棉；                                                                       
4、脚架：管材≥φ20mm,管壁厚度≥1.8mm，表面采用喷黑砂工艺。</t>
  </si>
  <si>
    <t>书记、校长办公室外面公区</t>
  </si>
  <si>
    <t>长沙发</t>
  </si>
  <si>
    <t>1820*820*800</t>
  </si>
  <si>
    <t>1、面料：采用西皮饰面，透气性好，质地柔软、耐磨性强，经防污处理,清洁方便。
2、海绵：采用高密度切割棉，表面抗氧化处理。坐感舒适，回弹率高。不变形、不霉变可增加阻燃功能。
3、内架：采用实木刨方，经过高温烘烤，防虫、防霉变。握钉力强、平整度好。 
4、外架：选用橡木为基材，传统榫卯工艺、表面经过五底三面油漆工艺处理，油漆硬度高不易磨花，光泽度高。</t>
  </si>
  <si>
    <t>副校长办公室（4间）</t>
  </si>
  <si>
    <t>办公桌</t>
  </si>
  <si>
    <t>1800*1800*750</t>
  </si>
  <si>
    <t>1、基材：采用中密度纤维板，经过防虫、防腐等处理。饰面选用木皮贴面，木皮饰面纹理清晰，无节疤；木皮经过防虫防蛀防腐处理。内部结构均匀，密度适中；
2、油漆：采用水性漆，表面平整，无明显颗粒、渣点，颜色均匀，硬度高，耐磨性强，能长久保持漆面效果，表面经过五底三面油漆工艺处理，五遍水性底漆，三遍水性面漆喷涂制作而成。 
3、胶水：采用热熔胶。
4、五金件：采用静音滑轨、锁具及三合一连接件等五金。</t>
  </si>
  <si>
    <t>0.8米文件柜</t>
  </si>
  <si>
    <t>1、基材：采用中密度纤维板，经过防虫、防腐等处理。饰面选用木皮贴面，木皮饰面纹理清晰，无节疤；木皮经过防虫防蛀防腐处理。内部结构均匀，密度适中；
2、油漆：采用水性漆，表面平整，无明显颗粒、渣点，颜色均匀，硬度高，耐磨性强，能长久保持漆面效果，表面经过五底三面油漆工艺处理，五遍水性底漆，三遍水性面漆喷涂制作而成。
3、胶水：采用热熔胶。
4、五金件：采用静音缓冲门铰、拉手、锁具及三合一连接件等五金。</t>
  </si>
  <si>
    <t>副校长室外间接待室（4间）</t>
  </si>
  <si>
    <t>1250*600*450</t>
  </si>
  <si>
    <t>1、基材：采用中密度纤维板，经过防虫、防腐等处理。饰面选用木皮贴面，木皮饰面纹理清晰，无节疤；木皮经过防虫防蛀防腐处理。内部结构均匀，密度适中；
2、油漆：采用水性漆，表面平整，无明显颗粒、渣点，颜色均匀，硬度高，耐磨性强，能长久保持漆面效果，表面经过五底三面油漆工艺处理，五遍水性底漆，三遍水性面漆喷涂制作而成。 
3、胶水：采用热熔胶。
4、五金件：采用三合一连接件等五金。</t>
  </si>
  <si>
    <t>党政办公室（3人间2间）党政主任办公室2人间（1间）</t>
  </si>
  <si>
    <t>小型会议室1间(22㎡）</t>
  </si>
  <si>
    <t>1、基材：采用中密度纤维板，经过防虫、防腐等处理。饰面选用木皮贴面，纹理清晰，无节疤；木皮经过防虫防蛀防腐处理。内部结构均匀，密度适中，尺寸稳定性好；又耐用。
2、油漆工艺：采用油性油漆五底三面工艺，经嵌补、磨光、上色，五遍底漆、三遍面漆、紫外线固化等九道磨褪工艺制成；产品色泽一致，保证台面平整无颗粒、气泡、积粉、渣点，色泽均匀。 
3、胶水：采用热熔胶。
4、五金件：采用三合一连接件等五金。</t>
  </si>
  <si>
    <t>1、面料：采用透气西皮，柔软贴手，耐磨性强、透气性好。
2、海绵：内部采用高密度海绵，圆润厚实、弹性好，软硬适中，。
3、靠背座垫夹板：背坐连体双层弯板，座垫承受部分曲木板材经模具捌层高频热压成型，板材厚度≥12mm。板材承受压力达300KG，经防潮、防腐、防蛀等化学处理。
4、椅支架：电镀处理扁管弓形脚，钢管厚度≥1.8毫米，均经酸洗、防锈防腐蚀处理。
5、脚垫：采用橡胶防滑脚垫。</t>
  </si>
  <si>
    <t>1、基材：采用中密度纤维板，经过防虫、防腐等处理。饰面选用木皮贴面，纹理清晰，无节疤；木皮经过防虫防蛀防腐处理。内部结构均匀，密度适中，尺寸稳定性好；又耐用。
2、 油漆工艺：采用油性油漆五底三面工艺，经嵌补、磨光、上色，五遍底漆、三遍面漆、紫外线固化等九道磨褪工艺制成；产品色泽一致，保证台面平整无颗粒、气泡、积粉、渣点，色泽均匀。 
3、胶水：采用热熔胶。
4、五金件：采用静音缓冲门铰、拉手及三合一连接件等五金。</t>
  </si>
  <si>
    <t>贵宾接待室(35㎡）</t>
  </si>
  <si>
    <t>贵宾接待沙发</t>
  </si>
  <si>
    <t>1050*930*900</t>
  </si>
  <si>
    <t>1.面料：西皮，手感舒适，耐磨耐刮；
2.海绵：采用发泡棉，软硬适中，久坐不变形；
3.内框架：采用实木刨方，结实牢靠，不易生虫；
4.实木配件：采用橡木实木外框，表面经过五底三面油漆工艺处理，表面光滑，美观大方。</t>
  </si>
  <si>
    <t>接待茶几</t>
  </si>
  <si>
    <t>680*480*550</t>
  </si>
  <si>
    <t>二、3#4#5#普通教学楼</t>
  </si>
  <si>
    <t>普通教室（60间）</t>
  </si>
  <si>
    <t>讲台</t>
  </si>
  <si>
    <t>1000*600*950</t>
  </si>
  <si>
    <t>1、外形尺寸：总体尺寸1000*600*950mm；
2、讲台桌面采用平面设计，可以放置不同型号笔记本电脑，桌面四周半包围结构，有效防止物品滑落；钢材板厚裸板≥0.8mm.喷塑以后≥1.0mm。
3、讲台前面设置抽屉，可放置板擦、粉笔等教学用具；
4、讲台桌面扶手部分采用实木制成，表面喷防滑漆，使用起来光滑度高，桌面E0级三聚氰胺板颜色为木纹色；
5、整体冲压成型，整体结构紧凑，空间设计合理；
6、讲台下柜前后门均可打开，前门为对开门，方便放设备，后门为抽拉门，节省空间，整个下柜可作为储物柜使用；
7、全部的加工件均采用模具成型，激光切割加工而成、配合优良的焊接工艺，保障尺寸精度及各部件一致性，保证安装的方便快捷。
8、整个讲台采用上下分体，拼装组成。</t>
  </si>
  <si>
    <t>踏台</t>
  </si>
  <si>
    <t>4400*1300*150</t>
  </si>
  <si>
    <t>1、整体采用全木结构，不允许使用刨花板、密度板、防火板等颗粒结构制成的板。所有材料均要进行蒸汽脱脂干燥处理,做到不易变形翘曲。         
2.面板采用新三层实木地板，厚度≥14mm，地板面部带有超耐磨,防滑纹，纹路清晰，避免滑倒；结实耐用，防腐防水抗重压。                       
3.四周围板采用橡胶木指接板制作而成，中间用T字形木档，间隔不得超过30公分.                              4、护边：采用高档铝合金包边，颜色为高档磨砂金黄色，高密度螺丝链接,结实耐用,美观大气                                                                             5、拐角处圆弧处理。</t>
  </si>
  <si>
    <t>手摇升降课桌椅</t>
  </si>
  <si>
    <t>课桌：650*455*640-790（升降高度）
课椅：430*380*380-460</t>
  </si>
  <si>
    <t>课桌：
1.面板
桌面尺寸：650*455*25mm，采用ABS耐冲击塑料一级新料一体射出成型，不得采用回收料生产。靠胸前处有一內弧造型设计，面板前端设置一冂字型防滑落凸条，并设有笔槽。四周及底部完全不得有毛边，得需倒圆角，不刮手。表面有细纹咬花，不得有反光现象。组合设计：面板底部有強化承重之设计。镶入两根方型钢管，并与面板底部平齐，由螺丝锁付于面板底部。
2.书箱
采用PP塑料一级新料一体射出成型。外径尺寸：595mm*420mm*150mm，功能：书箱底部有排水槽缝之设计。排水槽缝不得少于42条。书箱向后并得有倾斜2度的设计。书箱前端的下方设置有一长型凹形笔槽。挂钩采用PP塑料一级新料一体射出成型，功能与工艺要求：左右挂钩与书箱储物槽一体成型。不采用螺丝锁附方式配置挂钩。在静止状态下可以承载不低于10KG左右的挂物承重。
3.桌钢架
材质及形状：地脚钢管采用42*45*1.2mm异形冷轧钢管，桌立柱采用35mm*75mm*厚1.2mm菱形钢管；升降内管采用26mm*62mm*厚1.2mm菱形钢管；下架连接横挡采用1根30*50*1.2mm厚椭圆形冷轧钢管，书斗加强挡采用20*20*1.0mm方管，桌下置物篮采用16mm圆管与4mm实心钢筋折弯交叉焊接而成。钢管架焊接后，表面须经静电粉末喷涂。长时间使用也不会产生表面漆剥落现象，课桌椅升降方式：升降采用套管式内机权螺杆手摇式升降、在桌支撑架内设有高低调节装置包括设在两个升降管内的螺杆、传动轴、摇柄及连接两传动轴的六角型连杆，可在数秒内调节到最适合的高度。更大满足不同学生身高需求，升降管外侧根据实际高度激光打印有永久性刻度标示升降刻度。
4.脚垫
材质：采用全新PP塑料，一次成型静音脚垫，不可采用回收料生产。脚垫尺寸：75mm*46mm*59mm。升降套尺寸：80mm*36mm*40mm。脚垫底部带调节螺丝，可对地面不平进行微调。
课椅：
1.靠背
靠背采用PP塑料，一次注塑而成，靠背面设计符合人体工程学的曲线弧度，上、下外边缘加工成弧形，靠背下外边缘与座面后边缘之间留有净空，靠背尺寸390*266mm，耐冲击，耐抗压，耐磨。
2.坐垫
坐板采用PP材料（工程塑料）一次注塑而成，座面设计符合人体工程学的曲线弧度,座面前外边缘圆弧设计，椅座尺寸430*362mm，耐冲击，耐抗压，耐磨。
3.椅钢架
椅钢架：材质及形状：地脚钢管采用42*45*厚1.2mm异形冷轧钢管，椅立柱采用35mm*75mm*厚1.2mm菱形钢管；升降内管采用26mm*62mm*厚1.2mm菱形钢管；连接横挡采用20*40*厚1.0mm椭圆形冷轧钢管，靠背管采用钢管15*30*1.2mm椭圆钢管，采用全自动满焊焊接技术；焊接部位光滑、平整、无毛刺。表面涂装：焊接完成之钢管架，经静电粉末喷涂。长时间使用也不会产生表面漆剥落现象。课桌椅升降方式：升降采用套管式内机权螺杆手摇式升降、在桌支撑架内设有高低调节装置包括设在两个升降管内的螺杆、传动轴、摇柄及连接两传动轴的六角形连杆，可在数秒内调节到最适合的高度。更大满足不同学生身高需求，升降管外侧根据实际高度激光打印有永久性刻度标示升降刻度。
4.脚垫
材质：采用全新PP塑料，一次成型静音脚垫，不可采用回收料生产。尺寸：脚垫尺寸：75mm*46mm*59mm。升降套尺寸：80mm*36mm*40mm。功能：脚垫底部带调节螺丝，可对地面不平进行微调。</t>
  </si>
  <si>
    <t>套</t>
  </si>
  <si>
    <t>教师批改作业桌</t>
  </si>
  <si>
    <t>1200*600*750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</si>
  <si>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2、基材：采用刨花板，经过防虫、防腐的化学处理，强度高、刚性好、不变形、比重合理。台面及台脚板材厚度≥25mm，其余板材厚度≥16mm。
3、封边：PVC封边条，封边条原料不含重金属成份，弹性好，耐撞击。
4、胶粘剂：采用热熔胶。
5、五金配件：采用静音滑轨、拉手、锁具及三合一连接件等五金，坚固、耐用。</t>
  </si>
  <si>
    <t>教师椅子</t>
  </si>
  <si>
    <t>1、椅背：背框采用全新PP材质，一体注塑成型，高弹力背网。
2、椅座：座垫采用高密度定型海绵，定制弯曲板，舒适透气，配PP工程塑料防尘底壳。
3、椅架：采用：≥1.8mm厚电镀四脚架，全自动机械臂焊接，稳固性强，具有防腐，抗氧化等性能。
4、扶手：扶手面采用PP塑料，扶手框架与椅架一体成型设计。
5、脚垫：超韧尼龙材质，抗磨损性强。</t>
  </si>
  <si>
    <t>图书（60间）</t>
  </si>
  <si>
    <t>书包柜（8格）</t>
  </si>
  <si>
    <t>1000*450*1850</t>
  </si>
  <si>
    <t>1、采用冷轧钢板，钢板厚度≥0.6mm，经过剪切、冲压、折弯、焊接、装配而成；
2、柜体：柜体表面采用抗菌防霉粉末涂料（抗菌塑粉）处理，塑粉附着力强，电子控温燃油固化系统，确保工件受热均匀，光洁平滑。无有机溶液，无毒害无气味，使用无异味；
3、把手：采用ABS材料射出成型，坚固，耐磨，不褪色；
4、五金件：门板与柜体连接处采用门轴连接，螺丝采用镀锌螺丝。
每间教室7组，柜子之间采用螺丝连接固定。 
颜色可定制</t>
  </si>
  <si>
    <t>卫生清洁柜（双开门）</t>
  </si>
  <si>
    <t>800*450*1850</t>
  </si>
  <si>
    <t>1、采用冷轧钢板，钢板厚度≥0.6mm，经过剪切、冲压、折弯、焊接、装配而成；
2、柜体：柜体表面采用抗菌防霉粉末涂料（抗菌塑粉）处理，塑粉附着力强，电子控温燃油固化系统，确保工件受热均匀，光洁平滑。无有机溶液，无毒害无气味，使用无异味；
3、把手：采用ABS材料射出成型，坚固，耐磨，不褪色；
4、五金件：门板与柜体连接处采用门轴连接，螺丝采用镀锌螺丝。 
颜色可定制</t>
  </si>
  <si>
    <t>书架</t>
  </si>
  <si>
    <t>900*350*1850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</si>
  <si>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2、基材：采用刨花板，经过防虫、防腐的化学处理，强度高、刚性好、不变形、比重合理。顶板及层板厚度≥25mm，其余板材厚度≥16mm。
3、封边：PVC封边条，封边条原料不含重金属成份，弹性好，耐撞击。
4、胶粘剂：采用热熔胶。
5、五金配件：采用三合一连接件。</t>
  </si>
  <si>
    <t>阅读桌</t>
  </si>
  <si>
    <t>2000*500*750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</si>
  <si>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2、基材：采用刨花板，经过防虫、防腐的化学处理，强度高、刚性好、不变形、比重合理。桌面板厚度≥25mm。
3、封边：PVC封边条，封边条原料不含重金属成份，弹性好，耐撞击。
4、胶粘剂：采用热熔胶。
5、脚架：采用壁厚≥1.2mm静电喷涂粉末处理的钢管，坚固、耐用。
6、五金配件：采用三合一连接件。</t>
  </si>
  <si>
    <t>阅读凳</t>
  </si>
  <si>
    <t>330*240*450</t>
  </si>
  <si>
    <t>1、面材：采用耐磨E0级三聚氰胺浸渍饰面，具防水、防烫、防碱、防火、耐磨、防污、硬度高。表面哑光效果持久，硬度高色牢度高，可保持长久不褪色；
2、基材：刨花板，通体采用≥18mm板材，经过防虫、防腐的化学处理，强度高、刚性好、不变形、比重合理。                                                                                                                                    
3、封边：选用PVC同色封边。
5、脚架：采用壁厚≥1.2mm静电喷涂粉末处理的钢管。
5、五金件：采用五金配件，坚固、耐用。</t>
  </si>
  <si>
    <t>4#楼一层多功能室（1间，双人桌20套，40人，阶梯排椅可供66人使用）</t>
  </si>
  <si>
    <t>双人桌</t>
  </si>
  <si>
    <t>1210*480*760</t>
  </si>
  <si>
    <t>1.面板：
尺寸：W1210*D480mm，厚≥25mm。
材质：采用≥25mm厚中纤板，经模具热压成型,面板四周采用注塑封边，面板四周倒鸭嘴边设计，光滑无棱角。
2.书网： 
尺寸：W790*D290mm
材质：采用条形铝合金一体压铸成型支架作为支撑件，中间贯穿5条拉铝型材和1条异形铝合金笔槽组成书网。
3.前挡板：
尺寸：W1005*D300mm，壁厚≥1.0mm。
材质：采用冷轧钢板经高速自动冲床冲孔，挡板两边和顶部焊有钢板。
4.钢架：
尺寸：课桌钢架整体尺寸为W1085*D500*H725mm；立柱尺寸为W80*D35mm，
材质：采用铝合金经模具压铸整体成型，表面经打磨、静电喷粉。书包勾采用钢筋折弯成型，焊接于面板支撑件上，
5.脚垫：采用硅胶调节防滑脚垫，防滑防刮伤。</t>
  </si>
  <si>
    <t>弓形椅</t>
  </si>
  <si>
    <t>482*475*813               
座高：439</t>
  </si>
  <si>
    <t>1.椅面：
尺寸：W430*D456*H443mm 
材质：采用PP+GF整体注塑成型。
功能：椅背中心内凹，椅背上部设有异形孔，起到把手作用；座板采用下凹式曲线弧度设计，座板底部两侧设有加强筋，起到加强座板承重性和连接课椅钢架的作用。
2.椅架：
尺寸：椅架尺寸为34*16mm，壁厚≥1.8mm椭圆管
材质：采用直缝电焊钢管和钢板满焊焊接，钢架表面经磷化处理，静电粉末喷涂。
3.底盖、压条：
尺寸：底盖尺寸为W382*D180*H42mm，压条尺寸为W162*D24*H32mm
材质：注塑一体成型
功能：底盖盖合课椅钢架顶部，增加美观性的同时增强安全防护，底盖压条位于底盖底部，起到椅子悬挂桌面时防滑防刮伤桌面的作用，方便打扫卫生。
4.脚垫：
材质：采用 PP+GF 耐冲击塑料注塑成型。
功能：脚垫一体包覆钢架，防滑防刮伤地板。</t>
  </si>
  <si>
    <t>2人位固定条桌</t>
  </si>
  <si>
    <t>1400*400*800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</si>
  <si>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2、基材：采用刨花板，经过防虫、防腐的化学处理，强度高、刚性好、不变形、比重合理。台面板材厚度≥25mm，其余板材厚度≥16mm。
3、封边：PVC封边条，封边条原料不含重金属成份，弹性好，耐撞击。
4、胶粘剂：采用热熔胶。
5、功能：每张桌设2个或3个敞格，敞格内净空高不低于H100mm；设前挡板。
6、钢架：尺寸：排桌钢架由桌底连接框和两个桌腿连接组成，桌底连接框为20mm*20mm，壁厚≥1.5mm的方管，桌腿立柱尺寸为50mm*50mm，壁厚≥1.5mm的方管，立柱底部焊接≥5mm厚固定圆脚板；
7、装饰罩：立柱底部设有圆形装饰罩，安全防护。</t>
  </si>
  <si>
    <t>3人位固定条桌</t>
  </si>
  <si>
    <t>1650*400*800</t>
  </si>
  <si>
    <t>四脚椅</t>
  </si>
  <si>
    <t>475*496*813      
  座高：439</t>
  </si>
  <si>
    <t>1.椅面：
尺寸：W430*D456*H443mm
材质：采用PP+GF整体注塑成型。  
功能：椅背中心内凹，椅背上部设有异形孔，起到把手作用；座板采用下凹式曲线弧度设计，座板底部两侧设有加强筋，起到加强座板承重性和连接课椅钢架的作用。
2.椅架： 
尺寸：前U型弯管和后U型弯管尺寸为34*16mm，壁厚≥1.8mm椭圆管
材质：采用直缝电焊钢管和钢板满焊焊接，钢架表面经磷化处理，静电粉末喷涂
3.底盖、压条：
尺寸：底盖尺寸为W382*D180*H42mm，压条尺寸为W162*D24*H32mm
材质：注塑一体成型
功能：底盖盖合课椅钢架顶部，增加美观性的同时增强安全防护，底盖压条位于底盖底部。
4.脚垫：
材质：采用 TPU软胶脚垫。
功能：脚垫采用圆弧形设计，方便多角度着地；软胶材质能更好保护地面，防滑防刮伤地面。</t>
  </si>
  <si>
    <t>教研录播室（2间）（录播室一60人，录播室二48人）+观摩室</t>
  </si>
  <si>
    <t>1、外形尺寸：总体尺寸1000*600*950mm；
2、讲台桌面采用平面设计，可以放置不同型号笔记本电脑，桌面四周半包围结构，有效防止物品滑落；钢材板厚裸板≥0.8mm.喷塑以后≥1.0mm。
3、讲台前面设置隐藏式抽拉储物盒，可放置笔记本电脑、键盘鼠标、板擦、粉笔等教学用具；
4、讲台扶手，背板采用实木制成，表面喷防滑漆，使用起来光滑度高，桌面E0级三聚氰胺板颜色为木纹色；
5、整体冲压成型，整体结构紧凑，空间设计合理；
6、讲台下柜前后门均可打开，前门为对开门，方便放设备，后门为抽拉门，节省空间，整个下柜可作为储物柜使用；
7、全部的加工件均采用模具成型，激光切加工而成、配合优良的焊接工艺，保障尺寸精度及各部件一致性，保证安装的方便快捷。
8、整个讲台采用上下分体，拼装组成。</t>
  </si>
  <si>
    <t>1.面板：
尺寸：W1210*D480mm，厚25mm。
材质：采用≥25mm厚中纤板，经模具热压成型,面板四周采用注塑封边，面板四周倒鸭嘴边设计，光滑无棱角。
2.书网： 
尺寸：W790*D290mm
材质：采用条形铝合金一体压铸成型支架作为支撑件，中间贯穿5条拉铝型材和1条异形铝合金笔槽组成书网。
3.前挡板：
尺寸：W1005*D300mm，壁厚≥1.0mm。
材质：采用冷轧钢板经高速自动冲床冲孔，挡板两边和顶部焊有钢板。
4.钢架：
尺寸：课桌钢架整体尺寸为W1085*D500*H725mm；立柱尺寸为W80*D35mm，
材质：采用铝合金经模具压铸整体成型，表面经打磨、静电喷粉。书包勾采用钢筋折弯成型，焊接于面板支撑件上，
5.脚垫：采用硅胶调节防滑脚垫，防滑防刮伤。</t>
  </si>
  <si>
    <t>梯形桌子</t>
  </si>
  <si>
    <t>1000*500*607~757</t>
  </si>
  <si>
    <t>1、单个面板：
1.1 规格：W1000mm*D500mm，厚≥18mm 
1.2 主要材质：刨花板
1.3 工艺：面板采用≥18mm厚饰面刨花板，表面耐磨、防污、硬度高、不易变色；面板形状采用等腰梯形设计。
2、桌架：
桌脚采用φ30mm*1.5mm的套杆和φ25mm*1.5mm的內杆制成，横梁采用40mm*20mm*1.5mm的矩形管，门字形桌架采用满焊焊接而成，2个门字形桌架与2根40mm*20mm*1.5mm矩形连接管通过隐藏式U型件拆装，构成整个桌架。采用万向调节脚，可实现高度调节以应对地面不平整。桌脚可实现高度调节（607mm~757mm，7档，每档间隔25mm），使用M4外六角扳手即可快速调节，螺丝锁付固定。
3、功能：
①可以实现6人组合成外径W2029mm*D1783mm的六边形讨论小组，也可以作为单人课桌灵活使用；
②桌面外侧四角倒圆（R≥20mm），不出现尖角，起到安全防磕伤的作用；采用PVC同色或黑色封边条。
③桌面有多种木纹及纯色饰面可选，以便课桌与整体空间颜色搭配协调。</t>
  </si>
  <si>
    <t>1.椅面：
尺寸：W430*D456*H443mm  
材质：采用PP+GF整体注塑成型。
功能：椅背中心内凹，椅背上部设有异形孔，起到把手作用；座板采用下凹式曲线弧度设计，座板底部两侧设有加强筋，起到加强座板承重性和连接课椅钢架的作用。
2.椅架：
尺寸：椅架尺寸为34*16mm，壁厚≥1.8mm椭圆管
材质：采用直缝电焊钢管和钢板满焊焊接，钢架表面经磷化处理，静电粉末喷涂
3.底盖、压条：
尺寸：底盖尺寸为W382*D180*H42mm，压条尺寸为W162*D24*H32mm
材质：注塑一体成型
功能：底盖盖合课椅钢架顶部，增加美观性的同时增强安全防护，底盖压条位于底盖底部，起到椅子悬挂桌面时防滑防刮伤桌面的作用，方便打扫卫生。
4.脚垫：
材质：采用 PP+GF 耐冲击塑料注塑成型。
功能：脚垫一体包覆钢架，防滑防刮伤地板。</t>
  </si>
  <si>
    <t>观摩椅（带写字板）</t>
  </si>
  <si>
    <t>670*700*805</t>
  </si>
  <si>
    <t>1、椅背：背框采用全新PA+玻纤材质，一体注塑成型，高弹力竹节布背网，靠背倾仰机构设计，前后滑动扶手，有效距离不低于2.5cm。
2、椅座：座垫采用高密度定型海绵，定制弯曲板，舒适透气，配PP工程塑料防尘底壳。
3、椅架：采用壁厚≥1.5mm碳素钢椅架，全自动机械臂焊接，稳固性强，高速打砂除锈处理，表面高温喷涂烤漆，漆面牢固，具有防腐，抗氧化等性能，特制脚垫，全新超韧尼龙材质，抗磨损性强。
4、写字板：采用PA+30%玻纤加厚板面，搭配精抛铝合金旋转机构，可灵活旋转收放。
5、功能：椅架全折叠收纳，节省空间。</t>
  </si>
  <si>
    <t>图书馆</t>
  </si>
  <si>
    <t>前台</t>
  </si>
  <si>
    <t>2400*780*1100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</si>
  <si>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2、基材：采用刨花板，经过防虫、防腐的化学处理，强度高、刚性好、不变形、比重合理；台面及台脚板材厚度≥25mm，其余板材厚度≥16mm。
3、封边：PVC封边条，封边条原料不含重金属成份，弹性好，耐撞击。
4、胶粘剂：采用热熔胶。
5、五金件：采用静音缓冲门铰、静音滑轨、锁具及三合一连接件等五金。</t>
  </si>
  <si>
    <t>1、选用防污透气纤维织物网布。
2、座垫面料采用防污弹力布座布布料，质感细腻，手感舒适，无色差，无异味；
3、海绵：内部采用高密度定型海绵，圆润厚实、弹性好，软硬适中。
4、转椅扶手及靠背塑胶配件：采用PP塑胶，塑胶零件不会变形，脆裂等现象，活动自如。
5、底盘：采用钢板冲压而成。电脑控制，精密准确，承受力强，并保持恒久，不会变形，符合人体工程学。
6、气压棒：采用三级电镀气棒，该气压棒在正常使用下能承受不低于20万次的循环加压而不出现金属疲劳。
7、椅脚：采用PP的五星脚，可承受不低于1200KG的压力（静止）。
8、椅轮：采用黑色PA轮。</t>
  </si>
  <si>
    <t>双面书架</t>
  </si>
  <si>
    <t>900*450*2000</t>
  </si>
  <si>
    <t>1、立柱：每层双面之间以分隔隔开；采用≥1.2mm厚冷轧钢板，七面六折弯辊压成型。
2、层板：活动层板四边折弯，搁板能沿立柱垂直方向随意调整高度。层板选用≥1.0mm厚冷轧钢板,一次性辊压成型，成型厚度≥25mm。
3、挂板：选用≥0.8mm厚冷轧钢板,一次性辊压成型。
4、侧面板：采用冷轧钢板，材质厚度≥0.8mm，表面哑光喷塑，侧面板采用竖三拼镶嵌式。
5、顶板：选用≥0.8mm厚冷轧钢板整体刚性又能起到防尘作用，经双面二次折弯，四角对焊，使其成框架结构。
6、表面处理：采用型环氧聚酯粉末静电喷涂。
7、层数五层。</t>
  </si>
  <si>
    <t>节</t>
  </si>
  <si>
    <t>期刊架</t>
  </si>
  <si>
    <t>620*350*1270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</si>
  <si>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2、基材：采用刨花板，经过防虫、防腐的化学处理，强度高、刚性好、不变形、比重合理。全板材厚度≥16mm。
3、封边：PVC封边条，封边条原料不含重金属成份，弹性好，耐撞击。
4、胶粘剂：采用热熔胶。</t>
  </si>
  <si>
    <t>定制靠窗书柜矮柜</t>
  </si>
  <si>
    <t>1260*300*910</t>
  </si>
  <si>
    <t>6人阅览桌</t>
  </si>
  <si>
    <t>2300*1000*750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</si>
  <si>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2、基材：采用刨花板，经过防虫、防腐的化学处理，强度高、刚性好、不变形、比重合理。台面板材厚度≥25mm。
3、封边：PVC封边条，封边条原料不含重金属成份，弹性好，耐撞击。
4、胶粘剂：采用热熔胶。
5、脚架：采用壁厚≥1.2mm静电喷涂粉末处理的钢管</t>
  </si>
  <si>
    <t>阅览椅</t>
  </si>
  <si>
    <t>500*550*780</t>
  </si>
  <si>
    <t>1. 采用聚丙烯一体注塑成型；
2. 整张椅子采用无螺丝结构，不含任何金属部件，防腐能力强，可以承重不低于200KG。
3. 采用4轴旋转机构连接，可折叠收纳丝滑无卡顿，中轴长度115mm，宽度32mm，厚度≥16mm。内含直径15mm销轴连接。
4. 座面：座高455mm，座宽445mm，座深435mm，坐板厚度≥7mm，座面边缘采用碳纤维3D立体纹，提升整体档次，中间一圈6毫米纹理美工设计，提高摩擦力，提升人体防滑作用，座面根据人体曲线设计舒适配比，座感好等，有5种常规颜色可选。
6. 椅背：靠背和椅前脚一体成型，结构牢固，背上宽420mm，前脚下宽500mm，具备使用者单手手提功能，无毛边，不伤手，背高230mm，背厚≥7mm，背弧度R200mm包覆性明显，提高整椅的舒适度，5种常规颜色可选。
7. 椅脚：40*23mm成矩形设计、双脚横杆一体成型连接，结构稳定，PU耐磨脚垫保护地板随意推拉，整椅可承重不低于200KG。</t>
  </si>
  <si>
    <t>正方形墩</t>
  </si>
  <si>
    <t>450*450*380</t>
  </si>
  <si>
    <t>1、饰面：透气西皮面料柔软贴手，透气性好、应无色差，表面无龟裂、破损，无油腻感。经精选裁剪，用高速衣车及粗线车套，直接包面，沉稳舒适。（颜色可选) 
2、海绵：高密度高回弹海绵，软硬适中。  
3、内架框架：主要骨架材料为落叶松实木框架，成型部位可使用多层板定框成型，连接处必须牢固。经干燥防腐处理，木方经过烘干，杀虫、除菌处理，杜绝霉变、虫蛀。
4、承重弹力结构：靠背装钉多条橡筋，坐垫为标准间距蛇形簧+平衡橡筋+面布；
5、底部脚垫：配置黑色塑料防滑脚垫，防滑耐磨。</t>
  </si>
  <si>
    <t>六边形墩</t>
  </si>
  <si>
    <t>450*450*400</t>
  </si>
  <si>
    <t>一层部级主任办公室（3间）、二层学生工作处主任室（1间）二层学生事务办公室（1间）、教师办公室（16间）</t>
  </si>
  <si>
    <t>屏风桌</t>
  </si>
  <si>
    <t>1630*1600*1100（总尺寸，含屏风尺寸）</t>
  </si>
  <si>
    <t>台面尺寸：1300*700*25，侧柜尺寸：1600*300*1100
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2、基材：采用刨花板，经过防虫、防腐的化学处理，强度高、刚性好、不变形、比重合理；
3、封边：PVC封边条，封边条原料不含重金属成份，弹性好，耐撞击。
4、胶粘剂：采用热熔胶。
5、屏风采用30款铝合金屏风，内部型材壁厚：1.0-1.2mm，韦氏硬度：11°-14°；产品主骨架壁厚≥1.5 mm，局部加强壁厚≥2.0 mm，韦氏硬度：14°-16°,倒角：R0.5 mm，型材为6063硬质合金。上面为条纹玻璃，屏风玻璃上面可加印学校logo。
6、五金件：选用静音滑轨、锁具及三合一连接件等五金。
7、在主机位置预留3个86面板槽孔位。</t>
  </si>
  <si>
    <t>1、头枕：采用PP固定头枕，网布加宽设计；
2、网布：选用防污透气纤维织物网布。
3、座垫面料采用防污弹力布座布布料，质感细腻，手感舒适，无色差，无异味；
4、海绵：内部采用高密度定型海绵，圆润厚实、弹性好，软硬适中。
5、转椅扶手及靠背塑胶配件：采用PP塑胶，塑胶零件不会变形，脆裂等现象，活动自如。
6、底盘：采用钢板冲压而成。电脑控制，精密准确，承受力强，并保持恒久，不会变形，符合人体工程学。
7、气压棒：采用三级电镀气棒，该气压棒在正常使用下能承受不低于20万次的循环加压而不出现金属疲劳。
8、椅脚：采用PP的五星脚，可承受不低于1200KG的压力（静止）。
9、椅轮：采用黑色PA轮。</t>
  </si>
  <si>
    <t>800*400*1180</t>
  </si>
  <si>
    <t>6人长桌</t>
  </si>
  <si>
    <t>2400*800*750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</si>
  <si>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2、基材：采用刨花板，经过防虫、防腐的化学处理，强度高、刚性好、不变形、比重合理。台面板材厚度≥25mm。
3、封边：PVC封边条，封边条原料不含重金属成份，弹性好，耐撞击。
4、胶粘剂：采用热熔胶。
5、脚架：采用壁厚≥1.2mm静电喷涂粉末处理的钢管，</t>
  </si>
  <si>
    <t>圆桌</t>
  </si>
  <si>
    <t>直径800*750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</si>
  <si>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2、基材：采用刨花板，经过防虫、防腐的化学处理，强度高、刚性好、不变形、比重合理。台面板材厚度≥25mm。
3、封边：PVC封边条，封边条原料不含重金属成份，弹性好，耐撞击。
4、胶粘剂：采用热熔胶。
5、脚架：采用钢制脚架。</t>
  </si>
  <si>
    <t>1、靠背采用防污透气纤维织物（网布），座垫面料采用涤纶布料，柔软贴手，耐磨性强、透气性好。
2、海绵：采用高密度海绵，软硬适中，回弹性与透气性好。 
3、坐垫夹板：经模具捌层高频热压成型，板材厚度≥12mm。
4、扶手：采用连体固定扶手。
5、椅脚：采用黑砂纹钢制喷塑弓形架。</t>
  </si>
  <si>
    <t>一层小会议室（3间）每幢1间</t>
  </si>
  <si>
    <t>会议桌</t>
  </si>
  <si>
    <t>4200*1600*750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</si>
  <si>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2、基材：采用刨花板，经过防虫、防腐的化学处理，强度高、刚性好、不变形、比重合理。台面板材厚度≥25mm。
3、封边：PVC封边条，封边条原料不含重金属成份，弹性好，耐撞击。
4、胶粘剂：采用热熔胶。
5、脚架：采用壁厚≥1.2mm静电喷涂粉末处理的钢管。</t>
  </si>
  <si>
    <t>4#楼一层培训室（1间）</t>
  </si>
  <si>
    <t>培训桌</t>
  </si>
  <si>
    <t>1、面材：耐磨E0级三聚氰胺浸渍饰面，防火、耐磨、防污、硬度高，表面哑光效果持久。
2、基材：刨花板，经过防虫、防腐的化学处理，强度高、刚性好、不变形、比重合理。台面板厚度≥25mm，前挡板厚度≥16mm。
3、封边：PVC封边条，封边条原料不含重金属成份，弹性好，耐撞击；
4、胶粘剂：采用热熔胶。
5、台架：采用全铝合金材质，全模具化生产，表面精致，细腻，不生锈，可回收再利用，无污染。台脚颜色标配喷砂黑色。                 
6、桌脚采用PU万向脚轮，带刹车，移动静阻尼无声，平滑滚动的脚轮有助于会议空间的灵活配置。                                        
7、桌面一键快捷翻转折叠，中间配备手柄，翻起台面时，手柄自动支撑台面，拉手表面喷胶工艺，手感舒适。                                                                                          8、可以叠位放置，节约空间。                                                    9、配备防护机构，保证在打开和叠放时不会碰伤木板和铝材表面。                      
10、同时配备台面连接扣，可以实现产品直线快捷免工具连接及分离。                                                            11、配挡板，配书网，挡板安装快捷方便，可随时增加或拆卸。</t>
  </si>
  <si>
    <t>培训椅</t>
  </si>
  <si>
    <t>560*640*890</t>
  </si>
  <si>
    <t>1、靠背选用网布。    
2、座垫面料采用防污涤纶布料，质感细腻，手感舒适，无色差，无异味；  
3、内部采用高密度定型海绵，圆润厚实、弹性好，软硬适中。 
4、扶手:选用PP料固定扶手。
5、椅架：采用加厚静电喷塑钢架，模具折弯成型，表面除油、除锈、磷化等处理。  
6、脚垫：采用PP塑料，不易磨损地面，防腐蚀功能。</t>
  </si>
  <si>
    <t>4#楼1F通用技术耗材仓库（2间）5#楼2F学工处小仓库（1间）</t>
  </si>
  <si>
    <t>三、7#食堂、风雨操场</t>
  </si>
  <si>
    <t>（一）7#楼1层</t>
  </si>
  <si>
    <t>学生餐厅(1272位)</t>
  </si>
  <si>
    <t>四人位连体餐桌椅</t>
  </si>
  <si>
    <t>1200*1560*750</t>
  </si>
  <si>
    <t>1.规格：餐桌椅四人位为一组，整体尺寸为1200mm*1560mm*750mm，台面尺寸为1200mm*600mm，岩板厚度≧11mm，实木多层板底板厚度≧15mm，台面到地面高度750mm；
2.椅面：基材采用PP加纤材质，经模具一体压铸成型，椅面光亮平滑无任何凹凸棱角，座椅面不得有任何镂空处，靠背与坐板人体工学弧形设计，椅背弧度与人体背部贴合更紧密，久坐不累，坐感舒适，椅面PP加纤材质具有较强的韧性和良好的稳定性和耐热性，抗腐蚀、不褪色、易清洁、经得起人为踩踏不撕裂不变形。座椅面四周加强筋设计，加强座椅稳固性，椅面整体厚度不低于12mm，椅面左右最宽距离为469mm,单个座椅靠背高度为385mm，椅面深度385mm；
3.脚套桶：采用塑料pp材质，结构设计为喇叭脚形状，上直径77mm，下直径150mm，椅脚总长270mm，喇叭形脚桶造型独特，美观舒适；
4.金属框架：采用冷轧钢管材质，钢管加粗加厚管材，管材厚度≧1.5mm,经激光切管，焊接，抛光打磨后表面经脱脂、清洗、酸洗、磷化、表调、清洗、烘干、喷塑，经200℃高温固化，铁钉刺击无痕迹，不脱落，不开裂，抗腐蚀性强，涂层牢固，稳固性强。要求主框架管材规格为50*50*1.5mm，副框架管材规格为40*40*1.5mm，结实稳固；
5.台面：采用岩板材质，高温烧制，能够经得起切割、钻孔、打磨等加工过程的岩板，耐刮耐磨，不生锈，耐高温，方便清洁消毒；岩板台面底部加装尺寸≧720*300mm，厚度≧15mm的实木多层板托板，实木多层板托板与钢架连接，使餐台面整体结构更稳固，桌面耐污染： 酱、醋、可乐饮料、果蔬汁，24h无明显痕迹。</t>
  </si>
  <si>
    <t>绿植隔断</t>
  </si>
  <si>
    <t>1500*300*1050</t>
  </si>
  <si>
    <t>1、基材：采用实木多层板,基材厚度≥15mm；
2、饰面：表面贴防火板饰面，防火板饰面具有耐刮耐磨、耐高温、抗渗透、易清洁以及色泽鲜艳的特性；
3、封边：采用≧1mm厚PVC封边条，热熔胶粘合封边，吸附力强、厚实耐磨、色泽美观、手感光滑，无任何鼓包等不良现象；
4、接地处采用不锈钢材质，管材规格25*50mm,厚度≥1.0mm,美观舒适，连接处采用氩弧焊接工艺处理，表面、连接处打磨光滑后，经不锈钢镀钛工艺处理，不开裂，抗腐蚀性强，稳固性强。</t>
  </si>
  <si>
    <t>办公室（1间）检验留样室（1间）</t>
  </si>
  <si>
    <t>1.2米办公桌</t>
  </si>
  <si>
    <t>1、选用防污透气纤维织物网布。
2、座垫面料采用防污弹力布座布布料，质感细腻，手感舒适，无色差，无异味；
3、海绵：内部采用高密度定型海绵，圆润厚实、弹性好，软硬适中。
4、转椅扶手及靠背塑胶配件：采用PP塑胶，塑胶零件不会变形，脆裂等现象，活动自如。
5、底盘：采用钢板冲压而成。电脑控制，精密准确，承受力强，并保持恒久，不会变形，符合人体工程学。
6、气压棒：采用三级电镀气棒，该气压棒在正常使用下能承受不低于不低于20万次的循环加压而不出现金属疲劳。
7、椅脚：采用PP的五星脚，可承受不低于1200KG的压力（静止）。
8、椅轮：采用黑色PA轮。</t>
  </si>
  <si>
    <t>更衣室（2间）</t>
  </si>
  <si>
    <t>更衣柜</t>
  </si>
  <si>
    <t>单列尺寸380*500*1890</t>
  </si>
  <si>
    <t>1、材质：更衣柜为ABS塑料制成，强度高、韧性好、耐冲击，不易腐蚀，无毒无味，耐用。
2、工艺：采用钢制模具注塑一次成型；
3、产品特点：榫接结构并合理布局加强筋，安装时不用胶水粘结，不用任何螺丝，使用产品自身力量相互连结，结构牢固！产品不变形、不扭曲，达到可重复拆装使用。
4、使用寿命：抗冲击、耐腐蚀、不生锈，设计使用寿命不低于20年。                           
5、铰链：每门2个尼龙铰链。
6、安装方式：榫卯连接，牢固耐用，底座高度为100mm，上下板厚≥30mm从而使产品更牢固、结实耐用。每个门板与侧板连结采用高强度尼龙防水铰链和上下门轴加固.，使门更结实耐用，门板与侧板并安装有防盗插销。每门要加装拉手（作用1.方便开关门；2.防止门在不锁状态下自动开门，撞伤他人。）
7、门 副板和多功能盒：采用一体注塑成型。
8、配置：机械锁具。</t>
  </si>
  <si>
    <t>列</t>
  </si>
  <si>
    <t>条凳</t>
  </si>
  <si>
    <t>1200*400*450</t>
  </si>
  <si>
    <t>材质：采用全塑料（PVC+ABS）材质，强度高、韧性好、耐冲击，不易腐蚀，无毒无味，耐用。具有彻底防水、不生锈的优势。</t>
  </si>
  <si>
    <t>（二）7#楼2层</t>
  </si>
  <si>
    <t>学生餐厅（980位）</t>
  </si>
  <si>
    <t>老师餐厅</t>
  </si>
  <si>
    <t>四人位分体餐桌</t>
  </si>
  <si>
    <t>1.台面：基材采用岩板材质，岩板基材由石粉、长英石等天然原材料经过特殊工艺，经过切割、打磨加工而成，岩板台面底部需加装≧1000*400mm的实木多层板托板，其厚度不低于15mm、实木多层托板与岩板台面使用高强度混合胶紧密贴合；并在实木多层板托板上预埋螺丝安装位不低于6处，组装后使整体结构更稳固；岩板耐刮耐磨，耐腐蚀，耐高温，耐污染、方便清洁消毒。
2.框架：采用冷轧钢材质，钢管规格25*50mm，基材采用厚度≧1.50mm加粗加厚管材，经激光切管，定孔，焊接，抛光打磨后表面喷涂处理。管材两端需预留链接件孔位、便于链接卡扣、增强整体框架结构稳固性。整体框架需预留6处螺丝孔位、便于桌面与钢架紧密链接。
3.桌脚：采用冷轧钢材质，钢板基材采用厚度≧2.0mm加粗加厚板材，经激光切板，定孔，折弯、焊接，抛光打磨后表面喷涂处理。桌脚管材顶端需预留1处螺丝孔位、便于桌脚、框架、链接件三大部件成套组装、桌脚最顶端与框架需保持一条水平面、有效防止桌面板磨损、高低不平。桌脚底部配制可调节360度活动脚垫，ABS材质制作，适用于多种场合，使产品处于水平状态，防滑，防止刮痕地板，摩擦刺耳的声音。</t>
  </si>
  <si>
    <t>餐椅</t>
  </si>
  <si>
    <t>490*420*785</t>
  </si>
  <si>
    <t>1.座椅面:采用PP加纤一体注塑成型，整体为分体式设计，座板与背板独立，方便日后维护，背椅面与L型承托结构采用嵌入式椅背不得出现任何螺丝，座板最宽处宽度420mm，深度380mm，背板最宽处宽度390mm，高度200mm，PP加纤具有较强的韧性和良好的稳定性和耐热性，方便清洁卫生，坐感舒适;
2.座板与背板L型底座连接件:采用铝合金材质一体压铸成型，L型承托结构，表面经抛光、打磨后喷涂工艺处理；L型连接件背部最窄处宽度80mm，厚度≥11mm，坐板底托≧255*225mm,底座底部通过内六角螺丝把底座固定在圆管的支撑片上，底座用于固定座、背椅面，结构牢固，符合人体工学设计；
3.椅架：采用冷轧钢材质，钢管直径≧19mm，壁厚≧2.0mm，管材经激光切割，折弯，焊接，抛光打磨后表面喷涂处理，铁钉刺击无痕迹，不脱落，不开裂，抗腐蚀性强，涂层牢固，椅架与底座连接件连接方式采用内六角螺丝连接，整体牢固不脱落，椅架接地处加装塑料脚垫，防滑耐用，使用更平稳；</t>
  </si>
  <si>
    <t>定制长款卡座沙发（具体根据现场实际尺寸测量）</t>
  </si>
  <si>
    <t>5600*600*950</t>
  </si>
  <si>
    <t>1.主框架：采用高强度不锈钢金属底框+实木多层板框架结构，封边采用≧1mm厚PVC胶边，热熔胶粘合封边，吸附力强、厚实耐磨、色泽美观、手感光滑，无任何鼓包等不良现象。接地处采用不锈钢材质，管材规格25*50mm,厚度≥1.0mm,美观舒适，连接处采用氩弧焊接工艺处理，表面、连接处打磨光滑后，经不锈钢拉丝工艺处理，不开裂，抗腐蚀性强，稳固性强；
2.连接件：隐藏式榫卯结构，避免松动。  
3.坐垫/靠背：采用高密度回弹海绵，记忆棉+乳胶复合层，确保长期使用不变形。  
4.皮革：加厚西皮，柔软贴手，耐磨性强、透气性好。  
5.木饰面：贴防火板饰面，防火板饰面具有耐刮耐磨、耐高温、抗渗透、易清洁以及色泽鲜艳的特性。
6.坐深：480-550mm，坐高450-480mm、高度950-1050mm。
7.靠背倾角：90°-100°（固定式）。  
8.静音设计，底部安装消音脚垫。
9.缝线工艺：采用双针衍线或手工绗缝，线色与主材配色一致。</t>
  </si>
  <si>
    <t>单组卡座沙发</t>
  </si>
  <si>
    <t>1400*600*950</t>
  </si>
  <si>
    <t>卡座餐桌</t>
  </si>
  <si>
    <t>1.台面：基材采用岩板材质，岩板基材由石粉、长英石等天然原材料经过特殊工艺，经过切割、打磨加工而成，岩板餐台底部需加装≧800*400mm的实木多层板托板，其厚度不低于15mm、实木多层托板与岩板台面使用高强度混合胶紧密贴合，岩板耐刮耐磨，耐腐蚀，耐高温，耐污染、方便清洁消毒；
2.整体框架：采用冷轧钢材质，钢架底盘采用400*800mm厚度为≥7mm钢板，支撑立柱采用Φ76mm厚度≥1.2mm加厚、加粗钢管，支撑立柱顶端采用300mm*300mm钢制托盘厚度≥2.0mm、经久耐用，造型美观舒适，结构牢固，表面经脱脂、清洗、酸洗、磷化、表调、清洗、烘干、喷塑，经200℃高温固化，铁钉刺击无痕迹，不脱落，不开裂，抗腐蚀性强，涂层牢固，稳固性强，适用于多种场合；</t>
  </si>
  <si>
    <t>1400*300*1050</t>
  </si>
  <si>
    <t>1000*300*1050</t>
  </si>
  <si>
    <t>四人位方桌</t>
  </si>
  <si>
    <t>800*800*750</t>
  </si>
  <si>
    <t>1.台面：基材采用岩板材质，岩板基材由石粉、长英石等天然原材料经过特殊工艺，经过切割、打磨加工而成，岩板台面底部需加装≧1000*400mm的实木多层板托板，其厚度不低于15mm、实木多层托板与岩板台面使用高强度混合胶紧密贴合；并在实木多层板托板上预埋螺丝安装位不低于6处，组装后使整体结构更稳固；岩板耐刮耐磨，耐腐蚀，耐高温，耐污染、方便清洁消毒。
2.框架：采用冷轧钢材质，钢管规格25*50mm，基材采用厚度≧1.50mm加粗加厚管材，经激光切管，定孔，焊接，抛光打磨后表面喷涂处理。管材两端需预留链接件孔位、便于链接卡扣、增强整体框架结构稳固性。整体框架需预留6处螺丝孔位、便于桌面与钢架紧密链接。
3.桌脚：采用冷轧钢材质，钢板基材采用厚度≧2.0mm加粗加厚板材，经激光切板，定孔，折弯、焊接，抛光打磨后表面喷涂处理。桌脚管材顶端需预留1处螺丝孔位、便于桌脚、框架、链接件三大部件成套组装、桌脚最顶端与框架需保持一条水平面、有效防止桌面板磨损、高低不平。桌脚底部配制可调节360度活动脚垫，全新ABS材质制作，适用于多种场合，使产品处于水平状态，防滑，防止刮痕地板，摩擦刺耳的声音。</t>
  </si>
  <si>
    <t>办公室（1间）</t>
  </si>
  <si>
    <t>文件柜</t>
  </si>
  <si>
    <t>包间（2间）</t>
  </si>
  <si>
    <t>圆桌（包房1）</t>
  </si>
  <si>
    <t>φ1900*750</t>
  </si>
  <si>
    <t>1.手动转盘可正反转。
2.主体框架实木多层板【防水防变型】；
3.桌面采用白蜡木实木框架+实木多层板贴木皮油漆工艺处理，转盘选用岩板，岩板防水防变形抗刮花耐高温，耐刮耐磨，易清洁。
4.围桶实木框架加实木多层板内嵌五金；
5.油漆：采用水性漆，表面平整，无明显颗粒、渣点，颜色均匀，硬度高，耐磨性强，能长久保持漆面效果，表面经过五底三面油漆工艺处理，五遍水性底漆，三遍水性面漆喷涂制作而成。</t>
  </si>
  <si>
    <t>圆桌（包房2）</t>
  </si>
  <si>
    <t>φ1800*750</t>
  </si>
  <si>
    <t>常规</t>
  </si>
  <si>
    <t>1.坐板内框架：采用一体加热弯曲成型胶合板，内框架经防潮、防虫、防腐处理，强度高、刚性好、不变形。
2.皮革:采用西皮，经液态浸色及防潮、防污等工艺处理，纹路细致、色泽均匀。车缝线路均匀、线条顺畅、针距均匀，扪面整体感观流畅，转角平滑、后背及底座包饱满，富有弹性、左右对齐，外形符合要求。
3.海绵:采用高密度海绵，柔软性能好、软硬适中，回弹性能好。
4.脚架:采用实木白蜡木材质制作。椅腿通过纵横加强连接，座椅底部有实木角码加固连接。椅子整体结构合理，承重力强、不倾翻。木材经防腐防虫防潮等技术处理，不使用虫蚀、腐朽材，木材四面刨光处理，结合部位无松动。
5.油漆：采用水性漆，表面平整，无明显颗粒、渣点，颜色均匀，硬度高，耐磨性强，能长久保持漆面效果，表面经过五底三面油漆工艺处理，五遍水性底漆，三遍水性面漆喷涂制作而成。 
6.脚垫:PU+尼龙玻璃纤维。</t>
  </si>
  <si>
    <t>沙发三人位</t>
  </si>
  <si>
    <t>2000*780*680</t>
  </si>
  <si>
    <t>1、饰面：采用西皮面料，透气性好、应无色差，经精选裁剪，用高速衣车及粗线车套，直接包面，沉稳舒适。
2、海绵：高密度高回弹海绵，软硬适中。  
3、内架框架：主要骨架材料为落叶松实木框架，成型部位可使用多层板定框成型，连接处必须牢固。需经干燥防腐处理，木方经过烘干，杀虫、除菌处理。杜绝霉变、虫蛀。
4、承重弹力结构：靠背装钉多条橡筋，坐垫为标准间距蛇形簧+平衡橡筋+面布；
5、脚架：沙发脚采用钢制金属喷涂，表面为静电粉末喷涂处理。
6、底部脚垫：配置PP塑料脚垫，防滑耐磨。</t>
  </si>
  <si>
    <t>沙发单人位</t>
  </si>
  <si>
    <t>930*780*680</t>
  </si>
  <si>
    <t>1400*600*380</t>
  </si>
  <si>
    <t>1、面材：耐磨白蜡木木皮饰面，耐刮、耐磨、耐腐蚀、耐高温、耐火；表面透明度更好，耐污性更强防火、耐磨、防污、硬度高。表面哑光效果持久；
2、基材：采用多层板，经过防虫、防腐的化学处理，强度高、刚性好、不变形、比重合理。台面板材厚度≥18mm
3、封边：PVC封边条，封边条原料不含重金属成份，弹性好，耐撞击。
4、胶粘剂：采用热熔胶。
5、脚架：采用钢制黑色喷涂脚架,配防刮花脚垫。</t>
  </si>
  <si>
    <t>边几</t>
  </si>
  <si>
    <t>580*500</t>
  </si>
  <si>
    <t>1、面板：采用岩板面板,良好的防污性能,硬度高,耐刮花,耐腐蚀,使用寿命长。可选颜色白色和黑色。岩板厚度≧11mm。
2、脚架：采用钢制黑色喷涂脚架,配防刮花脚垫。</t>
  </si>
  <si>
    <t>（三）7#楼4层</t>
  </si>
  <si>
    <t>体育老师办公室（3间）+开敞式会议室（1间）</t>
  </si>
  <si>
    <t>1.6米L形办公桌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</si>
  <si>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2、基材：采用刨花板，经过防虫、防腐的化学处理，强度高、刚性好、不变形、比重合理。台面及台脚板材厚度≥25mm，其余板材厚度≥16mm。
3、封边：PVC封边条，封边条原料不含重金属成份，弹性好，耐撞击。
4、胶粘剂：采用热熔胶。
5、五金配件：采用静音缓冲门铰、静音滑轨、锁具、拉手及三合一连接件等五金。</t>
  </si>
  <si>
    <t>3600*1200*750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</si>
  <si>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2、基材：采用刨花板，经过防虫、防腐的化学处理，强度高、刚性好、不变形、比重合理。台面板材厚度≥25mm。
3、封边：PVC封边条，封边条原料不含重金属成份，弹性好，耐撞击。
4、胶粘剂：采用热熔胶。
5、脚架：采用壁厚≥1.2mm静电喷涂粉末处理的钢管，经过制模、落料、成型、焊接加工，采用全自动喷涂设备静电抗菌粉末，高温固化，并经过酸洗、磷化来清洁表面，防止表面生锈的工艺加工而成，坚固、耐用。</t>
  </si>
  <si>
    <t>控制室（三层操场）</t>
  </si>
  <si>
    <t>四、8#看台、架空半地下室</t>
  </si>
  <si>
    <t>（一）8#楼B1层</t>
  </si>
  <si>
    <t>工具间（5间）</t>
  </si>
  <si>
    <t>货架</t>
  </si>
  <si>
    <t>380*500*1890</t>
  </si>
  <si>
    <t>1、材质：更衣柜为ABS塑料制成，强度高、韧性好、耐冲击，不易腐蚀，无毒无味。
2、工艺：采用钢制模具注塑一次成型；
3、产品特点：榫接结构并合理布局加强筋，安装时不用胶水粘结，不用任何螺丝，使用产品自身力量相互连结，结构牢固！产品不变形、不扭曲，达到可重复拆装使用。
4、使用寿命：抗冲击、耐腐蚀、不生锈，设计使用寿命大于20年。                           
5、铰链：每门2个尼龙铰链。
6、安装方式：榫卯连接，牢固耐用，底座高度为100mm，上下板厚≥30mm从而使产品更牢固、结实耐用。每个门板与侧板连结采用高强度尼龙防水铰链和上下门轴加固.，使门更结实耐用，门板与侧板并安装有防盗插销。每门要加装拉手（作用1.方便开关门；2.防止门在不锁状态下自动开门，撞伤他人。）
7、门 副板和多功能盒：采用一体注塑成型。
8、配置：机械锁具。</t>
  </si>
  <si>
    <t>1500*400*450</t>
  </si>
  <si>
    <t>材质：采用全塑料（PVC+ABS）材质，强度高、韧性好、耐冲击，不易腐蚀，无毒无味。具有彻底防水、不生锈的优势。</t>
  </si>
  <si>
    <t>五、9#门卫</t>
  </si>
  <si>
    <t>门卫室</t>
  </si>
  <si>
    <t>1500*700*750</t>
  </si>
  <si>
    <t>办公椅（四脚）</t>
  </si>
  <si>
    <t>2400*1000*750</t>
  </si>
  <si>
    <t>监控、消控室</t>
  </si>
  <si>
    <t>操控桌</t>
  </si>
  <si>
    <t>1800*900*750</t>
  </si>
  <si>
    <t>控制台每个工位配一个钢制键盘抽屉。台面及侧板采用三胺板，台面厚度≥25mm，台面带有后挡板，底柜深度600mm，柜体内部可做有线槽方便走线。柜体材料采用冷轧钢板搭配制作而成，柜体表面进行防锈，酸洗，磷化处理，采用喷涂工艺，高温塑化而成，其具有防腐性好，光洁美观的特点。下柜前后对开门，前后门板冲有条形散热孔，采用条形锁，内部为机架式结构，满足散热，美观，扩展等需求。</t>
  </si>
  <si>
    <t>六、10#礼堂</t>
  </si>
  <si>
    <t>报告厅</t>
  </si>
  <si>
    <t>1、基材：采用中密度纤维板，经过防虫、防腐等处理，饰面选用木皮贴面，纹理清晰，无节疤；木皮厚度≥0.6mm，经过防虫防蛀防腐处理。内部结构均匀，密度适中，尺寸稳定性好。
2、油漆：采用水性漆，表面平整，无明显颗粒、渣点，颜色均匀，硬度高，耐磨性强，能长久保持漆面效果，表面经过五底三面油漆工艺处理，五遍水性底漆，三遍水性面漆喷涂制作而成。           
3、胶水：采用热熔胶。
4、五金件：采用三合一连接件等五金。
5、脚下面加轮子，方便移动。</t>
  </si>
  <si>
    <t>600W*640D*900</t>
  </si>
  <si>
    <t>1、饰面：采用西皮饰面，透气性好，质地柔软、耐磨性强，经防污处理,清洁方便。
2、海棉：采用高密度定型海绵，软硬适中回弹力强，坐感舒适。
3、椅架：采用橡胶木实木框架，表面经过水性油漆上色处理。
4、五金：螺丝经过耐落加硬处理加强扭力及韧性。</t>
  </si>
  <si>
    <t>1、基材：采用中密度纤维板，经过防虫、防腐等处理，饰面选用木皮贴面，纹理清晰，无节疤；木皮厚度≥0.6mm，经过防虫防蛀防腐处理。内部结构均匀，密度适中，尺寸稳定性好。
2、油漆：采用水性漆，表面平整，无明显颗粒、渣点，颜色均匀，硬度高，耐磨性强，能长久保持漆面效果，表面经过五底三面油漆工艺处理，五遍水性底漆，三遍水性面漆喷涂制作而成。           
3、胶水：采用热熔胶。
4、五金件：采用三合一连接件等五金。
可加印学校LOGO</t>
  </si>
  <si>
    <t>声光控制室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</si>
  <si>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2、基材：采用刨花板，经过防虫、防腐的化学处理，强度高、刚性好、不变形、比重合理。台面板材厚度≥25mm
3、封边：PVC封边条，封边条原料不含重金属成份，弹性好，耐撞击。
4、胶粘剂：采用热熔胶。
5、脚架：采用壁厚≥1.2mm静电喷涂粉末处理的钢管，经过制模、落料、成型、焊接加工，采用全自动喷涂设备静电抗菌粉末，高温固化，并经过酸洗、磷化来清洁表面，防止表面生锈的工艺加工而成，坚固、耐用。</t>
  </si>
  <si>
    <t>化妆间</t>
  </si>
  <si>
    <t>化妆桌（含镜子）</t>
  </si>
  <si>
    <t>1500*600*750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</si>
  <si>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2、基材：采用刨花板，经过防虫、防腐的化学处理，强度高、刚性好、不变形、比重合理。台面板材厚度≥25mm
3、封边：PVC封边条，封边条原料不含重金属成份，弹性好，耐撞击。
4、胶粘剂：采用热熔胶。
5、脚架：采用壁厚≥1.2mm静电喷涂粉末处理的钢管，经过制模、落料、成型、焊接加工，采用全自动喷涂设备静电抗菌粉末，高温固化，并经过酸洗、磷化来清洁表面，防止表面生锈的工艺加工而成，坚固、耐用。
6、墙面上安装镜子。</t>
  </si>
  <si>
    <t>化妆椅</t>
  </si>
  <si>
    <t>485*392*793</t>
  </si>
  <si>
    <t>1、椅座：采用PP+玻纤，超韧弹性，通过材料性能实现靠背倾仰，舒缓背部压力，表面晒纹处理，质感好，椅背施加102kg的推力，持续60s，无异常。
2、椅脚：采用Φ19mm*1.5mm壁厚钢管+4mm冲压型钢，高精密机械手臂自动焊接，稳固性强，表面经高速打砂除锈处理，喷粉高温烤漆工艺处理，漆面牢固，金属质感,搭配PP磨地脚。                             
3、底护壳：底护壳采用PP材质；有效保护堆叠产生的划伤。
4、椅座螺丝安装：采用内六角螺丝。                
5、脚垫：采用PP+玻纤+PE软胶。</t>
  </si>
  <si>
    <t>长凳</t>
  </si>
  <si>
    <t>1500*500*450</t>
  </si>
  <si>
    <t>1、饰面：采用西皮面料，透气性好、应无色差，经精选裁剪，用高速衣车及粗线车套，直接包面，沉稳舒适。
2、海绵：高密度高回弹海绵，软硬适中。  
3、内架框架：主要骨架材料为落叶松实木框架，成型部位可使用多层板定框成型，连接处必须牢固。经干燥防腐处理，木方经过烘干，杀虫、除菌处理，杜绝霉变、虫蛀。
4、底部脚垫：配置PP塑料脚垫，防滑耐磨。</t>
  </si>
  <si>
    <t>门厅</t>
  </si>
  <si>
    <t>休闲长沙发</t>
  </si>
  <si>
    <t>2900*1500*430/700</t>
  </si>
  <si>
    <t>1、面料：西皮覆面，无色差，经液态浸色及防潮、防污等工艺处理，光泽持久性透气性强、耐磨性强、无异味、弹性好、肌理清晰，经久耐用。
2、海绵：采用高密度、高回弹原生棉，软硬适中，回弹性能好，抗变形能力强，根椐人体工程学原理设计，坐感舒适。
3、内框架：内框架采用实木框架+夹板结构，木制构件全部经过烘干处理，木构件四面刨光，木材防虫防腐处理，尼龙编织带穿插编织打底，与泡棉间隔垫麻布。 内部衬垫物干燥卫生，无腐烂变质、无夹杂泥沙及金属杂物，所有内部填充物清洁无异味。
4、底部脚垫：配置PP塑料脚垫，防滑耐磨。</t>
  </si>
  <si>
    <t>730*710*430/920</t>
  </si>
  <si>
    <t>墩子</t>
  </si>
  <si>
    <t>500*480*380/490</t>
  </si>
  <si>
    <t>大小茶几</t>
  </si>
  <si>
    <t>大：800*310H                         小：500*470H</t>
  </si>
  <si>
    <t>1、基材：采用≥12mm岩板面,耐高温，防火，性能稳定，不开裂、不变形，耐刮，抗油污易清洁，防水抗霉菌抗重压韧性强抗霜冻。 稳定的色彩，抗UV，不会受光照影响而变色。                       
2、面料：选用马鞍皮，手感舒适，经液态浸色及防潮、防污等工艺处理，光泽持久性强、耐磨性强、无异味、弹性好、肌理清晰，经久耐用，易打理。</t>
  </si>
  <si>
    <t>圆几</t>
  </si>
  <si>
    <t>600*750H</t>
  </si>
  <si>
    <t>1、基材：采用≥18mm大理石面,性能稳定，抗油污易清洁，防水抗霉菌抗重压韧性强抗霜冻。                                                     
2、配件：采用不锈钢，表面电镀金色处理，钢材焊接，经过打磨、封釉等工艺。抗氧化能力强。表层无漏喷、锈蚀和脱色、掉色现象，涂层 光滑均匀、色泽一致，无流挂、疙瘩、飞漆等缺陷。                                                                  3、底架：碳素钢管焊接而成，表面呈磨砂、黑色哑光工艺。抗氧化能力强。底层无漏喷、锈蚀和脱色、掉色现象，涂层 光滑均匀、色泽一致，无流挂、疙瘩、飞漆等缺陷。</t>
  </si>
  <si>
    <t>休闲椅</t>
  </si>
  <si>
    <t>780*820*900</t>
  </si>
  <si>
    <t>一层贵宾接待室（1间）(36㎡）</t>
  </si>
  <si>
    <t>沙发</t>
  </si>
  <si>
    <t>1.面料：西皮，手感舒适，耐磨耐刮；
2.海绵：采用发泡棉，密度为40KG/m³，软硬适中，久坐不变形；
3.内框架：采用实木刨方，结实牢靠，不易生虫；
4.实木配件：采用橡木实木外框，表面经过五底三面油漆工艺处理，表面光滑，美观大方。</t>
  </si>
  <si>
    <t>一层值班室（1间）</t>
  </si>
  <si>
    <t>1800*700*750</t>
  </si>
  <si>
    <t>七、11#宿舍楼</t>
  </si>
  <si>
    <t>值班室（2层3间，4层2间）</t>
  </si>
  <si>
    <t>单人床</t>
  </si>
  <si>
    <t>2100*1200*850</t>
  </si>
  <si>
    <t>1、面材：耐磨E0级三聚氰胺浸渍饰面，耐刮、耐磨、耐腐蚀、耐高温、耐火；表面透明度更好，耐污性更强防火、耐磨、防污、硬度高。表面哑光效果持久；
2、基材：采用级刨花板，经过防虫、防腐的化学处理，强度高、刚性好、不变形、比重合理。全板材厚度≥18mm。
3、封边：PVC封边条，封边条原料不含重金属成份，弹性好，耐撞击。
4、胶粘剂：采用热熔胶。
5、五金配件：采用静音缓冲门铰、拉手及三合一连接件等五金。</t>
  </si>
  <si>
    <t>床垫</t>
  </si>
  <si>
    <t>2000*1200*200</t>
  </si>
  <si>
    <t>1.采用钢丝，内部为宝塔型独立弹簧，弹簧覆盖率≥80%，10万次以上无损、不变形。
2.采用平衡网，平衡弹簧受力，高温热熔毡、灭菌、无甲醛。
3.面料采用阻燃棉布下衬配合高密度海绵。
4.一面用三层毛毯，一面用棕片。</t>
  </si>
  <si>
    <t>床头柜</t>
  </si>
  <si>
    <t>450*400*500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</si>
  <si>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2、基材：采用刨花板，经过防虫、防腐的化学处理，强度高、刚性好、不变形、比重合理。板材厚度≥16mm。
3、封边：PVC封边条，封边条原料不含重金属成份，弹性好，耐撞击。
4、胶粘剂：采用热熔胶。
5、五金配件：采用静音滑轨、拉手及三合一连接件等五金。</t>
  </si>
  <si>
    <t>衣柜</t>
  </si>
  <si>
    <t>1400*600*2000</t>
  </si>
  <si>
    <t>家长等候区</t>
  </si>
  <si>
    <t>三人位沙发</t>
  </si>
  <si>
    <t>2400*850*780</t>
  </si>
  <si>
    <t>1、饰面：透气西皮面料柔软贴手，透气性好、应无色差，表面无龟裂、破损，无油 腻感。经精选裁剪，用高速衣车及粗线车套，直接包面，沉稳舒适。（颜色可选) 
2、海绵：高密度高回弹海绵，软硬适中。  
3、内架框架：主要骨架材料为落叶松实木框架，成型部位可使用多层板定框成型，连接处必须牢固。经干燥防腐处理，木方经过烘干，杀虫、除菌处理，杜绝霉变、虫蛀。
4、承重弹力结构：靠背装钉多条橡筋，坐垫为标准间距蛇形簧+平衡橡筋+面布；
5、脚架：沙发脚采用钢制金属喷涂，表面为静电粉末喷涂处理。
6、底部脚垫：配置PP塑料脚垫，防滑耐磨。</t>
  </si>
  <si>
    <t>单人椅</t>
  </si>
  <si>
    <t>680*790*710</t>
  </si>
  <si>
    <t>1、饰面：透气西皮面料柔软贴手，透气性好、应无色差，表面无龟裂、破损，无油 腻感。经精选裁剪，用高速衣车及粗线车套，直接包面，沉稳舒适。（颜色可选) 
2、海绵：高密度高回弹海绵，软硬适中。  
3、内架框架：主要骨架材料为落叶松实木框架，成型部位可使用多层板定框成型，连接处必须牢固。经干燥防腐处理，木方经过烘干，杀虫、除菌处理，杜绝霉变、虫蛀。
4、承重弹力结构：靠背装钉多条橡筋，坐垫为标准间距蛇形簧+平衡橡筋+面布；
5.脚：木纹转印铁脚。</t>
  </si>
  <si>
    <t>Φ780*500</t>
  </si>
  <si>
    <t>1、面板：高密度板贴木皮,外表光滑美观,物理性能好,抗冲击强度高。
2、脚架：钢铁黑色喷涂脚架。</t>
  </si>
  <si>
    <t>女生宿舍（230间-含2F学生自主管理室1间）、男生宿舍（215间）6人间，合计445间</t>
  </si>
  <si>
    <t>上下铺（侧爬梯）</t>
  </si>
  <si>
    <t>2000*900*1980</t>
  </si>
  <si>
    <t>1、床体结构:采用钢木结构。床体主受力立柱采用60*60扇形管材，实厚≥1.2mm,立柱外侧安全防碰撞，床沿横梁为70*50mm的P型管，实厚≥1.2mm，采用公寓床隐藏式卡扣件，经冲床冲压成L型，需有三个连接卡口，成型后尺寸为30*30*200mm，材料厚度≥2.0mm。
2、床头、床尾:采用金属框体结构，上横管采用25*25mm钢管，实厚≥1.2mm，下横管采用50*25mm钢管，封板，采用≥18mm厚E0级三聚氰胺饰面刨花板。
3、前护栏:高度350mm，管材采用25mmx25mmx1.2mm钢管，内嵌≥18mm厚E0级三聚氰胺饰面刨花板。标注永久性被褥限高警示线。(不接受粘贴、喷涂等易脱落形式)，显示床褥上表面的最大高度。
4、爬梯:采用外梯，楼梯主受力为金属框架结构，爬梯主管采用50*20*1.2椭圆管制作，每级踏板配有PVC注塑防滑耐磨脚踏。
5、床板采用杉木厚度≥14mm，四面刨光，4根实木硬床档，床板缝隙≤8mm，床板采用四面刨光导角，安全无毛刺。
6、各钢件经除锈、除油工序，经防锈处理。外表采用静电粉末涂料喷塑:焊接表面波纹均匀，焊接处无夹渣、气孔、焊瘤、焊丝头咬边飞溅，表面无划痕、无鼓泡无毛刺等缺陷，且手感光滑。连接件保证长期使用不出现松动现象。</t>
  </si>
  <si>
    <t>上下铺</t>
  </si>
  <si>
    <t>1、床体结构：采用钢木结构。床体主受力立柱采用60*60扇形管材，实厚≥1.2mm，立柱外侧安全防碰撞，床沿横梁为70*50mm的P型管，实厚≥1.2mm，采用公寓床隐藏式卡扣件，经冲床冲压成L型，需有三个连接卡口，成型后尺寸为 30*30*200mm，材料厚度≥2.0mm。
2、床头、床尾：采用金属框体结构，上横管采用25*25mm钢管，实厚≥1.2mm，下横管采用50*25mm钢管，封板，采用≥18mm厚E0级三聚氰胺饰面刨花板。
3、前护栏：高度350mm，管材采用25mm×25mm×1.2mm钢管，内嵌≥18mm厚E0级三聚氰胺饰面刨花板。标注永久性被褥限高警示线。（不接受粘贴、喷涂等易脱落形式），显示床褥上表面的最大高度。
4、床板采用杉木厚度≥14mm，四面刨光，4根实木硬床档，床板缝隙≤8mm，床板采用四面刨光导角，安全无毛刺。
5、各钢件经除锈、除油工序，经防锈处理。外表采用静电粉末涂料喷塑；焊接表面波纹均匀，焊接处无夹渣、气孔、焊瘤、焊丝头咬边飞溅，表面无划痕、无鼓泡、无毛刺等缺陷，且手感光滑。连接件保证长期使用不出现松动现象。</t>
  </si>
  <si>
    <t>蚊帐杆</t>
  </si>
  <si>
    <t>1950*850
高度需结合现场实际</t>
  </si>
  <si>
    <t>蚊帐杆采用直径19*1.0mm圆管制作。各钢件经除锈、除油工序，采用静电塑粉涂料喷塑；焊接表面波纹均匀，焊接处无夹渣、气孔、焊瘤、焊丝头咬边飞溅，表面无划痕、无鼓泡、无毛刺等缺陷，且手感光滑。</t>
  </si>
  <si>
    <t>中走梯</t>
  </si>
  <si>
    <t>600*820*1550</t>
  </si>
  <si>
    <t>1、主要采用≥18mm厚E0级三聚氰胺饰面刨花板，经防潮、防虫、防腐处理，强度高、刚性好、防潮、不变形。
2、封边：板材的露边处采用同色PVC封边条加封边胶进行全自动封边，保证产品受冷、受热均不会脱落，一次性热压成型。
3、五金件：采用三合一连接件。</t>
  </si>
  <si>
    <t>定制四门衣柜</t>
  </si>
  <si>
    <t>900*600*2000</t>
  </si>
  <si>
    <t>1、采用冷轧钢板，钢板厚度≥0.6mm，经过剪切、冲压、折弯、焊接、装配而成；
2、柜体：柜体表面采用静电粉末涂料（塑粉）处理，塑粉附着力强，电子控温燃油固化系统，确保工件受热均匀，光洁平滑。无有机溶液，使用无异味；
3、把手：采用ABS材料射出成型，坚固，耐磨，不褪色；
4、五金件：门板与柜体连接处采用门轴连接，螺丝采用镀锌螺丝。 
颜色做转印木纹。</t>
  </si>
  <si>
    <t>定制二门衣柜</t>
  </si>
  <si>
    <t>450*600*2000</t>
  </si>
  <si>
    <t>写字桌</t>
  </si>
  <si>
    <t>方凳</t>
  </si>
  <si>
    <t>1、面材：采用耐磨E0级三聚氰胺浸渍饰面，具防水、防烫、防碱、防火、耐磨、防污、硬度高。表面哑光效果持久，硬度高色牢度高，可保持长久不褪色；
2、基材：刨花板，通体采用18mm板材，原材料树种一致，经过防虫、防腐的化学处理，强度高、刚性好、不变形、比重合理。                                                                                                                                    
3、封边：选用PVC同色封边。
5、脚架：采用壁厚≥1.2mm静电喷涂粉末处理的钢管，
5、五金件：采用五金配件，坚固、耐用。</t>
  </si>
  <si>
    <t>无障碍宿舍（男生5间，女生3间）2人间</t>
  </si>
  <si>
    <t>2200*1000*850（尺寸可按需增加）</t>
  </si>
  <si>
    <t>1、床体结构：采用钢木结构。床体主受力立柱采用60*60扇形管材，实厚≥1.2mm，立柱外侧安全防碰撞，床沿横梁为70*50mm的P型管，实厚≥1.2mm，采用公寓床隐藏式卡扣件，经冲床冲压成L型，需有三个连接卡口，成型后尺寸为 30*30*200mm，材料厚度≥2.0mm。
2、床头、床尾：采用金属框体结构，上横管采用25*25mm钢管，实厚≥1.2mm，下横管采用50*25mm钢管，封板，采用≥18mm厚E0级三聚氰胺饰面刨花板。
3、床板采用杉木厚度≥14mm，四面刨光，4根实木硬床档，床板缝隙≤8mm，床板采用四面刨光导角，安全无毛刺。
4、各钢件经除锈、除油工序，经防锈处理。外表采用静电粉末涂料喷塑；焊接表面波纹均匀，焊接处无夹渣、气孔、焊瘤、焊丝头咬边飞溅，表面无划痕、无鼓泡、无毛刺等缺陷，且手感光滑。连接件保证长期使用不出现松动现象。</t>
  </si>
  <si>
    <t>500*450*450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</si>
  <si>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
3、封边：PVC封边条，封边条原料不含重金属成份，弹性好，耐撞击。
4、胶粘剂：采用热熔胶。。
5、五金配件：采用静音缓冲门铰及三合一连接件等五金。</t>
  </si>
  <si>
    <t>两门衣柜</t>
  </si>
  <si>
    <t>800*600*2000</t>
  </si>
  <si>
    <t>1、采用冷轧钢板，钢板厚度≥0.6mm，经过剪切、冲压、折弯、焊接、装配而成；
2、柜体：柜体表面采用静电粉末涂料（塑粉）处理，塑粉附着力强，电子控温燃油固化系统，确保工件受热均匀，光洁平滑。无有机溶液，使用无异味；
3、把手：采用ABS材料射出成型，坚固，耐磨，不褪色；
4、五金件：门板与柜体连接处采用门轴连接，螺丝采用镀锌螺丝。 
颜色可定制</t>
  </si>
  <si>
    <t>4层-7层双人间（4层28间，5层29间，6层29间，7层13间）合计99间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</si>
  <si>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2、基材：采用刨花板，经过防虫、防腐的化学处理，强度高、刚性好、不变形、比重合理。全板材厚度≥18mm。
3、封边：PVC封边条，封边条原料不含重金属成份，弹性好，耐撞击。
4、胶粘剂：采用热熔胶。
5、五金配件：采用静音缓冲门铰、拉手及三合一连接件等五金。</t>
  </si>
  <si>
    <t>衣柜1</t>
  </si>
  <si>
    <t>1550*600*2000
（具体尺寸根据现场实际测量）</t>
  </si>
  <si>
    <t>衣柜2</t>
  </si>
  <si>
    <t>1400*600*2000（具体尺寸根据现场实际测量）</t>
  </si>
  <si>
    <t>1600*600*750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</si>
  <si>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2、基材：采用刨花板，经过防虫、防腐的化学处理，强度高、刚性好、不变形、比重合理。台面及台脚板材厚度≥25mm，其余板材厚度≥16mm。
3、封边：PVC封边条，封边条原料不含重金属成份，弹性好，耐撞击。
4、胶粘剂：采用热熔胶。
5、五金配件：采用静音滑轨及三合一连接件等五金。</t>
  </si>
  <si>
    <t>写字椅</t>
  </si>
  <si>
    <t>485*550*815mm</t>
  </si>
  <si>
    <t>1、采用聚丙烯一体注塑成型。
2、可多张堆叠设计、不占空间，方便运输。
3、添加UV材质，可防紫外线，阳光照射，不褪色，不脱皮，不起灰。
4、座面：座高440mm，座宽420mm，座深440mm，座面根据人体曲线设计舒适配比，辨识度高，座感好等，颜色可选。
5. 椅背：4mm宽19条镂空设计，增强背部散热，可独立拆卸式靠背，【具备使用者单手手提功能】圆润椅角无毛边，不伤手，背重0.35KG，背高285mm，背宽425mm，背下厚6mm/上厚4mm，背弧度R250mm包覆性明显，提高整椅的舒适度，5种常规颜色可选。
6. 四脚40*35mm成菱形设计、结构稳定，PU耐磨脚垫保护地板随意推拉，整椅可承重不低于150KG。</t>
  </si>
  <si>
    <t>7层家庭房（12间）</t>
  </si>
  <si>
    <t>1.5米床</t>
  </si>
  <si>
    <t>2100*1500*850</t>
  </si>
  <si>
    <t>2000*1500*200</t>
  </si>
  <si>
    <t>1800*600*2400</t>
  </si>
  <si>
    <t>餐桌</t>
  </si>
  <si>
    <t>1200*800*750</t>
  </si>
  <si>
    <t>570*500*815</t>
  </si>
  <si>
    <t>1.一体成型PP椅座，标配定型绵坐垫；
2.标配坐壳
3.座布颜色可选配；
4.脚架采用细砂粉喷2.0mm管材四脚架；
5.底部脚垫：配置PP塑料脚垫，防滑耐磨。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</si>
  <si>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
3、封边：PVC封边条，封边条原料不含重金属成份，弹性好，耐撞击。
4、胶粘剂：采用热熔胶。
5、五金配件：采用静音缓冲门铰、拉手及三合一连接件等五金。</t>
  </si>
  <si>
    <t>500*540*770</t>
  </si>
  <si>
    <t>1、饰面：采用西皮面料，透气性好、应无色差，经精选裁剪，用高速衣车及粗线车套，直接包面，沉稳舒适。
2、海绵：高密度高回弹海绵，软硬适中。  
3、内架框架：采用铁架支撑，牢固耐用。
4、底部脚垫：配置PP塑料脚垫，防滑耐磨。</t>
  </si>
  <si>
    <t>7层套间（2套）</t>
  </si>
  <si>
    <t>三人位</t>
  </si>
  <si>
    <t>单人位沙发</t>
  </si>
  <si>
    <t>单人位</t>
  </si>
  <si>
    <t>长茶几</t>
  </si>
  <si>
    <t>1200*600*450</t>
  </si>
  <si>
    <t>1、面板：采用岩板面板,良好的防污性能,硬度高,耐刮花,耐腐蚀,使用寿命长。可选颜色白色和黑色。
2、脚架：采用钢制黑色喷涂脚架,配防刮花脚垫。</t>
  </si>
  <si>
    <t>电视柜</t>
  </si>
  <si>
    <t>1600*400*450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</si>
  <si>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
3、封边：PVC封边条，封边条原料不含重金属成份，弹性好，耐撞击。
4、胶粘剂：采用热熔胶。
5、五金配件：采用静音缓冲门铰、静音滑轨及三合一连接件等五金。</t>
  </si>
  <si>
    <t>鞋柜</t>
  </si>
  <si>
    <t>1100*350*900</t>
  </si>
  <si>
    <t>餐边柜</t>
  </si>
  <si>
    <t>900*400*910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</si>
  <si>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
3、封边：PVC封边条，封边条原料不含重金属成份，弹性好，耐撞击。
4、胶粘剂：采用热熔胶。
5、五金配件：采用静音缓冲门铰及三合一连接件等五金。</t>
  </si>
  <si>
    <t>1400*800*750</t>
  </si>
  <si>
    <t>1.框架：使用白蜡木实木框架，纹理清晰，经蒸汽烘干处理，并经防腐、防虫处理，拼接严密牢固，无裂纹、无缺棱榫结构；   
2.基材：采用实木多层板，贴面白蜡木木皮（厚度≥0.6mm），经过防虫、防腐等处理。
3.胶水:采用热熔胶。
4.油漆工艺：油漆采用五底三面工艺，经嵌补、磨光、上色，五遍底漆、三遍面漆、紫外线固化等九道磨褪工艺制成；产品色泽一致，保证台面平整无颗粒、气泡、积粉、渣点，色泽均匀。</t>
  </si>
  <si>
    <t>580*590*810</t>
  </si>
  <si>
    <t>1.坐垫饰面：西皮，透气性好，质地柔软、耐磨性强，经防污处理,清洁方便。
2.海绵：高密度海绵，软硬适中，回弹性与透气性好。
3.框架：使用白蜡木实木框架，纹理清晰，经蒸汽烘干处理，并经防腐、防虫处理，拼接严密牢固，无裂纹、无缺棱榫结构；   
4.油漆工艺：油漆采用五底三面工艺，经嵌补、磨光、上色，五遍底漆、三遍面漆、紫外线固化等九道磨褪工艺制成；产品色泽一致，保证台面平整无颗粒、气泡、积粉、渣点，色泽均匀。</t>
  </si>
  <si>
    <t>定制衣柜1</t>
  </si>
  <si>
    <t>1200*600*2000</t>
  </si>
  <si>
    <t>定制衣柜2</t>
  </si>
  <si>
    <t>2600*600*2000</t>
  </si>
  <si>
    <t>斗柜</t>
  </si>
  <si>
    <t>1000*400*950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</si>
  <si>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2、基材：采用刨花板，经过防虫、防腐的化学处理，强度高、刚性好、不变形、比重合理。全板材厚度≥16mm。
3、封边：PVC封边条，封边条原料不含重金属成份，弹性好，耐撞击。
4、胶粘剂：采用热熔胶。
5、五金配件：采用静音缓冲门铰、拉手及三合一连接件等五金。</t>
  </si>
  <si>
    <t>1.8米床</t>
  </si>
  <si>
    <t>2100*1800*1050</t>
  </si>
  <si>
    <t>1、床内框架：实木多层板；
2、床铺板：实木颗粒板；
3、床靠背及床箱：软包处理，外覆肤感科技布或西皮，内用高回弹海绵；
4、床脚：金属脚；床箱底部安装有脚钉，无边缘圆角处理功能；</t>
  </si>
  <si>
    <t xml:space="preserve">500*400*470 </t>
  </si>
  <si>
    <t>1、框架采用实木框架。
2、油漆采用水性油漆。
3、脚架：采用钢制脚架。</t>
  </si>
  <si>
    <t>2000*1800*200</t>
  </si>
  <si>
    <t>1.2米写字桌</t>
  </si>
  <si>
    <t>靠窗休闲沙发</t>
  </si>
  <si>
    <t>1500*800*400</t>
  </si>
  <si>
    <t>1、面料：西皮覆面，游离甲醛未检出，无色差，经液态浸色及防潮、防污等工艺处理，光泽持久性透气性强、耐磨性强、无异味、弹性好、肌理清晰，经久耐用。
2、海绵：采用高密度、高回弹海绵，软硬适中，回弹性能好，抗变形能力强，根椐人体工程学原理设计，坐感舒适。
3、内框架：内框架采用实木框架+夹板结构，木制构件全部经过烘干处理，木构件四面刨光，木材防虫防腐处理，坐垫为标准间距蛇形簧+平衡橡筋。
4、底部脚垫：配置PP塑料脚垫，防滑耐磨。</t>
  </si>
  <si>
    <t>八、工程教育中心——人工智能授课空间</t>
  </si>
  <si>
    <t>参考图</t>
  </si>
  <si>
    <t>教室讲台</t>
  </si>
  <si>
    <t>1100mm*650mm*1000</t>
  </si>
  <si>
    <t>1、智能讲台钢木结构设计，钢制部分选用冷轧钢板0.8-1.2mm（光洁平整无锈迹），数控设备精加工制作，表面经脱脂除锈磷化、静电喷塑工艺处理。塑层厚度均匀、抗冲击，经久耐用、美观大方。
2、根据人体力学设计，讲台桌面高度合适老师放置教学用品。
3、讲台整体拼装式设计，老师接触位置为木质桌面，桌面防静电处理，造型设计以人为本，讲桌转角采用整体圆弧过渡，无尖锐，外观弧线型设计，可以防止碰伤师生。
4、智慧讲桌内部大空间设计，可放置多个设备。</t>
  </si>
  <si>
    <t>储物展示柜</t>
  </si>
  <si>
    <t>1000*600*2400</t>
  </si>
  <si>
    <t>1、、材质：整体钢木结构，主体框架采用40*40㎜钢管，层板采用≥12㎜加厚板材。经过防虫、防腐的化学处理，强度高、刚性好、不变形、比重合理。
2、封边：PVC封边条，封边条原料不含重金属成份，弹性好，耐撞击。
3、配置收纳盒，方便收纳物品。</t>
  </si>
  <si>
    <t>实验操作台</t>
  </si>
  <si>
    <t>1600*1200*750</t>
  </si>
  <si>
    <t>1、桌面采用双饰面≥25mmE0级三聚氰胺板材，板材耐磨，耐划，硬度高，不易变形，圆角处理。
2、桌面外露截面选用PVC封边条，高温封边一次成型，利用机械封边机配以热溶胶高温封边，高密封性不吸水、不膨胀，外型美观、经久耐用，永久不脱落。
3、桌架为50*25mm的扁管，厚度≥1.5mm，经酸洗磷化、除油除锈、静电喷涂、高温处理而成。
4、ABS注塑脚垫，五金配件。</t>
  </si>
  <si>
    <t>学生椅</t>
  </si>
  <si>
    <t>1.规格
左右腿长470mm×前后腿宽430mm×座高360-400mm
左右腿长470mm×前后腿宽465mm×座高400-460mm
2.靠背、椅面
采用PP和玻纤制作而成。不含重金属及其他有毒物质。坐垫设计符合人体工程学原理，坐感更舒适。靠背设计有透气不规则镂空网眼，椅面周边不留锐角。
3.靠背、椅面规格
长380mm*有效深390mm*靠背宽365mm*座椅高360-400mm
长420mm*有效深427mm*靠背宽405mm*座椅高400-460mm。
4.支架
采用椭圆钢管，上支架钢管尺寸为38*22mm*厚2mm，椅底托架钢管尺寸为20*20mm*1.5，底托架内侧四边各设有一个带螺孔的铁片，方便与椅面螺丝固定连接。椅脚尺寸为38*22mm*厚2mm，下支架升降部分钢管与上支架连接处设有6个螺丝孔位，采用螺丝连接固定高度，升降高度为360mm-400mm/40mm-460mm
5.脚套
采用PP聚丙烯注塑形成，椅脚着地平稳，没有倾斜或摇摆现象。塑料套具备防滑、防移动从而避免产生噪音或刮伤地板板面的功能。
6.涂装
椅子所有金属部件经过流水线抛丸工艺除锈和高温除油处理，采用静电喷塑高温固化，使涂层与金属表面的附着力更强，耐腐蚀，不易脱落。</t>
  </si>
  <si>
    <t>器材收纳柜</t>
  </si>
  <si>
    <t>1320*900*450</t>
  </si>
  <si>
    <t>1、材质：采用双饰面≥18mm厚E0级三聚氰胺板，板材耐磨，耐划，硬度高，不易变形，圆角处理。其外露截面用PVC封边条机械高温热熔胶封边，高密封性不吸水、不膨胀，外型美观、经久耐用，永久不脱落。
2、功能：配置PE收纳盒，可收纳各种教学用具。</t>
  </si>
  <si>
    <t>智能实验工作台</t>
  </si>
  <si>
    <t>边柜</t>
  </si>
  <si>
    <t>4600*800*450</t>
  </si>
  <si>
    <t>材质：采用双饰面≥18mm厚E0级三聚氰胺板，板材耐磨，耐划，硬度高，不易变形，圆角处理。其外露截面用PVC封边条机械高温热熔胶封边，高密封性不吸水、不膨胀，外型美观、经久耐用，永久不脱落。</t>
  </si>
  <si>
    <t>作品展示柜</t>
  </si>
  <si>
    <t>4500*1000*350</t>
  </si>
  <si>
    <t>12000*800*450</t>
  </si>
  <si>
    <t>6000*800*350</t>
  </si>
  <si>
    <t>组合沙发</t>
  </si>
  <si>
    <t>3800*380*1000</t>
  </si>
  <si>
    <t>1.面料：采用棉麻布艺，透气性好、柔软且富于韧性。 
2.海棉：采用高密度阻燃海绵，用抽纱或丝绒覆面，表面有防腐化和防变型保护膜。
3.框架：采用实木框架，无卷翘，变形，开裂，并经防腐、防蛀处理。</t>
  </si>
  <si>
    <t>直径600</t>
  </si>
  <si>
    <t>材质：塑料，性能均衡，刚性好，不易弯曲，表面不易粘附杂质，易清洁。</t>
  </si>
  <si>
    <t>教师办公桌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</si>
  <si>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2、基材：采用刨花板，经过防虫、防腐的化学处理，强度高、刚性好、不变形、比重合理。台面板材厚度≥25mm，其余板材厚度≥16mm。
3、封边：PVC封边条，封边条原料不含重金属成份，弹性好，耐撞击。
4、胶粘剂：采用热熔胶。
5、五金配件：采用铰链、静音滑轨、锁具及三合一连接件等五金。</t>
  </si>
  <si>
    <t>教师办公椅</t>
  </si>
  <si>
    <t>740*530*590</t>
  </si>
  <si>
    <t>1、椅背：弯板+切割棉
2、椅座：单层板+定型绵
3、西皮饰面。
4、方盘。
5、140电镀二级汽杆。
6、铝合金平脚。
7、椅轮：采用万向轮</t>
  </si>
  <si>
    <t>530*530*590</t>
  </si>
  <si>
    <t>1、木板采用油漆双层板材
2、采用高密度海绵。                   
3、西皮饰面。
4、铝合金弓形脚架。</t>
  </si>
  <si>
    <t>750*400*400</t>
  </si>
  <si>
    <t>学生转椅</t>
  </si>
  <si>
    <t>600*530*930</t>
  </si>
  <si>
    <t>1、写字板尺寸：590*320㎜
2、写字板&amp;座板&amp;脚盘：统一采用PP原生料注塑成型,具有抗老化，不褪色 ，韧性强，结实耐用。
3、写字板连接件采用PP塑料旋转按钮式结构。具有耐磨擦，可旋转，灵活性能好。
4、写字板支撑架 :采用32圆1.5厚无缝钢管压 弯焊接成型下端连接气杆件采用尼龙塑料圈,可360度随意旋转。
5、气杆采用三级气杆。
6、脚轮采用万向轮。</t>
  </si>
  <si>
    <t>九、学生生涯教育和心理健康</t>
  </si>
  <si>
    <t>吧椅</t>
  </si>
  <si>
    <t>410*410*850</t>
  </si>
  <si>
    <t>1、椅背：采用PP+玻纤，座背一体成型，
2、坐垫：高弹力海绵座垫，舒适透气。
2、椅脚：主体需采用细砂喷粉2.0管材，无缝焊接工艺，表面平整，抗分裂，牢固耐用</t>
  </si>
  <si>
    <t>休息接待桌椅</t>
  </si>
  <si>
    <t>桌子尺寸：500*570
椅子尺寸：520*580*780</t>
  </si>
  <si>
    <t>1.数量：每套包含桌子一张、椅子两把
2.桌子：
桌面：面材：耐磨E0级三聚氰胺浸渍饰面，耐刮、耐磨、耐腐蚀、耐高温、耐火；表面透明度更好，耐污性更强防火、耐磨、防污、硬度高。表面哑光效果持久；
基材：采用刨花板，经过防虫、防腐的化学处理，强度高、刚性好、不变形、比重合理；
封边：PVC封边条，封边条原料不含重金属成份，弹性好，耐撞击。
脚架：高强度铝合金一体成型脚架，静电喷涂哑光白
3、椅子：
饰面：布艺，面料柔软贴手，透气性好、应无色差，无破损。
海绵：高密度高回弹海绵，软硬适中。
脚架：冷轧钢板喷涂脚架,耐久性好,色泽光滑美观</t>
  </si>
  <si>
    <t>沙发茶几组合套装（多人+单人+茶几组合）</t>
  </si>
  <si>
    <t>多人沙发*1，尺寸：1770*770*780
单人沙发*1，尺寸：770*770*780
茶几*1，尺寸：Φ715*490</t>
  </si>
  <si>
    <t>沙发：
1.内架：落叶松实木内架,结构稳定,使用寿命长;
2.海绵：高密度切割棉,高回弹性能,久坐不变形;
3.面料：皮面手感细腻,良好的韧性和弹性,抗摩擦系数高;
4.脚架：冷轧钢板喷涂脚架,耐久性好,色泽光滑美观
茶几：
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2、基材：采用刨花板，经过防虫、防腐的化学处理，强度高、刚性好、不变形、比重合理；
3、封边：PVC封边条，封边条原料不含重金属成份，弹性好，耐撞击。
4、实木腿。</t>
  </si>
  <si>
    <t>400*300*1800*1个 
800*300*1800*1个  
800*300*1800*1个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</si>
  <si>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
3、封边：PVC封边条，封边条原料不含重金属成份，弹性好，耐撞击。
4、胶粘剂：采用热熔胶。
5、五金配件：采用静音滑轨、锁具及三合一连接件等五金。</t>
  </si>
  <si>
    <t>1、头枕：采用PP固定头枕，网布加宽设计；
2、网布：选用防污透气纤维织物网布。
3、座垫面料采用防污弹力布座布布料，质感细腻，手感舒适，无色差，无异味；
4、海绵：内部采用高密度定型海绵，圆润厚实、弹性好，软硬适中。
5、转椅扶手及靠背塑胶配件：采用PP塑胶，塑胶零件不会变形，脆裂等现象，活动自如。
6、底盘：采用钢板冲压而成。电脑控制，精密准确，承受力强，并保持恒久，不会变形，符合人体工程学。
7、气压棒：采用三级电镀气棒，该气压棒在正常使用下能承受不低于20万次的循环加压而不出现金属疲劳。
8、椅脚：采用PP的五爪脚，可承受不低于1200KG的压力（静止）。
9、椅轮：采用黑色PA轮。</t>
  </si>
  <si>
    <t>拼接桌</t>
  </si>
  <si>
    <t>600/1200*520*750</t>
  </si>
  <si>
    <t>1、面板采用饰面刨花板，表面耐磨、防污、硬度高、不易变色；面板形状采用等腰梯形设计，高级、美观大方。
2、桌架：钢制，采用全自动喷涂设备静电抗菌粉末，高温固化，并经过酸洗、磷化来清洁表面，防止表面生锈的工艺加工而成，坚固、耐用。</t>
  </si>
  <si>
    <t>座椅</t>
  </si>
  <si>
    <t>1、采用一体成型PP椅座。
2、海绵：采用海绵坐垫，座感舒适。
3、脚架：采用细砂粉喷实心钢材雪橇架。</t>
  </si>
  <si>
    <t>十、校园文化活动家具</t>
  </si>
  <si>
    <t>展厅荣誉互动区-椅子</t>
  </si>
  <si>
    <t>580*500*1170</t>
  </si>
  <si>
    <t>1、面料:PU面料,柔软贴手，耐磨性强、透气性好
2、人体工学设计，热弯多层弯曲板+高密度海绵填充，椅背多重钢琴烤漆
3、电镀气杆、铝合金脚
3、带滑轮，高度角度可调</t>
  </si>
  <si>
    <t>图书馆活动区-定制茶几木桌椅组合</t>
  </si>
  <si>
    <t>木椅740*580
一桌三椅</t>
  </si>
  <si>
    <t>木椅
1、采用实木弯板，木制构件全部经过烘干处理，木构件四面刨光，木材防虫防腐处理，无腐烂变质。 
2、坐垫高密度海绵填充，布艺包裹。软硬适中，回弹性能好，抗变形能力强，根椐人体工程学原理设计，坐感舒适。
3、实木脚，经高温烘烤，防虫、防霉变；表面采用油性清漆处理，抗磨花能力强、防水性能好。
木桌
1、基材：桌面采用实木板；表面采用木皮贴面，纹理自然高档、防污、耐冲击、耐磨性强，无节疤、腐朽、裂纹、虫眼、夹皮、变色等缺陷，无色差基材，承重力强，稳定性好。 
2、油漆：采用油性漆，表面平整，无明显颗粒、渣点，颜色均匀，硬度高，耐磨性强，能长久保持漆面效果；封闭底着色油漆工艺，经五底三面，体现实木质感。
3、脚架：采用实木脚架。</t>
  </si>
  <si>
    <t>图书馆吧椅</t>
  </si>
  <si>
    <t>1、面料:PU面料,柔软贴手，耐磨性强、透气性好
2、背框:尼龙+30%玻纤,可承受801N载荷强度试验,可在座面载荷109kg。</t>
  </si>
  <si>
    <t>图书馆矮凳</t>
  </si>
  <si>
    <t>380*260*400</t>
  </si>
  <si>
    <t>1、面料:PU面料,柔软贴手，耐磨性强、透气性好
2、海绵：高密度、高回弹海绵
3、椅腿：采用实木脚架</t>
  </si>
  <si>
    <t>图书馆金属茶方几桌</t>
  </si>
  <si>
    <t>460*280*560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</si>
  <si>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
3、封边：PVC封边条，封边条原料不含重金属成份，弹性好，耐撞击。
4、胶粘剂：采用热熔胶。
5、脚：冷轧钢，厚度≥1.5mm，高温静电喷粉</t>
  </si>
  <si>
    <t>图书馆阅读区-木桌</t>
  </si>
  <si>
    <t>4200*1200*750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</si>
  <si>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
3、封边：PVC封边条，封边条原料不含重金属成份，弹性好，耐撞击。
4、胶粘剂：采用热熔胶。</t>
  </si>
  <si>
    <t>图书馆阅读区-茶几木桌椅组合</t>
  </si>
  <si>
    <t>木椅740*580
一桌二椅</t>
  </si>
  <si>
    <t>图书馆阅读区-木凳</t>
  </si>
  <si>
    <t>420*470*490</t>
  </si>
  <si>
    <t>1、面材采用面料，内部采用低燃性成型泡棉（阻燃级别高、且柔软性能好、回弹性高）；
2、椅架采用实木，聚脂透明漆饰面，五底三面油漆工艺。</t>
  </si>
  <si>
    <t>阅读区沙发</t>
  </si>
  <si>
    <t>700*780*740</t>
  </si>
  <si>
    <t>1、面层：PU面料,柔软贴手，耐磨性强、透气性好
2、内架：实木框架
3、海绵:内部采用高密度定型海绵，圆润厚实、弹性好，软硬适中。
4、曲木板:胶合板。</t>
  </si>
  <si>
    <t>阅读区桌几</t>
  </si>
  <si>
    <t>570*570*460</t>
  </si>
  <si>
    <t>1、定制金属茶几桌
2、金属骨架，圆形桌面
3、板材经过酸洗，定型喷塑</t>
  </si>
  <si>
    <t>匡园社街-融媒体中心直播桌椅</t>
  </si>
  <si>
    <t>700*1900*750</t>
  </si>
  <si>
    <t>1、桌板：≥25mm厚
2、面材：耐磨E0级三聚氰胺浸渍饰面，耐刮、耐磨、耐腐蚀、耐高温、耐火；表面透明度更好，耐污性更强防火、耐磨、防污、硬度高。表面哑光效果持久；
3、基材：采用刨花板，经过防虫、防腐的化学处理，强度高、刚性好、不变形、比重合理。
4、封边：PVC封边条，封边条原料不含重金属成份，弹性好，耐撞击。
5、支撑脚：采用冷轧碳钢钢板，支撑系统钢制脚壁厚不低于1.8mm，稳固结实。静电喷涂工艺</t>
  </si>
  <si>
    <t>匡园社街-融媒体中心沙发</t>
  </si>
  <si>
    <t>1670*H500</t>
  </si>
  <si>
    <t>1、面层:PU面料,柔软贴手，耐磨性强、透气性好
2、背架:钢管背架,壁厚≥1.8mm,可承受1001N载荷强度试验
3、海绵:内部采用高密度定型海绵，圆润厚实、弹性好，软硬适中。
4、脚架钢制喷粉。</t>
  </si>
  <si>
    <t>沙发抱枕</t>
  </si>
  <si>
    <t>400*400</t>
  </si>
  <si>
    <t>1、面料：PU面料或布艺
2、填充物：高弹PP棉，蓬松、回弹快、不易结块</t>
  </si>
  <si>
    <t>匡园社街-多功能活动区长凳</t>
  </si>
  <si>
    <t>1800*450*450
一座4圆垫</t>
  </si>
  <si>
    <t>1、采用欧松板，防火、防潮、耐 磨、耐酸碱、耐烫、耐污染，贴面采用木纹E0级三聚氰胺面板精工制作，封边采用PVC封边条，经自动调温热压机使板材粘连无丝无缝。
2、定制皮质圆垫
3、中标后提供效果图</t>
  </si>
  <si>
    <t>匡园社街-多功能活动区沙发组合</t>
  </si>
  <si>
    <t>方形凳450*450*400（4个）
长条凳450*900*400（5个）
方形凳900*900*400（1个）
茶几810*460*650（2个）</t>
  </si>
  <si>
    <t>1、饰面：PU面料柔软贴手，透气性好、应无色差，表面无龟裂、破损，无油腻感。                                                                                                                  2、海绵:内部采用高密度定型海绵，圆润厚实、弹性好，软硬适中。
3、内架框架：主要骨架材料为实木框架，成型部位可使用多层板定框成型，连接处必须牢固。经干燥防腐处理，木方经过烘干，杀虫、除菌处理，杜绝霉变、虫蛀。
4、茶几：金属骨架，圆形桌面，钢板材经过酸洗，定型喷塑。</t>
  </si>
  <si>
    <t>匡园社街-食检实验桌</t>
  </si>
  <si>
    <t>1800*800</t>
  </si>
  <si>
    <t>1、台面：实芯双面理化板，面光滑、平整，耐酸碱、耐高温、耐腐蚀、防水、防火、抗老化。
2、桌身：采用冷轧钢板，无污染，耐刮、耐磨、耐腐蚀、耐高温、耐火。</t>
  </si>
  <si>
    <t>匡园社街-食检活动椅</t>
  </si>
  <si>
    <t>1、可调节活动椅，金属腿
2、高弹力海绵+pu皮
3、脚架：采用钢制脚架。</t>
  </si>
  <si>
    <t>匡园社街-食检文件柜</t>
  </si>
  <si>
    <t>定制</t>
  </si>
  <si>
    <t>1、主体采用冷轧钢板，表面采用热固性环氧树脂粉末。
2、铰链采用插销转轴与门板焊接成一体，具有牢固性好，安装方便等特点。
3、锁具采用可换芯锁。</t>
  </si>
  <si>
    <t>匡园社街-服务大厅椅子</t>
  </si>
  <si>
    <t>1、网布：选用防污透气纤维织物网布。
2、座垫面料采用防污弹力布座布布料，质感细腻，手感舒适，无色差，无异味；
3、海绵：内部采用高密度定型海绵，圆润厚实、弹性好，软硬适中。
4、扶手：与脚架一体成型扶手，扶手面采用PP塑胶，塑胶零件不会变形，脆裂等现象。
5、脚架：黑色烤漆弓形架。</t>
  </si>
  <si>
    <t>匡园社街-服务大厅休闲椅</t>
  </si>
  <si>
    <t>1、椅座:PP一体成型
2、实木脚，坚固、耐用。</t>
  </si>
  <si>
    <t>匡园社街-服务大厅休闲桌椅</t>
  </si>
  <si>
    <t>直径500</t>
  </si>
  <si>
    <t>1、布料：采用饰面布绒 
2、海绵：采用高密度海绵，原生海绵柔软性能好、软硬适中，回弹性能好；
3、内框架：采用松木框架；经平刨处理，不带树皮，无昆虫侵蚀。</t>
  </si>
  <si>
    <t>匡园社街-诚信超市吧台</t>
  </si>
  <si>
    <t>5400*500*1000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</si>
  <si>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2、基材：采用刨花板，经过防虫、防腐的化学处理，强度高、刚性好、不变形、比重合理；
3、封边：PVC封边条，封边条原料不含重金属成份，弹性好，耐撞击。
4、支撑脚：采用冷轧碳钢钢板，支撑系统钢制脚壁厚不低于1.8mm，稳固结实。静电喷涂工艺。</t>
  </si>
  <si>
    <t>匡园社街-诚信超市吧椅</t>
  </si>
  <si>
    <t>480*480*1000</t>
  </si>
  <si>
    <t>1、面料:PU面料,柔软贴手，耐磨性强、透气性好
2、填充：高密度、高弹力海绵
3、椅腿：四脚为木制、管材连接，不变形、不虫蛀、不霉变、坚固耐用。</t>
  </si>
  <si>
    <t>吧台凳</t>
  </si>
  <si>
    <t>450*450*900</t>
  </si>
  <si>
    <t>办公桌椅组合</t>
  </si>
  <si>
    <t>办公桌1400*600*750
办公椅：常规</t>
  </si>
  <si>
    <t>办公桌：
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2、基材：采用刨花板，经过防虫、防腐的化学处理，强度高、刚性好、不变形、比重合理；
3、封边：PVC封边条，封边条原料不含重金属成份，弹性好，耐撞击。
4、五金件：采用铰链、拉手、三合一偏心连接件等五金。
办公椅：选用防污透气纤维织物网布。
1、椅背：PA背框，符合人体工程学腰靠设计
2、椅座：定型绵
3、气杆：三级气杆
4、脚：340mmPA五星脚
5、轮：黑色PA轮</t>
  </si>
  <si>
    <t>休闲卡座</t>
  </si>
  <si>
    <t>4000*500</t>
  </si>
  <si>
    <t>1、基材：采用实木颗粒板，防火、防潮、耐 磨、耐酸碱、耐烫、耐污染
2、贴面：采用木纹E0级三聚氰胺面板精工制作                                     
3、封边：PVC封边条，经自动调温热压机使板材粘连无丝无缝，在不同地区气温、湿度的变化中不受影响，能长期不变形不开裂，同色封边样式美观
4、中标后提供效果图</t>
  </si>
  <si>
    <t>1、定制金属茶几桌
2、金属骨架，圆形桌面
3、钢板材经过酸洗，定型喷塑
4、中标后提供效果图</t>
  </si>
  <si>
    <t>450*450*450</t>
  </si>
  <si>
    <t>匡园社街-会议室会议桌</t>
  </si>
  <si>
    <t>1200*3500*750</t>
  </si>
  <si>
    <t>1、面材：耐磨E0级三聚氰胺浸渍饰面，耐刮、耐磨、耐腐蚀、耐高温、耐火；表面透明度更好，耐污性更强防火、耐磨、防污、硬度高。表面哑光效果持久；
2、基材：采用刨花板，经过防虫、防腐的化学处理，强度高、刚性好、不变形、比重合理。
3、封边：PVC封边条，封边条原料不含重金属成份，弹性好，耐撞击。
4、胶粘剂：采用热熔胶。
5、脚架：冷轧钢管表面粉末喷涂。</t>
  </si>
  <si>
    <t>匡园社街-会议室会议椅</t>
  </si>
  <si>
    <t>1、椅背：双层板+切割绵
2、椅座：座板+切割绵
3、扶手：PU面
4、气杆：气压升降
5、椅脚：铝合金高脚
6、椅轮：黑色PU防震轮</t>
  </si>
  <si>
    <t>宿舍门厅休闲桌椅</t>
  </si>
  <si>
    <t>圆桌直径900</t>
  </si>
  <si>
    <t>宿舍门厅沙发组合1</t>
  </si>
  <si>
    <t>1、面层:PU皮
2、海绵:内部采用高密度定型海绵，圆润厚实、弹性好，软硬适中。
3、内框架：采用松木框架；经平刨处理，不带树皮，无昆虫侵蚀
4、茶几：金属骨架，圆形桌面，钢板材经过酸洗，定型喷塑</t>
  </si>
  <si>
    <t>宿舍门厅沙发组合2</t>
  </si>
  <si>
    <t>宿舍门厅圆桌组合</t>
  </si>
  <si>
    <t>1、面层:PU皮
2、海绵:内部采用高密度定型海绵，圆润厚实、弹性好，软硬适中。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</si>
</sst>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F800]dddd\,\ mmmm\ dd\,\ yyyy"/>
    <numFmt numFmtId="178" formatCode="0.00_ "/>
  </numFmts>
  <fonts count="64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6"/>
      <color rgb="FF000000"/>
      <name val="楷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name val="微软雅黑"/>
      <charset val="134"/>
    </font>
    <font>
      <sz val="11"/>
      <name val="微软雅黑"/>
      <charset val="134"/>
    </font>
    <font>
      <sz val="10"/>
      <color rgb="FF000000"/>
      <name val="Microsoft YaHei UI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rgb="FF000000"/>
      <name val="楷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  <scheme val="minor"/>
    </font>
    <font>
      <sz val="9"/>
      <name val="宋体"/>
      <charset val="134"/>
      <scheme val="minor"/>
    </font>
    <font>
      <b/>
      <sz val="16"/>
      <color rgb="FF000000"/>
      <name val="STZhongsong"/>
      <charset val="134"/>
    </font>
    <font>
      <sz val="10"/>
      <color rgb="FF000000"/>
      <name val="宋体"/>
      <charset val="134"/>
    </font>
    <font>
      <sz val="9"/>
      <color rgb="FF000000"/>
      <name val="仿宋"/>
      <charset val="134"/>
    </font>
    <font>
      <sz val="10"/>
      <name val="Microsoft YaHei UI Light"/>
      <charset val="1"/>
    </font>
    <font>
      <sz val="14"/>
      <color rgb="FF000000"/>
      <name val="楷体"/>
      <charset val="134"/>
    </font>
    <font>
      <sz val="10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rgb="FF333333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1"/>
      <color rgb="FF333333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ajor"/>
    </font>
    <font>
      <b/>
      <sz val="12"/>
      <color rgb="FF333333"/>
      <name val="宋体"/>
      <charset val="134"/>
    </font>
    <font>
      <b/>
      <sz val="12"/>
      <color rgb="FF333333"/>
      <name val="Courier New"/>
      <charset val="134"/>
    </font>
    <font>
      <sz val="12"/>
      <color rgb="FF333333"/>
      <name val="Courier New"/>
      <charset val="134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color rgb="FF333333"/>
      <name val="宋体"/>
      <charset val="134"/>
      <scheme val="major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" borderId="14" applyNumberFormat="0" applyAlignment="0" applyProtection="0">
      <alignment vertical="center"/>
    </xf>
    <xf numFmtId="0" fontId="54" fillId="10" borderId="15" applyNumberFormat="0" applyAlignment="0" applyProtection="0">
      <alignment vertical="center"/>
    </xf>
    <xf numFmtId="0" fontId="55" fillId="10" borderId="14" applyNumberFormat="0" applyAlignment="0" applyProtection="0">
      <alignment vertical="center"/>
    </xf>
    <xf numFmtId="0" fontId="56" fillId="11" borderId="16" applyNumberFormat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176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 wrapText="1"/>
    </xf>
    <xf numFmtId="176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177" fontId="11" fillId="0" borderId="1" xfId="49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77" fontId="19" fillId="0" borderId="0" xfId="49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0" borderId="1" xfId="49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left" vertical="center" wrapText="1"/>
    </xf>
    <xf numFmtId="0" fontId="11" fillId="0" borderId="1" xfId="34" applyNumberFormat="1" applyFont="1" applyFill="1" applyBorder="1" applyAlignment="1" applyProtection="1">
      <alignment horizontal="center" vertical="center"/>
    </xf>
    <xf numFmtId="177" fontId="11" fillId="0" borderId="1" xfId="0" applyNumberFormat="1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19" fillId="0" borderId="0" xfId="34" applyNumberFormat="1" applyFont="1" applyFill="1" applyBorder="1" applyAlignment="1" applyProtection="1">
      <alignment horizontal="center" vertical="center"/>
    </xf>
    <xf numFmtId="177" fontId="19" fillId="0" borderId="0" xfId="49" applyNumberFormat="1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24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0" fontId="26" fillId="0" borderId="7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left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21" fillId="5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2" fillId="0" borderId="0" xfId="0" applyFont="1" applyFill="1" applyAlignment="1">
      <alignment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8" fillId="5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Fill="1" applyBorder="1">
      <alignment vertical="center"/>
    </xf>
    <xf numFmtId="0" fontId="29" fillId="0" borderId="1" xfId="0" applyFont="1" applyFill="1" applyBorder="1">
      <alignment vertical="center"/>
    </xf>
    <xf numFmtId="0" fontId="37" fillId="5" borderId="1" xfId="0" applyFont="1" applyFill="1" applyBorder="1" applyAlignment="1">
      <alignment horizontal="left" vertical="center"/>
    </xf>
    <xf numFmtId="0" fontId="38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25" fillId="6" borderId="1" xfId="0" applyFont="1" applyFill="1" applyBorder="1" applyAlignment="1">
      <alignment horizontal="left" vertical="center"/>
    </xf>
    <xf numFmtId="0" fontId="0" fillId="6" borderId="1" xfId="0" applyFill="1" applyBorder="1">
      <alignment vertical="center"/>
    </xf>
    <xf numFmtId="0" fontId="3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left" vertical="center"/>
    </xf>
    <xf numFmtId="0" fontId="29" fillId="6" borderId="1" xfId="0" applyFont="1" applyFill="1" applyBorder="1">
      <alignment vertical="center"/>
    </xf>
    <xf numFmtId="0" fontId="42" fillId="5" borderId="1" xfId="0" applyFont="1" applyFill="1" applyBorder="1" applyAlignment="1">
      <alignment horizontal="left" vertical="center"/>
    </xf>
    <xf numFmtId="0" fontId="29" fillId="5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29" fillId="6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left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31" fillId="5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6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left" vertical="center"/>
    </xf>
    <xf numFmtId="0" fontId="25" fillId="5" borderId="9" xfId="0" applyFont="1" applyFill="1" applyBorder="1" applyAlignment="1">
      <alignment horizontal="left" vertical="center"/>
    </xf>
    <xf numFmtId="0" fontId="25" fillId="5" borderId="10" xfId="0" applyFont="1" applyFill="1" applyBorder="1" applyAlignment="1">
      <alignment horizontal="left" vertical="center"/>
    </xf>
    <xf numFmtId="0" fontId="0" fillId="6" borderId="1" xfId="0" applyFont="1" applyFill="1" applyBorder="1">
      <alignment vertical="center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34" fillId="0" borderId="7" xfId="0" applyFont="1" applyBorder="1" applyAlignment="1">
      <alignment horizontal="center" vertical="center"/>
    </xf>
    <xf numFmtId="0" fontId="31" fillId="5" borderId="6" xfId="0" applyFont="1" applyFill="1" applyBorder="1" applyAlignment="1">
      <alignment vertical="center"/>
    </xf>
    <xf numFmtId="0" fontId="31" fillId="5" borderId="9" xfId="0" applyFont="1" applyFill="1" applyBorder="1" applyAlignment="1">
      <alignment vertical="center"/>
    </xf>
    <xf numFmtId="0" fontId="31" fillId="5" borderId="10" xfId="0" applyFont="1" applyFill="1" applyBorder="1" applyAlignment="1">
      <alignment vertical="center"/>
    </xf>
    <xf numFmtId="0" fontId="0" fillId="5" borderId="10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1" fillId="7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44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144.png"/><Relationship Id="rId98" Type="http://schemas.openxmlformats.org/officeDocument/2006/relationships/image" Target="media/image143.png"/><Relationship Id="rId97" Type="http://schemas.openxmlformats.org/officeDocument/2006/relationships/image" Target="media/image142.jpeg"/><Relationship Id="rId96" Type="http://schemas.openxmlformats.org/officeDocument/2006/relationships/image" Target="media/image141.png"/><Relationship Id="rId95" Type="http://schemas.openxmlformats.org/officeDocument/2006/relationships/image" Target="media/image140.png"/><Relationship Id="rId94" Type="http://schemas.openxmlformats.org/officeDocument/2006/relationships/image" Target="media/image139.png"/><Relationship Id="rId93" Type="http://schemas.openxmlformats.org/officeDocument/2006/relationships/image" Target="media/image138.png"/><Relationship Id="rId92" Type="http://schemas.openxmlformats.org/officeDocument/2006/relationships/image" Target="media/image137.png"/><Relationship Id="rId91" Type="http://schemas.openxmlformats.org/officeDocument/2006/relationships/image" Target="media/image136.png"/><Relationship Id="rId90" Type="http://schemas.openxmlformats.org/officeDocument/2006/relationships/image" Target="media/image135.jpeg"/><Relationship Id="rId9" Type="http://schemas.openxmlformats.org/officeDocument/2006/relationships/image" Target="media/image54.png"/><Relationship Id="rId89" Type="http://schemas.openxmlformats.org/officeDocument/2006/relationships/image" Target="media/image134.png"/><Relationship Id="rId88" Type="http://schemas.openxmlformats.org/officeDocument/2006/relationships/image" Target="media/image133.png"/><Relationship Id="rId87" Type="http://schemas.openxmlformats.org/officeDocument/2006/relationships/image" Target="media/image132.png"/><Relationship Id="rId86" Type="http://schemas.openxmlformats.org/officeDocument/2006/relationships/image" Target="media/image131.png"/><Relationship Id="rId85" Type="http://schemas.openxmlformats.org/officeDocument/2006/relationships/image" Target="media/image130.png"/><Relationship Id="rId84" Type="http://schemas.openxmlformats.org/officeDocument/2006/relationships/image" Target="media/image129.png"/><Relationship Id="rId83" Type="http://schemas.openxmlformats.org/officeDocument/2006/relationships/image" Target="media/image128.png"/><Relationship Id="rId82" Type="http://schemas.openxmlformats.org/officeDocument/2006/relationships/image" Target="media/image127.jpeg"/><Relationship Id="rId81" Type="http://schemas.openxmlformats.org/officeDocument/2006/relationships/image" Target="media/image126.png"/><Relationship Id="rId80" Type="http://schemas.openxmlformats.org/officeDocument/2006/relationships/image" Target="media/image125.png"/><Relationship Id="rId8" Type="http://schemas.openxmlformats.org/officeDocument/2006/relationships/image" Target="media/image53.png"/><Relationship Id="rId79" Type="http://schemas.openxmlformats.org/officeDocument/2006/relationships/image" Target="media/image124.png"/><Relationship Id="rId78" Type="http://schemas.openxmlformats.org/officeDocument/2006/relationships/image" Target="media/image123.jpeg"/><Relationship Id="rId77" Type="http://schemas.openxmlformats.org/officeDocument/2006/relationships/image" Target="media/image122.jpeg"/><Relationship Id="rId76" Type="http://schemas.openxmlformats.org/officeDocument/2006/relationships/image" Target="media/image121.jpeg"/><Relationship Id="rId75" Type="http://schemas.openxmlformats.org/officeDocument/2006/relationships/image" Target="media/image120.jpeg"/><Relationship Id="rId74" Type="http://schemas.openxmlformats.org/officeDocument/2006/relationships/image" Target="media/image119.jpeg"/><Relationship Id="rId73" Type="http://schemas.openxmlformats.org/officeDocument/2006/relationships/image" Target="media/image118.jpeg"/><Relationship Id="rId72" Type="http://schemas.openxmlformats.org/officeDocument/2006/relationships/image" Target="media/image117.png"/><Relationship Id="rId71" Type="http://schemas.openxmlformats.org/officeDocument/2006/relationships/image" Target="media/image116.jpeg"/><Relationship Id="rId70" Type="http://schemas.openxmlformats.org/officeDocument/2006/relationships/image" Target="media/image115.jpeg"/><Relationship Id="rId7" Type="http://schemas.openxmlformats.org/officeDocument/2006/relationships/image" Target="media/image52.png"/><Relationship Id="rId69" Type="http://schemas.openxmlformats.org/officeDocument/2006/relationships/image" Target="media/image114.png"/><Relationship Id="rId68" Type="http://schemas.openxmlformats.org/officeDocument/2006/relationships/image" Target="media/image113.jpeg"/><Relationship Id="rId67" Type="http://schemas.openxmlformats.org/officeDocument/2006/relationships/image" Target="media/image112.jpeg"/><Relationship Id="rId66" Type="http://schemas.openxmlformats.org/officeDocument/2006/relationships/image" Target="media/image111.jpeg"/><Relationship Id="rId65" Type="http://schemas.openxmlformats.org/officeDocument/2006/relationships/image" Target="media/image110.jpeg"/><Relationship Id="rId64" Type="http://schemas.openxmlformats.org/officeDocument/2006/relationships/image" Target="media/image109.png"/><Relationship Id="rId63" Type="http://schemas.openxmlformats.org/officeDocument/2006/relationships/image" Target="media/image108.png"/><Relationship Id="rId62" Type="http://schemas.openxmlformats.org/officeDocument/2006/relationships/image" Target="media/image107.png"/><Relationship Id="rId61" Type="http://schemas.openxmlformats.org/officeDocument/2006/relationships/image" Target="media/image106.jpeg"/><Relationship Id="rId60" Type="http://schemas.openxmlformats.org/officeDocument/2006/relationships/image" Target="media/image105.jpeg"/><Relationship Id="rId6" Type="http://schemas.openxmlformats.org/officeDocument/2006/relationships/image" Target="media/image51.png"/><Relationship Id="rId59" Type="http://schemas.openxmlformats.org/officeDocument/2006/relationships/image" Target="media/image104.jpeg"/><Relationship Id="rId58" Type="http://schemas.openxmlformats.org/officeDocument/2006/relationships/image" Target="media/image103.jpeg"/><Relationship Id="rId57" Type="http://schemas.openxmlformats.org/officeDocument/2006/relationships/image" Target="media/image102.png"/><Relationship Id="rId56" Type="http://schemas.openxmlformats.org/officeDocument/2006/relationships/image" Target="media/image101.png"/><Relationship Id="rId55" Type="http://schemas.openxmlformats.org/officeDocument/2006/relationships/image" Target="media/image100.jpeg"/><Relationship Id="rId54" Type="http://schemas.openxmlformats.org/officeDocument/2006/relationships/image" Target="media/image99.png"/><Relationship Id="rId53" Type="http://schemas.openxmlformats.org/officeDocument/2006/relationships/image" Target="media/image98.jpeg"/><Relationship Id="rId52" Type="http://schemas.openxmlformats.org/officeDocument/2006/relationships/image" Target="media/image97.png"/><Relationship Id="rId51" Type="http://schemas.openxmlformats.org/officeDocument/2006/relationships/image" Target="media/image96.jpeg"/><Relationship Id="rId50" Type="http://schemas.openxmlformats.org/officeDocument/2006/relationships/image" Target="media/image95.jpeg"/><Relationship Id="rId5" Type="http://schemas.openxmlformats.org/officeDocument/2006/relationships/image" Target="media/image50.png"/><Relationship Id="rId49" Type="http://schemas.openxmlformats.org/officeDocument/2006/relationships/image" Target="media/image94.jpeg"/><Relationship Id="rId48" Type="http://schemas.openxmlformats.org/officeDocument/2006/relationships/image" Target="media/image93.jpeg"/><Relationship Id="rId47" Type="http://schemas.openxmlformats.org/officeDocument/2006/relationships/image" Target="media/image92.jpeg"/><Relationship Id="rId46" Type="http://schemas.openxmlformats.org/officeDocument/2006/relationships/image" Target="media/image91.png"/><Relationship Id="rId45" Type="http://schemas.openxmlformats.org/officeDocument/2006/relationships/image" Target="media/image90.png"/><Relationship Id="rId44" Type="http://schemas.openxmlformats.org/officeDocument/2006/relationships/image" Target="media/image89.jpeg"/><Relationship Id="rId43" Type="http://schemas.openxmlformats.org/officeDocument/2006/relationships/image" Target="media/image88.jpeg"/><Relationship Id="rId42" Type="http://schemas.openxmlformats.org/officeDocument/2006/relationships/image" Target="media/image87.jpeg"/><Relationship Id="rId41" Type="http://schemas.openxmlformats.org/officeDocument/2006/relationships/image" Target="media/image86.jpeg"/><Relationship Id="rId40" Type="http://schemas.openxmlformats.org/officeDocument/2006/relationships/image" Target="media/image85.jpeg"/><Relationship Id="rId4" Type="http://schemas.openxmlformats.org/officeDocument/2006/relationships/image" Target="media/image49.png"/><Relationship Id="rId39" Type="http://schemas.openxmlformats.org/officeDocument/2006/relationships/image" Target="media/image84.png"/><Relationship Id="rId38" Type="http://schemas.openxmlformats.org/officeDocument/2006/relationships/image" Target="media/image83.png"/><Relationship Id="rId37" Type="http://schemas.openxmlformats.org/officeDocument/2006/relationships/image" Target="media/image82.jpeg"/><Relationship Id="rId36" Type="http://schemas.openxmlformats.org/officeDocument/2006/relationships/image" Target="media/image81.jpeg"/><Relationship Id="rId35" Type="http://schemas.openxmlformats.org/officeDocument/2006/relationships/image" Target="media/image80.jpeg"/><Relationship Id="rId34" Type="http://schemas.openxmlformats.org/officeDocument/2006/relationships/image" Target="media/image79.jpeg"/><Relationship Id="rId33" Type="http://schemas.openxmlformats.org/officeDocument/2006/relationships/image" Target="media/image78.jpeg"/><Relationship Id="rId32" Type="http://schemas.openxmlformats.org/officeDocument/2006/relationships/image" Target="media/image77.jpeg"/><Relationship Id="rId31" Type="http://schemas.openxmlformats.org/officeDocument/2006/relationships/image" Target="media/image76.jpeg"/><Relationship Id="rId30" Type="http://schemas.openxmlformats.org/officeDocument/2006/relationships/image" Target="media/image75.jpeg"/><Relationship Id="rId3" Type="http://schemas.openxmlformats.org/officeDocument/2006/relationships/image" Target="media/image48.png"/><Relationship Id="rId29" Type="http://schemas.openxmlformats.org/officeDocument/2006/relationships/image" Target="media/image74.jpeg"/><Relationship Id="rId28" Type="http://schemas.openxmlformats.org/officeDocument/2006/relationships/image" Target="media/image73.jpeg"/><Relationship Id="rId27" Type="http://schemas.openxmlformats.org/officeDocument/2006/relationships/image" Target="media/image72.jpeg"/><Relationship Id="rId26" Type="http://schemas.openxmlformats.org/officeDocument/2006/relationships/image" Target="media/image71.jpeg"/><Relationship Id="rId25" Type="http://schemas.openxmlformats.org/officeDocument/2006/relationships/image" Target="media/image70.jpeg"/><Relationship Id="rId24" Type="http://schemas.openxmlformats.org/officeDocument/2006/relationships/image" Target="media/image69.jpeg"/><Relationship Id="rId23" Type="http://schemas.openxmlformats.org/officeDocument/2006/relationships/image" Target="media/image68.jpeg"/><Relationship Id="rId22" Type="http://schemas.openxmlformats.org/officeDocument/2006/relationships/image" Target="media/image67.jpeg"/><Relationship Id="rId21" Type="http://schemas.openxmlformats.org/officeDocument/2006/relationships/image" Target="media/image66.jpeg"/><Relationship Id="rId201" Type="http://schemas.openxmlformats.org/officeDocument/2006/relationships/image" Target="media/image246.png"/><Relationship Id="rId200" Type="http://schemas.openxmlformats.org/officeDocument/2006/relationships/image" Target="media/image245.png"/><Relationship Id="rId20" Type="http://schemas.openxmlformats.org/officeDocument/2006/relationships/image" Target="media/image65.png"/><Relationship Id="rId2" Type="http://schemas.openxmlformats.org/officeDocument/2006/relationships/image" Target="media/image47.png"/><Relationship Id="rId199" Type="http://schemas.openxmlformats.org/officeDocument/2006/relationships/image" Target="media/image244.jpeg"/><Relationship Id="rId198" Type="http://schemas.openxmlformats.org/officeDocument/2006/relationships/image" Target="media/image243.png"/><Relationship Id="rId197" Type="http://schemas.openxmlformats.org/officeDocument/2006/relationships/image" Target="media/image242.png"/><Relationship Id="rId196" Type="http://schemas.openxmlformats.org/officeDocument/2006/relationships/image" Target="media/image241.png"/><Relationship Id="rId195" Type="http://schemas.openxmlformats.org/officeDocument/2006/relationships/image" Target="media/image240.png"/><Relationship Id="rId194" Type="http://schemas.openxmlformats.org/officeDocument/2006/relationships/image" Target="media/image239.png"/><Relationship Id="rId193" Type="http://schemas.openxmlformats.org/officeDocument/2006/relationships/image" Target="media/image238.png"/><Relationship Id="rId192" Type="http://schemas.openxmlformats.org/officeDocument/2006/relationships/image" Target="media/image237.png"/><Relationship Id="rId191" Type="http://schemas.openxmlformats.org/officeDocument/2006/relationships/image" Target="media/image236.png"/><Relationship Id="rId190" Type="http://schemas.openxmlformats.org/officeDocument/2006/relationships/image" Target="media/image235.png"/><Relationship Id="rId19" Type="http://schemas.openxmlformats.org/officeDocument/2006/relationships/image" Target="media/image64.png"/><Relationship Id="rId189" Type="http://schemas.openxmlformats.org/officeDocument/2006/relationships/image" Target="media/image234.png"/><Relationship Id="rId188" Type="http://schemas.openxmlformats.org/officeDocument/2006/relationships/image" Target="media/image233.png"/><Relationship Id="rId187" Type="http://schemas.openxmlformats.org/officeDocument/2006/relationships/image" Target="media/image232.png"/><Relationship Id="rId186" Type="http://schemas.openxmlformats.org/officeDocument/2006/relationships/image" Target="media/image231.png"/><Relationship Id="rId185" Type="http://schemas.openxmlformats.org/officeDocument/2006/relationships/image" Target="media/image230.png"/><Relationship Id="rId184" Type="http://schemas.openxmlformats.org/officeDocument/2006/relationships/image" Target="media/image229.jpeg"/><Relationship Id="rId183" Type="http://schemas.openxmlformats.org/officeDocument/2006/relationships/image" Target="media/image228.png"/><Relationship Id="rId182" Type="http://schemas.openxmlformats.org/officeDocument/2006/relationships/image" Target="media/image227.png"/><Relationship Id="rId181" Type="http://schemas.openxmlformats.org/officeDocument/2006/relationships/image" Target="media/image226.png"/><Relationship Id="rId180" Type="http://schemas.openxmlformats.org/officeDocument/2006/relationships/image" Target="media/image225.png"/><Relationship Id="rId18" Type="http://schemas.openxmlformats.org/officeDocument/2006/relationships/image" Target="media/image63.png"/><Relationship Id="rId179" Type="http://schemas.openxmlformats.org/officeDocument/2006/relationships/image" Target="media/image224.png"/><Relationship Id="rId178" Type="http://schemas.openxmlformats.org/officeDocument/2006/relationships/image" Target="media/image223.png"/><Relationship Id="rId177" Type="http://schemas.openxmlformats.org/officeDocument/2006/relationships/image" Target="media/image222.png"/><Relationship Id="rId176" Type="http://schemas.openxmlformats.org/officeDocument/2006/relationships/image" Target="media/image221.png"/><Relationship Id="rId175" Type="http://schemas.openxmlformats.org/officeDocument/2006/relationships/image" Target="media/image220.png"/><Relationship Id="rId174" Type="http://schemas.openxmlformats.org/officeDocument/2006/relationships/image" Target="media/image219.png"/><Relationship Id="rId173" Type="http://schemas.openxmlformats.org/officeDocument/2006/relationships/image" Target="media/image218.png"/><Relationship Id="rId172" Type="http://schemas.openxmlformats.org/officeDocument/2006/relationships/image" Target="media/image217.png"/><Relationship Id="rId171" Type="http://schemas.openxmlformats.org/officeDocument/2006/relationships/image" Target="media/image216.png"/><Relationship Id="rId170" Type="http://schemas.openxmlformats.org/officeDocument/2006/relationships/image" Target="media/image215.png"/><Relationship Id="rId17" Type="http://schemas.openxmlformats.org/officeDocument/2006/relationships/image" Target="media/image62.png"/><Relationship Id="rId169" Type="http://schemas.openxmlformats.org/officeDocument/2006/relationships/image" Target="media/image214.jpeg"/><Relationship Id="rId168" Type="http://schemas.openxmlformats.org/officeDocument/2006/relationships/image" Target="media/image213.png"/><Relationship Id="rId167" Type="http://schemas.openxmlformats.org/officeDocument/2006/relationships/image" Target="media/image212.png"/><Relationship Id="rId166" Type="http://schemas.openxmlformats.org/officeDocument/2006/relationships/image" Target="media/image211.png"/><Relationship Id="rId165" Type="http://schemas.openxmlformats.org/officeDocument/2006/relationships/image" Target="media/image210.png"/><Relationship Id="rId164" Type="http://schemas.openxmlformats.org/officeDocument/2006/relationships/image" Target="media/image209.png"/><Relationship Id="rId163" Type="http://schemas.openxmlformats.org/officeDocument/2006/relationships/image" Target="media/image208.png"/><Relationship Id="rId162" Type="http://schemas.openxmlformats.org/officeDocument/2006/relationships/image" Target="media/image207.png"/><Relationship Id="rId161" Type="http://schemas.openxmlformats.org/officeDocument/2006/relationships/image" Target="media/image206.png"/><Relationship Id="rId160" Type="http://schemas.openxmlformats.org/officeDocument/2006/relationships/image" Target="media/image205.png"/><Relationship Id="rId16" Type="http://schemas.openxmlformats.org/officeDocument/2006/relationships/image" Target="media/image61.png"/><Relationship Id="rId159" Type="http://schemas.openxmlformats.org/officeDocument/2006/relationships/image" Target="media/image204.png"/><Relationship Id="rId158" Type="http://schemas.openxmlformats.org/officeDocument/2006/relationships/image" Target="media/image203.png"/><Relationship Id="rId157" Type="http://schemas.openxmlformats.org/officeDocument/2006/relationships/image" Target="media/image202.png"/><Relationship Id="rId156" Type="http://schemas.openxmlformats.org/officeDocument/2006/relationships/image" Target="media/image201.jpeg"/><Relationship Id="rId155" Type="http://schemas.openxmlformats.org/officeDocument/2006/relationships/image" Target="media/image200.png"/><Relationship Id="rId154" Type="http://schemas.openxmlformats.org/officeDocument/2006/relationships/image" Target="media/image199.png"/><Relationship Id="rId153" Type="http://schemas.openxmlformats.org/officeDocument/2006/relationships/image" Target="media/image198.jpeg"/><Relationship Id="rId152" Type="http://schemas.openxmlformats.org/officeDocument/2006/relationships/image" Target="media/image197.jpeg"/><Relationship Id="rId151" Type="http://schemas.openxmlformats.org/officeDocument/2006/relationships/image" Target="media/image196.png"/><Relationship Id="rId150" Type="http://schemas.openxmlformats.org/officeDocument/2006/relationships/image" Target="media/image195.png"/><Relationship Id="rId15" Type="http://schemas.openxmlformats.org/officeDocument/2006/relationships/image" Target="media/image60.png"/><Relationship Id="rId149" Type="http://schemas.openxmlformats.org/officeDocument/2006/relationships/image" Target="media/image194.png"/><Relationship Id="rId148" Type="http://schemas.openxmlformats.org/officeDocument/2006/relationships/image" Target="media/image193.png"/><Relationship Id="rId147" Type="http://schemas.openxmlformats.org/officeDocument/2006/relationships/image" Target="media/image192.png"/><Relationship Id="rId146" Type="http://schemas.openxmlformats.org/officeDocument/2006/relationships/image" Target="media/image191.png"/><Relationship Id="rId145" Type="http://schemas.openxmlformats.org/officeDocument/2006/relationships/image" Target="media/image190.png"/><Relationship Id="rId144" Type="http://schemas.openxmlformats.org/officeDocument/2006/relationships/image" Target="media/image189.png"/><Relationship Id="rId143" Type="http://schemas.openxmlformats.org/officeDocument/2006/relationships/image" Target="media/image188.png"/><Relationship Id="rId142" Type="http://schemas.openxmlformats.org/officeDocument/2006/relationships/image" Target="media/image187.png"/><Relationship Id="rId141" Type="http://schemas.openxmlformats.org/officeDocument/2006/relationships/image" Target="media/image186.png"/><Relationship Id="rId140" Type="http://schemas.openxmlformats.org/officeDocument/2006/relationships/image" Target="media/image185.png"/><Relationship Id="rId14" Type="http://schemas.openxmlformats.org/officeDocument/2006/relationships/image" Target="media/image59.png"/><Relationship Id="rId139" Type="http://schemas.openxmlformats.org/officeDocument/2006/relationships/image" Target="media/image184.jpeg"/><Relationship Id="rId138" Type="http://schemas.openxmlformats.org/officeDocument/2006/relationships/image" Target="media/image183.png"/><Relationship Id="rId137" Type="http://schemas.openxmlformats.org/officeDocument/2006/relationships/image" Target="media/image182.png"/><Relationship Id="rId136" Type="http://schemas.openxmlformats.org/officeDocument/2006/relationships/image" Target="media/image181.png"/><Relationship Id="rId135" Type="http://schemas.openxmlformats.org/officeDocument/2006/relationships/image" Target="media/image180.png"/><Relationship Id="rId134" Type="http://schemas.openxmlformats.org/officeDocument/2006/relationships/image" Target="media/image179.png"/><Relationship Id="rId133" Type="http://schemas.openxmlformats.org/officeDocument/2006/relationships/image" Target="media/image178.jpeg"/><Relationship Id="rId132" Type="http://schemas.openxmlformats.org/officeDocument/2006/relationships/image" Target="media/image177.png"/><Relationship Id="rId131" Type="http://schemas.openxmlformats.org/officeDocument/2006/relationships/image" Target="media/image176.png"/><Relationship Id="rId130" Type="http://schemas.openxmlformats.org/officeDocument/2006/relationships/image" Target="media/image175.png"/><Relationship Id="rId13" Type="http://schemas.openxmlformats.org/officeDocument/2006/relationships/image" Target="media/image58.png"/><Relationship Id="rId129" Type="http://schemas.openxmlformats.org/officeDocument/2006/relationships/image" Target="media/image174.png"/><Relationship Id="rId128" Type="http://schemas.openxmlformats.org/officeDocument/2006/relationships/image" Target="media/image173.png"/><Relationship Id="rId127" Type="http://schemas.openxmlformats.org/officeDocument/2006/relationships/image" Target="media/image172.png"/><Relationship Id="rId126" Type="http://schemas.openxmlformats.org/officeDocument/2006/relationships/image" Target="media/image171.png"/><Relationship Id="rId125" Type="http://schemas.openxmlformats.org/officeDocument/2006/relationships/image" Target="media/image170.png"/><Relationship Id="rId124" Type="http://schemas.openxmlformats.org/officeDocument/2006/relationships/image" Target="media/image169.png"/><Relationship Id="rId123" Type="http://schemas.openxmlformats.org/officeDocument/2006/relationships/image" Target="media/image168.png"/><Relationship Id="rId122" Type="http://schemas.openxmlformats.org/officeDocument/2006/relationships/image" Target="media/image167.jpeg"/><Relationship Id="rId121" Type="http://schemas.openxmlformats.org/officeDocument/2006/relationships/image" Target="media/image166.png"/><Relationship Id="rId120" Type="http://schemas.openxmlformats.org/officeDocument/2006/relationships/image" Target="media/image165.png"/><Relationship Id="rId12" Type="http://schemas.openxmlformats.org/officeDocument/2006/relationships/image" Target="media/image57.png"/><Relationship Id="rId119" Type="http://schemas.openxmlformats.org/officeDocument/2006/relationships/image" Target="media/image164.png"/><Relationship Id="rId118" Type="http://schemas.openxmlformats.org/officeDocument/2006/relationships/image" Target="media/image163.jpeg"/><Relationship Id="rId117" Type="http://schemas.openxmlformats.org/officeDocument/2006/relationships/image" Target="media/image162.png"/><Relationship Id="rId116" Type="http://schemas.openxmlformats.org/officeDocument/2006/relationships/image" Target="media/image161.png"/><Relationship Id="rId115" Type="http://schemas.openxmlformats.org/officeDocument/2006/relationships/image" Target="media/image160.png"/><Relationship Id="rId114" Type="http://schemas.openxmlformats.org/officeDocument/2006/relationships/image" Target="media/image159.jpeg"/><Relationship Id="rId113" Type="http://schemas.openxmlformats.org/officeDocument/2006/relationships/image" Target="media/image158.png"/><Relationship Id="rId112" Type="http://schemas.openxmlformats.org/officeDocument/2006/relationships/image" Target="media/image157.jpeg"/><Relationship Id="rId111" Type="http://schemas.openxmlformats.org/officeDocument/2006/relationships/image" Target="media/image156.jpeg"/><Relationship Id="rId110" Type="http://schemas.openxmlformats.org/officeDocument/2006/relationships/image" Target="media/image155.png"/><Relationship Id="rId11" Type="http://schemas.openxmlformats.org/officeDocument/2006/relationships/image" Target="media/image56.png"/><Relationship Id="rId109" Type="http://schemas.openxmlformats.org/officeDocument/2006/relationships/image" Target="media/image154.png"/><Relationship Id="rId108" Type="http://schemas.openxmlformats.org/officeDocument/2006/relationships/image" Target="media/image153.png"/><Relationship Id="rId107" Type="http://schemas.openxmlformats.org/officeDocument/2006/relationships/image" Target="media/image152.jpeg"/><Relationship Id="rId106" Type="http://schemas.openxmlformats.org/officeDocument/2006/relationships/image" Target="media/image151.png"/><Relationship Id="rId105" Type="http://schemas.openxmlformats.org/officeDocument/2006/relationships/image" Target="media/image150.png"/><Relationship Id="rId104" Type="http://schemas.openxmlformats.org/officeDocument/2006/relationships/image" Target="media/image149.png"/><Relationship Id="rId103" Type="http://schemas.openxmlformats.org/officeDocument/2006/relationships/image" Target="media/image148.png"/><Relationship Id="rId102" Type="http://schemas.openxmlformats.org/officeDocument/2006/relationships/image" Target="media/image147.png"/><Relationship Id="rId101" Type="http://schemas.openxmlformats.org/officeDocument/2006/relationships/image" Target="media/image146.png"/><Relationship Id="rId100" Type="http://schemas.openxmlformats.org/officeDocument/2006/relationships/image" Target="media/image145.png"/><Relationship Id="rId10" Type="http://schemas.openxmlformats.org/officeDocument/2006/relationships/image" Target="media/image55.png"/><Relationship Id="rId1" Type="http://schemas.openxmlformats.org/officeDocument/2006/relationships/image" Target="media/image46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www.wps.cn/officeDocument/2020/cellImage" Target="cellimag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.jpeg"/><Relationship Id="rId8" Type="http://schemas.openxmlformats.org/officeDocument/2006/relationships/image" Target="../media/image14.jpeg"/><Relationship Id="rId7" Type="http://schemas.openxmlformats.org/officeDocument/2006/relationships/image" Target="../media/image13.jpeg"/><Relationship Id="rId6" Type="http://schemas.openxmlformats.org/officeDocument/2006/relationships/image" Target="../media/image12.jpeg"/><Relationship Id="rId5" Type="http://schemas.openxmlformats.org/officeDocument/2006/relationships/image" Target="../media/image11.jpeg"/><Relationship Id="rId4" Type="http://schemas.openxmlformats.org/officeDocument/2006/relationships/image" Target="../media/image10.jpeg"/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24.jpeg"/><Relationship Id="rId8" Type="http://schemas.openxmlformats.org/officeDocument/2006/relationships/image" Target="../media/image23.jpeg"/><Relationship Id="rId7" Type="http://schemas.openxmlformats.org/officeDocument/2006/relationships/image" Target="../media/image22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Relationship Id="rId30" Type="http://schemas.openxmlformats.org/officeDocument/2006/relationships/image" Target="../media/image45.jpeg"/><Relationship Id="rId3" Type="http://schemas.openxmlformats.org/officeDocument/2006/relationships/image" Target="../media/image18.jpeg"/><Relationship Id="rId29" Type="http://schemas.openxmlformats.org/officeDocument/2006/relationships/image" Target="../media/image44.jpeg"/><Relationship Id="rId28" Type="http://schemas.openxmlformats.org/officeDocument/2006/relationships/image" Target="../media/image43.jpeg"/><Relationship Id="rId27" Type="http://schemas.openxmlformats.org/officeDocument/2006/relationships/image" Target="../media/image42.jpeg"/><Relationship Id="rId26" Type="http://schemas.openxmlformats.org/officeDocument/2006/relationships/image" Target="../media/image41.jpeg"/><Relationship Id="rId25" Type="http://schemas.openxmlformats.org/officeDocument/2006/relationships/image" Target="../media/image40.jpeg"/><Relationship Id="rId24" Type="http://schemas.openxmlformats.org/officeDocument/2006/relationships/image" Target="../media/image39.jpeg"/><Relationship Id="rId23" Type="http://schemas.openxmlformats.org/officeDocument/2006/relationships/image" Target="../media/image38.jpeg"/><Relationship Id="rId22" Type="http://schemas.openxmlformats.org/officeDocument/2006/relationships/image" Target="../media/image37.jpeg"/><Relationship Id="rId21" Type="http://schemas.openxmlformats.org/officeDocument/2006/relationships/image" Target="../media/image36.jpeg"/><Relationship Id="rId20" Type="http://schemas.openxmlformats.org/officeDocument/2006/relationships/image" Target="../media/image35.jpeg"/><Relationship Id="rId2" Type="http://schemas.openxmlformats.org/officeDocument/2006/relationships/image" Target="../media/image17.jpeg"/><Relationship Id="rId19" Type="http://schemas.openxmlformats.org/officeDocument/2006/relationships/image" Target="../media/image34.jpeg"/><Relationship Id="rId18" Type="http://schemas.openxmlformats.org/officeDocument/2006/relationships/image" Target="../media/image33.jpeg"/><Relationship Id="rId17" Type="http://schemas.openxmlformats.org/officeDocument/2006/relationships/image" Target="../media/image32.jpeg"/><Relationship Id="rId16" Type="http://schemas.openxmlformats.org/officeDocument/2006/relationships/image" Target="../media/image31.jpeg"/><Relationship Id="rId15" Type="http://schemas.openxmlformats.org/officeDocument/2006/relationships/image" Target="../media/image30.jpeg"/><Relationship Id="rId14" Type="http://schemas.openxmlformats.org/officeDocument/2006/relationships/image" Target="../media/image29.jpeg"/><Relationship Id="rId13" Type="http://schemas.openxmlformats.org/officeDocument/2006/relationships/image" Target="../media/image28.jpeg"/><Relationship Id="rId12" Type="http://schemas.openxmlformats.org/officeDocument/2006/relationships/image" Target="../media/image27.jpeg"/><Relationship Id="rId11" Type="http://schemas.openxmlformats.org/officeDocument/2006/relationships/image" Target="../media/image26.jpeg"/><Relationship Id="rId10" Type="http://schemas.openxmlformats.org/officeDocument/2006/relationships/image" Target="../media/image25.jpeg"/><Relationship Id="rId1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270510</xdr:colOff>
      <xdr:row>40</xdr:row>
      <xdr:rowOff>930910</xdr:rowOff>
    </xdr:from>
    <xdr:to>
      <xdr:col>3</xdr:col>
      <xdr:colOff>0</xdr:colOff>
      <xdr:row>40</xdr:row>
      <xdr:rowOff>1737360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l="5566" t="11871" r="6344" b="13934"/>
        <a:stretch>
          <a:fillRect/>
        </a:stretch>
      </xdr:blipFill>
      <xdr:spPr>
        <a:xfrm>
          <a:off x="1435100" y="56252110"/>
          <a:ext cx="1380490" cy="806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36195</xdr:colOff>
      <xdr:row>7</xdr:row>
      <xdr:rowOff>0</xdr:rowOff>
    </xdr:from>
    <xdr:to>
      <xdr:col>4</xdr:col>
      <xdr:colOff>50165</xdr:colOff>
      <xdr:row>7</xdr:row>
      <xdr:rowOff>29210</xdr:rowOff>
    </xdr:to>
    <xdr:pic>
      <xdr:nvPicPr>
        <xdr:cNvPr id="2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9550" y="12490450"/>
          <a:ext cx="1397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7</xdr:row>
      <xdr:rowOff>0</xdr:rowOff>
    </xdr:from>
    <xdr:to>
      <xdr:col>4</xdr:col>
      <xdr:colOff>56515</xdr:colOff>
      <xdr:row>7</xdr:row>
      <xdr:rowOff>24765</xdr:rowOff>
    </xdr:to>
    <xdr:pic>
      <xdr:nvPicPr>
        <xdr:cNvPr id="3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805" y="12490450"/>
          <a:ext cx="12065" cy="247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33655</xdr:colOff>
      <xdr:row>7</xdr:row>
      <xdr:rowOff>0</xdr:rowOff>
    </xdr:from>
    <xdr:ext cx="19050" cy="38100"/>
    <xdr:pic>
      <xdr:nvPicPr>
        <xdr:cNvPr id="4" name="157" descr="157"/>
        <xdr:cNvPicPr/>
      </xdr:nvPicPr>
      <xdr:blipFill>
        <a:blip r:embed="rId1"/>
        <a:srcRect/>
        <a:stretch>
          <a:fillRect/>
        </a:stretch>
      </xdr:blipFill>
      <xdr:spPr>
        <a:xfrm>
          <a:off x="4017010" y="12490450"/>
          <a:ext cx="19050" cy="38100"/>
        </a:xfrm>
        <a:prstGeom prst="rect">
          <a:avLst/>
        </a:prstGeom>
        <a:noFill/>
      </xdr:spPr>
    </xdr:pic>
    <xdr:clientData/>
  </xdr:oneCellAnchor>
  <xdr:oneCellAnchor>
    <xdr:from>
      <xdr:col>4</xdr:col>
      <xdr:colOff>43180</xdr:colOff>
      <xdr:row>7</xdr:row>
      <xdr:rowOff>0</xdr:rowOff>
    </xdr:from>
    <xdr:ext cx="9525" cy="19050"/>
    <xdr:pic>
      <xdr:nvPicPr>
        <xdr:cNvPr id="5" name="231" descr="231"/>
        <xdr:cNvPicPr/>
      </xdr:nvPicPr>
      <xdr:blipFill>
        <a:blip r:embed="rId1"/>
        <a:srcRect/>
        <a:stretch>
          <a:fillRect/>
        </a:stretch>
      </xdr:blipFill>
      <xdr:spPr>
        <a:xfrm>
          <a:off x="4026535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36195</xdr:colOff>
      <xdr:row>7</xdr:row>
      <xdr:rowOff>0</xdr:rowOff>
    </xdr:from>
    <xdr:ext cx="13970" cy="28575"/>
    <xdr:pic>
      <xdr:nvPicPr>
        <xdr:cNvPr id="6" name="214" descr="214"/>
        <xdr:cNvPicPr/>
      </xdr:nvPicPr>
      <xdr:blipFill>
        <a:blip r:embed="rId1"/>
        <a:srcRect/>
        <a:stretch>
          <a:fillRect/>
        </a:stretch>
      </xdr:blipFill>
      <xdr:spPr>
        <a:xfrm>
          <a:off x="4019550" y="12490450"/>
          <a:ext cx="13970" cy="28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40640</xdr:colOff>
      <xdr:row>7</xdr:row>
      <xdr:rowOff>0</xdr:rowOff>
    </xdr:from>
    <xdr:ext cx="23495" cy="47625"/>
    <xdr:pic>
      <xdr:nvPicPr>
        <xdr:cNvPr id="7" name="180" descr="180"/>
        <xdr:cNvPicPr/>
      </xdr:nvPicPr>
      <xdr:blipFill>
        <a:blip r:embed="rId1"/>
        <a:srcRect/>
        <a:stretch>
          <a:fillRect/>
        </a:stretch>
      </xdr:blipFill>
      <xdr:spPr>
        <a:xfrm>
          <a:off x="4023995" y="12490450"/>
          <a:ext cx="23495" cy="476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40640</xdr:colOff>
      <xdr:row>7</xdr:row>
      <xdr:rowOff>0</xdr:rowOff>
    </xdr:from>
    <xdr:ext cx="13970" cy="28575"/>
    <xdr:pic>
      <xdr:nvPicPr>
        <xdr:cNvPr id="8" name="115" descr="115"/>
        <xdr:cNvPicPr/>
      </xdr:nvPicPr>
      <xdr:blipFill>
        <a:blip r:embed="rId1"/>
        <a:srcRect/>
        <a:stretch>
          <a:fillRect/>
        </a:stretch>
      </xdr:blipFill>
      <xdr:spPr>
        <a:xfrm>
          <a:off x="4023995" y="12490450"/>
          <a:ext cx="13970" cy="28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38100</xdr:colOff>
      <xdr:row>7</xdr:row>
      <xdr:rowOff>0</xdr:rowOff>
    </xdr:from>
    <xdr:ext cx="9525" cy="19050"/>
    <xdr:pic>
      <xdr:nvPicPr>
        <xdr:cNvPr id="9" name="32" descr="32"/>
        <xdr:cNvPicPr/>
      </xdr:nvPicPr>
      <xdr:blipFill>
        <a:blip r:embed="rId1"/>
        <a:srcRect/>
        <a:stretch>
          <a:fillRect/>
        </a:stretch>
      </xdr:blipFill>
      <xdr:spPr>
        <a:xfrm>
          <a:off x="4021455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36195</xdr:colOff>
      <xdr:row>7</xdr:row>
      <xdr:rowOff>0</xdr:rowOff>
    </xdr:from>
    <xdr:ext cx="4445" cy="9525"/>
    <xdr:pic>
      <xdr:nvPicPr>
        <xdr:cNvPr id="10" name="148" descr="148"/>
        <xdr:cNvPicPr/>
      </xdr:nvPicPr>
      <xdr:blipFill>
        <a:blip r:embed="rId1"/>
        <a:srcRect/>
        <a:stretch>
          <a:fillRect/>
        </a:stretch>
      </xdr:blipFill>
      <xdr:spPr>
        <a:xfrm>
          <a:off x="4019550" y="12490450"/>
          <a:ext cx="444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45720</xdr:colOff>
      <xdr:row>7</xdr:row>
      <xdr:rowOff>0</xdr:rowOff>
    </xdr:from>
    <xdr:ext cx="4445" cy="9525"/>
    <xdr:pic>
      <xdr:nvPicPr>
        <xdr:cNvPr id="11" name="192" descr="192"/>
        <xdr:cNvPicPr/>
      </xdr:nvPicPr>
      <xdr:blipFill>
        <a:blip r:embed="rId1"/>
        <a:srcRect/>
        <a:stretch>
          <a:fillRect/>
        </a:stretch>
      </xdr:blipFill>
      <xdr:spPr>
        <a:xfrm>
          <a:off x="4029075" y="12490450"/>
          <a:ext cx="444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47625</xdr:colOff>
      <xdr:row>7</xdr:row>
      <xdr:rowOff>0</xdr:rowOff>
    </xdr:from>
    <xdr:ext cx="9525" cy="19050"/>
    <xdr:pic>
      <xdr:nvPicPr>
        <xdr:cNvPr id="12" name="50" descr="50"/>
        <xdr:cNvPicPr/>
      </xdr:nvPicPr>
      <xdr:blipFill>
        <a:blip r:embed="rId1"/>
        <a:srcRect/>
        <a:stretch>
          <a:fillRect/>
        </a:stretch>
      </xdr:blipFill>
      <xdr:spPr>
        <a:xfrm>
          <a:off x="4030980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69215</xdr:colOff>
      <xdr:row>7</xdr:row>
      <xdr:rowOff>0</xdr:rowOff>
    </xdr:from>
    <xdr:ext cx="23495" cy="47625"/>
    <xdr:pic>
      <xdr:nvPicPr>
        <xdr:cNvPr id="13" name="279" descr="279"/>
        <xdr:cNvPicPr/>
      </xdr:nvPicPr>
      <xdr:blipFill>
        <a:blip r:embed="rId1"/>
        <a:srcRect/>
        <a:stretch>
          <a:fillRect/>
        </a:stretch>
      </xdr:blipFill>
      <xdr:spPr>
        <a:xfrm>
          <a:off x="4052570" y="12490450"/>
          <a:ext cx="23495" cy="476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6</xdr:row>
      <xdr:rowOff>1219835</xdr:rowOff>
    </xdr:from>
    <xdr:ext cx="2714625" cy="9525"/>
    <xdr:pic>
      <xdr:nvPicPr>
        <xdr:cNvPr id="14" name="22" descr="22"/>
        <xdr:cNvPicPr/>
      </xdr:nvPicPr>
      <xdr:blipFill>
        <a:blip r:embed="rId2"/>
        <a:srcRect/>
        <a:stretch>
          <a:fillRect/>
        </a:stretch>
      </xdr:blipFill>
      <xdr:spPr>
        <a:xfrm>
          <a:off x="3983355" y="12490450"/>
          <a:ext cx="2714625" cy="9525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36195</xdr:colOff>
      <xdr:row>7</xdr:row>
      <xdr:rowOff>0</xdr:rowOff>
    </xdr:from>
    <xdr:to>
      <xdr:col>4</xdr:col>
      <xdr:colOff>50165</xdr:colOff>
      <xdr:row>7</xdr:row>
      <xdr:rowOff>29210</xdr:rowOff>
    </xdr:to>
    <xdr:pic>
      <xdr:nvPicPr>
        <xdr:cNvPr id="15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9550" y="12490450"/>
          <a:ext cx="1397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7</xdr:row>
      <xdr:rowOff>0</xdr:rowOff>
    </xdr:from>
    <xdr:to>
      <xdr:col>4</xdr:col>
      <xdr:colOff>56515</xdr:colOff>
      <xdr:row>7</xdr:row>
      <xdr:rowOff>24765</xdr:rowOff>
    </xdr:to>
    <xdr:pic>
      <xdr:nvPicPr>
        <xdr:cNvPr id="16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805" y="12490450"/>
          <a:ext cx="12065" cy="247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38100</xdr:colOff>
      <xdr:row>7</xdr:row>
      <xdr:rowOff>0</xdr:rowOff>
    </xdr:from>
    <xdr:ext cx="9525" cy="19050"/>
    <xdr:pic>
      <xdr:nvPicPr>
        <xdr:cNvPr id="17" name="32" descr="32"/>
        <xdr:cNvPicPr/>
      </xdr:nvPicPr>
      <xdr:blipFill>
        <a:blip r:embed="rId1"/>
        <a:srcRect/>
        <a:stretch>
          <a:fillRect/>
        </a:stretch>
      </xdr:blipFill>
      <xdr:spPr>
        <a:xfrm>
          <a:off x="4021455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36195</xdr:colOff>
      <xdr:row>7</xdr:row>
      <xdr:rowOff>0</xdr:rowOff>
    </xdr:from>
    <xdr:ext cx="4445" cy="9525"/>
    <xdr:pic>
      <xdr:nvPicPr>
        <xdr:cNvPr id="18" name="37" descr="37"/>
        <xdr:cNvPicPr/>
      </xdr:nvPicPr>
      <xdr:blipFill>
        <a:blip r:embed="rId1"/>
        <a:srcRect/>
        <a:stretch>
          <a:fillRect/>
        </a:stretch>
      </xdr:blipFill>
      <xdr:spPr>
        <a:xfrm>
          <a:off x="4019550" y="12490450"/>
          <a:ext cx="444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47625</xdr:colOff>
      <xdr:row>7</xdr:row>
      <xdr:rowOff>0</xdr:rowOff>
    </xdr:from>
    <xdr:ext cx="9525" cy="19050"/>
    <xdr:pic>
      <xdr:nvPicPr>
        <xdr:cNvPr id="19" name="50" descr="50"/>
        <xdr:cNvPicPr/>
      </xdr:nvPicPr>
      <xdr:blipFill>
        <a:blip r:embed="rId1"/>
        <a:srcRect/>
        <a:stretch>
          <a:fillRect/>
        </a:stretch>
      </xdr:blipFill>
      <xdr:spPr>
        <a:xfrm>
          <a:off x="4030980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69850</xdr:colOff>
      <xdr:row>7</xdr:row>
      <xdr:rowOff>0</xdr:rowOff>
    </xdr:from>
    <xdr:ext cx="23495" cy="47625"/>
    <xdr:pic>
      <xdr:nvPicPr>
        <xdr:cNvPr id="20" name="279" descr="/private/var/folders/x3/gft4czp52n53s6tmys0_s20m0000gn/T/com.kingsoft.wpsoffice.mac/picturecompress_20230407180730/output_143.pngoutput_143"/>
        <xdr:cNvPicPr/>
      </xdr:nvPicPr>
      <xdr:blipFill>
        <a:blip r:embed="rId3"/>
        <a:srcRect/>
        <a:stretch>
          <a:fillRect/>
        </a:stretch>
      </xdr:blipFill>
      <xdr:spPr>
        <a:xfrm>
          <a:off x="4053205" y="12490450"/>
          <a:ext cx="23495" cy="476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71120</xdr:colOff>
      <xdr:row>10</xdr:row>
      <xdr:rowOff>0</xdr:rowOff>
    </xdr:from>
    <xdr:ext cx="21590" cy="47625"/>
    <xdr:pic>
      <xdr:nvPicPr>
        <xdr:cNvPr id="21" name="279" descr="/private/var/folders/x3/gft4czp52n53s6tmys0_s20m0000gn/T/com.kingsoft.wpsoffice.mac/picturecompress_20230407180730/output_143.pngoutput_143"/>
        <xdr:cNvPicPr/>
      </xdr:nvPicPr>
      <xdr:blipFill>
        <a:blip r:embed="rId3"/>
        <a:srcRect/>
        <a:stretch>
          <a:fillRect/>
        </a:stretch>
      </xdr:blipFill>
      <xdr:spPr>
        <a:xfrm>
          <a:off x="4054475" y="16148050"/>
          <a:ext cx="21590" cy="47625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36195</xdr:colOff>
      <xdr:row>7</xdr:row>
      <xdr:rowOff>0</xdr:rowOff>
    </xdr:from>
    <xdr:to>
      <xdr:col>4</xdr:col>
      <xdr:colOff>50165</xdr:colOff>
      <xdr:row>7</xdr:row>
      <xdr:rowOff>29210</xdr:rowOff>
    </xdr:to>
    <xdr:pic>
      <xdr:nvPicPr>
        <xdr:cNvPr id="22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9550" y="12490450"/>
          <a:ext cx="1397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7</xdr:row>
      <xdr:rowOff>0</xdr:rowOff>
    </xdr:from>
    <xdr:to>
      <xdr:col>4</xdr:col>
      <xdr:colOff>56515</xdr:colOff>
      <xdr:row>7</xdr:row>
      <xdr:rowOff>24765</xdr:rowOff>
    </xdr:to>
    <xdr:pic>
      <xdr:nvPicPr>
        <xdr:cNvPr id="23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805" y="12490450"/>
          <a:ext cx="12065" cy="247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38100</xdr:colOff>
      <xdr:row>7</xdr:row>
      <xdr:rowOff>0</xdr:rowOff>
    </xdr:from>
    <xdr:ext cx="9525" cy="19050"/>
    <xdr:pic>
      <xdr:nvPicPr>
        <xdr:cNvPr id="24" name="32" descr="32"/>
        <xdr:cNvPicPr/>
      </xdr:nvPicPr>
      <xdr:blipFill>
        <a:blip r:embed="rId1"/>
        <a:srcRect/>
        <a:stretch>
          <a:fillRect/>
        </a:stretch>
      </xdr:blipFill>
      <xdr:spPr>
        <a:xfrm>
          <a:off x="4021455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36195</xdr:colOff>
      <xdr:row>7</xdr:row>
      <xdr:rowOff>0</xdr:rowOff>
    </xdr:from>
    <xdr:ext cx="4445" cy="9525"/>
    <xdr:pic>
      <xdr:nvPicPr>
        <xdr:cNvPr id="25" name="37" descr="37"/>
        <xdr:cNvPicPr/>
      </xdr:nvPicPr>
      <xdr:blipFill>
        <a:blip r:embed="rId1"/>
        <a:srcRect/>
        <a:stretch>
          <a:fillRect/>
        </a:stretch>
      </xdr:blipFill>
      <xdr:spPr>
        <a:xfrm>
          <a:off x="4019550" y="12490450"/>
          <a:ext cx="444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47625</xdr:colOff>
      <xdr:row>7</xdr:row>
      <xdr:rowOff>0</xdr:rowOff>
    </xdr:from>
    <xdr:ext cx="9525" cy="19050"/>
    <xdr:pic>
      <xdr:nvPicPr>
        <xdr:cNvPr id="26" name="50" descr="50"/>
        <xdr:cNvPicPr/>
      </xdr:nvPicPr>
      <xdr:blipFill>
        <a:blip r:embed="rId1"/>
        <a:srcRect/>
        <a:stretch>
          <a:fillRect/>
        </a:stretch>
      </xdr:blipFill>
      <xdr:spPr>
        <a:xfrm>
          <a:off x="4030980" y="12490450"/>
          <a:ext cx="9525" cy="19050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36195</xdr:colOff>
      <xdr:row>7</xdr:row>
      <xdr:rowOff>0</xdr:rowOff>
    </xdr:from>
    <xdr:to>
      <xdr:col>4</xdr:col>
      <xdr:colOff>50165</xdr:colOff>
      <xdr:row>7</xdr:row>
      <xdr:rowOff>29210</xdr:rowOff>
    </xdr:to>
    <xdr:pic>
      <xdr:nvPicPr>
        <xdr:cNvPr id="27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9550" y="12490450"/>
          <a:ext cx="1397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7</xdr:row>
      <xdr:rowOff>0</xdr:rowOff>
    </xdr:from>
    <xdr:to>
      <xdr:col>4</xdr:col>
      <xdr:colOff>56515</xdr:colOff>
      <xdr:row>7</xdr:row>
      <xdr:rowOff>24765</xdr:rowOff>
    </xdr:to>
    <xdr:pic>
      <xdr:nvPicPr>
        <xdr:cNvPr id="28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805" y="12490450"/>
          <a:ext cx="12065" cy="247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33655</xdr:colOff>
      <xdr:row>7</xdr:row>
      <xdr:rowOff>0</xdr:rowOff>
    </xdr:from>
    <xdr:ext cx="19050" cy="38100"/>
    <xdr:pic>
      <xdr:nvPicPr>
        <xdr:cNvPr id="29" name="157" descr="157"/>
        <xdr:cNvPicPr/>
      </xdr:nvPicPr>
      <xdr:blipFill>
        <a:blip r:embed="rId1"/>
        <a:srcRect/>
        <a:stretch>
          <a:fillRect/>
        </a:stretch>
      </xdr:blipFill>
      <xdr:spPr>
        <a:xfrm>
          <a:off x="4017010" y="12490450"/>
          <a:ext cx="19050" cy="38100"/>
        </a:xfrm>
        <a:prstGeom prst="rect">
          <a:avLst/>
        </a:prstGeom>
        <a:noFill/>
      </xdr:spPr>
    </xdr:pic>
    <xdr:clientData/>
  </xdr:oneCellAnchor>
  <xdr:oneCellAnchor>
    <xdr:from>
      <xdr:col>4</xdr:col>
      <xdr:colOff>43180</xdr:colOff>
      <xdr:row>7</xdr:row>
      <xdr:rowOff>0</xdr:rowOff>
    </xdr:from>
    <xdr:ext cx="9525" cy="19050"/>
    <xdr:pic>
      <xdr:nvPicPr>
        <xdr:cNvPr id="30" name="231" descr="231"/>
        <xdr:cNvPicPr/>
      </xdr:nvPicPr>
      <xdr:blipFill>
        <a:blip r:embed="rId1"/>
        <a:srcRect/>
        <a:stretch>
          <a:fillRect/>
        </a:stretch>
      </xdr:blipFill>
      <xdr:spPr>
        <a:xfrm>
          <a:off x="4026535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36195</xdr:colOff>
      <xdr:row>7</xdr:row>
      <xdr:rowOff>0</xdr:rowOff>
    </xdr:from>
    <xdr:ext cx="13970" cy="28575"/>
    <xdr:pic>
      <xdr:nvPicPr>
        <xdr:cNvPr id="31" name="214" descr="214"/>
        <xdr:cNvPicPr/>
      </xdr:nvPicPr>
      <xdr:blipFill>
        <a:blip r:embed="rId1"/>
        <a:srcRect/>
        <a:stretch>
          <a:fillRect/>
        </a:stretch>
      </xdr:blipFill>
      <xdr:spPr>
        <a:xfrm>
          <a:off x="4019550" y="12490450"/>
          <a:ext cx="13970" cy="28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40640</xdr:colOff>
      <xdr:row>7</xdr:row>
      <xdr:rowOff>0</xdr:rowOff>
    </xdr:from>
    <xdr:ext cx="23495" cy="47625"/>
    <xdr:pic>
      <xdr:nvPicPr>
        <xdr:cNvPr id="32" name="180" descr="180"/>
        <xdr:cNvPicPr/>
      </xdr:nvPicPr>
      <xdr:blipFill>
        <a:blip r:embed="rId1"/>
        <a:srcRect/>
        <a:stretch>
          <a:fillRect/>
        </a:stretch>
      </xdr:blipFill>
      <xdr:spPr>
        <a:xfrm>
          <a:off x="4023995" y="12490450"/>
          <a:ext cx="23495" cy="476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40640</xdr:colOff>
      <xdr:row>7</xdr:row>
      <xdr:rowOff>0</xdr:rowOff>
    </xdr:from>
    <xdr:ext cx="13970" cy="28575"/>
    <xdr:pic>
      <xdr:nvPicPr>
        <xdr:cNvPr id="33" name="115" descr="115"/>
        <xdr:cNvPicPr/>
      </xdr:nvPicPr>
      <xdr:blipFill>
        <a:blip r:embed="rId1"/>
        <a:srcRect/>
        <a:stretch>
          <a:fillRect/>
        </a:stretch>
      </xdr:blipFill>
      <xdr:spPr>
        <a:xfrm>
          <a:off x="4023995" y="12490450"/>
          <a:ext cx="13970" cy="28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38100</xdr:colOff>
      <xdr:row>7</xdr:row>
      <xdr:rowOff>0</xdr:rowOff>
    </xdr:from>
    <xdr:ext cx="9525" cy="19050"/>
    <xdr:pic>
      <xdr:nvPicPr>
        <xdr:cNvPr id="34" name="32" descr="32"/>
        <xdr:cNvPicPr/>
      </xdr:nvPicPr>
      <xdr:blipFill>
        <a:blip r:embed="rId1"/>
        <a:srcRect/>
        <a:stretch>
          <a:fillRect/>
        </a:stretch>
      </xdr:blipFill>
      <xdr:spPr>
        <a:xfrm>
          <a:off x="4021455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36195</xdr:colOff>
      <xdr:row>7</xdr:row>
      <xdr:rowOff>0</xdr:rowOff>
    </xdr:from>
    <xdr:ext cx="4445" cy="9525"/>
    <xdr:pic>
      <xdr:nvPicPr>
        <xdr:cNvPr id="35" name="148" descr="148"/>
        <xdr:cNvPicPr/>
      </xdr:nvPicPr>
      <xdr:blipFill>
        <a:blip r:embed="rId1"/>
        <a:srcRect/>
        <a:stretch>
          <a:fillRect/>
        </a:stretch>
      </xdr:blipFill>
      <xdr:spPr>
        <a:xfrm>
          <a:off x="4019550" y="12490450"/>
          <a:ext cx="444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45720</xdr:colOff>
      <xdr:row>7</xdr:row>
      <xdr:rowOff>0</xdr:rowOff>
    </xdr:from>
    <xdr:ext cx="4445" cy="9525"/>
    <xdr:pic>
      <xdr:nvPicPr>
        <xdr:cNvPr id="36" name="192" descr="192"/>
        <xdr:cNvPicPr/>
      </xdr:nvPicPr>
      <xdr:blipFill>
        <a:blip r:embed="rId1"/>
        <a:srcRect/>
        <a:stretch>
          <a:fillRect/>
        </a:stretch>
      </xdr:blipFill>
      <xdr:spPr>
        <a:xfrm>
          <a:off x="4029075" y="12490450"/>
          <a:ext cx="444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47625</xdr:colOff>
      <xdr:row>7</xdr:row>
      <xdr:rowOff>0</xdr:rowOff>
    </xdr:from>
    <xdr:ext cx="9525" cy="19050"/>
    <xdr:pic>
      <xdr:nvPicPr>
        <xdr:cNvPr id="37" name="50" descr="50"/>
        <xdr:cNvPicPr/>
      </xdr:nvPicPr>
      <xdr:blipFill>
        <a:blip r:embed="rId1"/>
        <a:srcRect/>
        <a:stretch>
          <a:fillRect/>
        </a:stretch>
      </xdr:blipFill>
      <xdr:spPr>
        <a:xfrm>
          <a:off x="4030980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69215</xdr:colOff>
      <xdr:row>7</xdr:row>
      <xdr:rowOff>0</xdr:rowOff>
    </xdr:from>
    <xdr:ext cx="23495" cy="47625"/>
    <xdr:pic>
      <xdr:nvPicPr>
        <xdr:cNvPr id="38" name="279" descr="279"/>
        <xdr:cNvPicPr/>
      </xdr:nvPicPr>
      <xdr:blipFill>
        <a:blip r:embed="rId1"/>
        <a:srcRect/>
        <a:stretch>
          <a:fillRect/>
        </a:stretch>
      </xdr:blipFill>
      <xdr:spPr>
        <a:xfrm>
          <a:off x="4052570" y="12490450"/>
          <a:ext cx="23495" cy="476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6</xdr:row>
      <xdr:rowOff>1219835</xdr:rowOff>
    </xdr:from>
    <xdr:ext cx="2714625" cy="9525"/>
    <xdr:pic>
      <xdr:nvPicPr>
        <xdr:cNvPr id="39" name="22" descr="22"/>
        <xdr:cNvPicPr/>
      </xdr:nvPicPr>
      <xdr:blipFill>
        <a:blip r:embed="rId2"/>
        <a:srcRect/>
        <a:stretch>
          <a:fillRect/>
        </a:stretch>
      </xdr:blipFill>
      <xdr:spPr>
        <a:xfrm>
          <a:off x="3983355" y="12490450"/>
          <a:ext cx="2714625" cy="9525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36195</xdr:colOff>
      <xdr:row>7</xdr:row>
      <xdr:rowOff>0</xdr:rowOff>
    </xdr:from>
    <xdr:to>
      <xdr:col>4</xdr:col>
      <xdr:colOff>50165</xdr:colOff>
      <xdr:row>7</xdr:row>
      <xdr:rowOff>29210</xdr:rowOff>
    </xdr:to>
    <xdr:pic>
      <xdr:nvPicPr>
        <xdr:cNvPr id="40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9550" y="12490450"/>
          <a:ext cx="1397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7</xdr:row>
      <xdr:rowOff>0</xdr:rowOff>
    </xdr:from>
    <xdr:to>
      <xdr:col>4</xdr:col>
      <xdr:colOff>56515</xdr:colOff>
      <xdr:row>7</xdr:row>
      <xdr:rowOff>24765</xdr:rowOff>
    </xdr:to>
    <xdr:pic>
      <xdr:nvPicPr>
        <xdr:cNvPr id="41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805" y="12490450"/>
          <a:ext cx="12065" cy="247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38100</xdr:colOff>
      <xdr:row>7</xdr:row>
      <xdr:rowOff>0</xdr:rowOff>
    </xdr:from>
    <xdr:ext cx="9525" cy="19050"/>
    <xdr:pic>
      <xdr:nvPicPr>
        <xdr:cNvPr id="42" name="32" descr="32"/>
        <xdr:cNvPicPr/>
      </xdr:nvPicPr>
      <xdr:blipFill>
        <a:blip r:embed="rId1"/>
        <a:srcRect/>
        <a:stretch>
          <a:fillRect/>
        </a:stretch>
      </xdr:blipFill>
      <xdr:spPr>
        <a:xfrm>
          <a:off x="4021455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36195</xdr:colOff>
      <xdr:row>7</xdr:row>
      <xdr:rowOff>0</xdr:rowOff>
    </xdr:from>
    <xdr:ext cx="4445" cy="9525"/>
    <xdr:pic>
      <xdr:nvPicPr>
        <xdr:cNvPr id="43" name="37" descr="37"/>
        <xdr:cNvPicPr/>
      </xdr:nvPicPr>
      <xdr:blipFill>
        <a:blip r:embed="rId1"/>
        <a:srcRect/>
        <a:stretch>
          <a:fillRect/>
        </a:stretch>
      </xdr:blipFill>
      <xdr:spPr>
        <a:xfrm>
          <a:off x="4019550" y="12490450"/>
          <a:ext cx="444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47625</xdr:colOff>
      <xdr:row>7</xdr:row>
      <xdr:rowOff>0</xdr:rowOff>
    </xdr:from>
    <xdr:ext cx="9525" cy="19050"/>
    <xdr:pic>
      <xdr:nvPicPr>
        <xdr:cNvPr id="44" name="50" descr="50"/>
        <xdr:cNvPicPr/>
      </xdr:nvPicPr>
      <xdr:blipFill>
        <a:blip r:embed="rId1"/>
        <a:srcRect/>
        <a:stretch>
          <a:fillRect/>
        </a:stretch>
      </xdr:blipFill>
      <xdr:spPr>
        <a:xfrm>
          <a:off x="4030980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69850</xdr:colOff>
      <xdr:row>7</xdr:row>
      <xdr:rowOff>0</xdr:rowOff>
    </xdr:from>
    <xdr:ext cx="23495" cy="47625"/>
    <xdr:pic>
      <xdr:nvPicPr>
        <xdr:cNvPr id="45" name="279" descr="/private/var/folders/x3/gft4czp52n53s6tmys0_s20m0000gn/T/com.kingsoft.wpsoffice.mac/picturecompress_20230407180730/output_143.pngoutput_143"/>
        <xdr:cNvPicPr/>
      </xdr:nvPicPr>
      <xdr:blipFill>
        <a:blip r:embed="rId3"/>
        <a:srcRect/>
        <a:stretch>
          <a:fillRect/>
        </a:stretch>
      </xdr:blipFill>
      <xdr:spPr>
        <a:xfrm>
          <a:off x="4053205" y="12490450"/>
          <a:ext cx="23495" cy="476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71120</xdr:colOff>
      <xdr:row>10</xdr:row>
      <xdr:rowOff>0</xdr:rowOff>
    </xdr:from>
    <xdr:ext cx="21590" cy="47625"/>
    <xdr:pic>
      <xdr:nvPicPr>
        <xdr:cNvPr id="46" name="279" descr="/private/var/folders/x3/gft4czp52n53s6tmys0_s20m0000gn/T/com.kingsoft.wpsoffice.mac/picturecompress_20230407180730/output_143.pngoutput_143"/>
        <xdr:cNvPicPr/>
      </xdr:nvPicPr>
      <xdr:blipFill>
        <a:blip r:embed="rId3"/>
        <a:srcRect/>
        <a:stretch>
          <a:fillRect/>
        </a:stretch>
      </xdr:blipFill>
      <xdr:spPr>
        <a:xfrm>
          <a:off x="4054475" y="16148050"/>
          <a:ext cx="21590" cy="47625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36195</xdr:colOff>
      <xdr:row>7</xdr:row>
      <xdr:rowOff>0</xdr:rowOff>
    </xdr:from>
    <xdr:to>
      <xdr:col>4</xdr:col>
      <xdr:colOff>50165</xdr:colOff>
      <xdr:row>7</xdr:row>
      <xdr:rowOff>29210</xdr:rowOff>
    </xdr:to>
    <xdr:pic>
      <xdr:nvPicPr>
        <xdr:cNvPr id="47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9550" y="12490450"/>
          <a:ext cx="1397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7</xdr:row>
      <xdr:rowOff>0</xdr:rowOff>
    </xdr:from>
    <xdr:to>
      <xdr:col>4</xdr:col>
      <xdr:colOff>56515</xdr:colOff>
      <xdr:row>7</xdr:row>
      <xdr:rowOff>24765</xdr:rowOff>
    </xdr:to>
    <xdr:pic>
      <xdr:nvPicPr>
        <xdr:cNvPr id="48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805" y="12490450"/>
          <a:ext cx="12065" cy="247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38100</xdr:colOff>
      <xdr:row>7</xdr:row>
      <xdr:rowOff>0</xdr:rowOff>
    </xdr:from>
    <xdr:ext cx="9525" cy="19050"/>
    <xdr:pic>
      <xdr:nvPicPr>
        <xdr:cNvPr id="49" name="32" descr="32"/>
        <xdr:cNvPicPr/>
      </xdr:nvPicPr>
      <xdr:blipFill>
        <a:blip r:embed="rId1"/>
        <a:srcRect/>
        <a:stretch>
          <a:fillRect/>
        </a:stretch>
      </xdr:blipFill>
      <xdr:spPr>
        <a:xfrm>
          <a:off x="4021455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36195</xdr:colOff>
      <xdr:row>7</xdr:row>
      <xdr:rowOff>0</xdr:rowOff>
    </xdr:from>
    <xdr:ext cx="4445" cy="9525"/>
    <xdr:pic>
      <xdr:nvPicPr>
        <xdr:cNvPr id="50" name="37" descr="37"/>
        <xdr:cNvPicPr/>
      </xdr:nvPicPr>
      <xdr:blipFill>
        <a:blip r:embed="rId1"/>
        <a:srcRect/>
        <a:stretch>
          <a:fillRect/>
        </a:stretch>
      </xdr:blipFill>
      <xdr:spPr>
        <a:xfrm>
          <a:off x="4019550" y="12490450"/>
          <a:ext cx="444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47625</xdr:colOff>
      <xdr:row>7</xdr:row>
      <xdr:rowOff>0</xdr:rowOff>
    </xdr:from>
    <xdr:ext cx="9525" cy="19050"/>
    <xdr:pic>
      <xdr:nvPicPr>
        <xdr:cNvPr id="51" name="50" descr="50"/>
        <xdr:cNvPicPr/>
      </xdr:nvPicPr>
      <xdr:blipFill>
        <a:blip r:embed="rId1"/>
        <a:srcRect/>
        <a:stretch>
          <a:fillRect/>
        </a:stretch>
      </xdr:blipFill>
      <xdr:spPr>
        <a:xfrm>
          <a:off x="4030980" y="12490450"/>
          <a:ext cx="9525" cy="1905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332105</xdr:colOff>
      <xdr:row>14</xdr:row>
      <xdr:rowOff>746125</xdr:rowOff>
    </xdr:from>
    <xdr:to>
      <xdr:col>3</xdr:col>
      <xdr:colOff>0</xdr:colOff>
      <xdr:row>14</xdr:row>
      <xdr:rowOff>1628775</xdr:rowOff>
    </xdr:to>
    <xdr:pic>
      <xdr:nvPicPr>
        <xdr:cNvPr id="53" name="图片 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70025" y="20691475"/>
          <a:ext cx="1275080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</xdr:colOff>
      <xdr:row>7</xdr:row>
      <xdr:rowOff>0</xdr:rowOff>
    </xdr:from>
    <xdr:to>
      <xdr:col>4</xdr:col>
      <xdr:colOff>50165</xdr:colOff>
      <xdr:row>7</xdr:row>
      <xdr:rowOff>29210</xdr:rowOff>
    </xdr:to>
    <xdr:pic>
      <xdr:nvPicPr>
        <xdr:cNvPr id="52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9550" y="12490450"/>
          <a:ext cx="1397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7</xdr:row>
      <xdr:rowOff>0</xdr:rowOff>
    </xdr:from>
    <xdr:to>
      <xdr:col>4</xdr:col>
      <xdr:colOff>56515</xdr:colOff>
      <xdr:row>7</xdr:row>
      <xdr:rowOff>24765</xdr:rowOff>
    </xdr:to>
    <xdr:pic>
      <xdr:nvPicPr>
        <xdr:cNvPr id="54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805" y="12490450"/>
          <a:ext cx="12065" cy="247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33655</xdr:colOff>
      <xdr:row>7</xdr:row>
      <xdr:rowOff>0</xdr:rowOff>
    </xdr:from>
    <xdr:ext cx="19050" cy="38100"/>
    <xdr:pic>
      <xdr:nvPicPr>
        <xdr:cNvPr id="55" name="157" descr="157"/>
        <xdr:cNvPicPr/>
      </xdr:nvPicPr>
      <xdr:blipFill>
        <a:blip r:embed="rId1"/>
        <a:srcRect/>
        <a:stretch>
          <a:fillRect/>
        </a:stretch>
      </xdr:blipFill>
      <xdr:spPr>
        <a:xfrm>
          <a:off x="4017010" y="12490450"/>
          <a:ext cx="19050" cy="38100"/>
        </a:xfrm>
        <a:prstGeom prst="rect">
          <a:avLst/>
        </a:prstGeom>
        <a:noFill/>
      </xdr:spPr>
    </xdr:pic>
    <xdr:clientData/>
  </xdr:oneCellAnchor>
  <xdr:oneCellAnchor>
    <xdr:from>
      <xdr:col>4</xdr:col>
      <xdr:colOff>43180</xdr:colOff>
      <xdr:row>7</xdr:row>
      <xdr:rowOff>0</xdr:rowOff>
    </xdr:from>
    <xdr:ext cx="9525" cy="19050"/>
    <xdr:pic>
      <xdr:nvPicPr>
        <xdr:cNvPr id="56" name="231" descr="231"/>
        <xdr:cNvPicPr/>
      </xdr:nvPicPr>
      <xdr:blipFill>
        <a:blip r:embed="rId1"/>
        <a:srcRect/>
        <a:stretch>
          <a:fillRect/>
        </a:stretch>
      </xdr:blipFill>
      <xdr:spPr>
        <a:xfrm>
          <a:off x="4026535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36195</xdr:colOff>
      <xdr:row>7</xdr:row>
      <xdr:rowOff>0</xdr:rowOff>
    </xdr:from>
    <xdr:ext cx="13970" cy="28575"/>
    <xdr:pic>
      <xdr:nvPicPr>
        <xdr:cNvPr id="57" name="214" descr="214"/>
        <xdr:cNvPicPr/>
      </xdr:nvPicPr>
      <xdr:blipFill>
        <a:blip r:embed="rId1"/>
        <a:srcRect/>
        <a:stretch>
          <a:fillRect/>
        </a:stretch>
      </xdr:blipFill>
      <xdr:spPr>
        <a:xfrm>
          <a:off x="4019550" y="12490450"/>
          <a:ext cx="13970" cy="28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40640</xdr:colOff>
      <xdr:row>7</xdr:row>
      <xdr:rowOff>0</xdr:rowOff>
    </xdr:from>
    <xdr:ext cx="23495" cy="47625"/>
    <xdr:pic>
      <xdr:nvPicPr>
        <xdr:cNvPr id="58" name="180" descr="180"/>
        <xdr:cNvPicPr/>
      </xdr:nvPicPr>
      <xdr:blipFill>
        <a:blip r:embed="rId1"/>
        <a:srcRect/>
        <a:stretch>
          <a:fillRect/>
        </a:stretch>
      </xdr:blipFill>
      <xdr:spPr>
        <a:xfrm>
          <a:off x="4023995" y="12490450"/>
          <a:ext cx="23495" cy="476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40640</xdr:colOff>
      <xdr:row>7</xdr:row>
      <xdr:rowOff>0</xdr:rowOff>
    </xdr:from>
    <xdr:ext cx="13970" cy="28575"/>
    <xdr:pic>
      <xdr:nvPicPr>
        <xdr:cNvPr id="59" name="115" descr="115"/>
        <xdr:cNvPicPr/>
      </xdr:nvPicPr>
      <xdr:blipFill>
        <a:blip r:embed="rId1"/>
        <a:srcRect/>
        <a:stretch>
          <a:fillRect/>
        </a:stretch>
      </xdr:blipFill>
      <xdr:spPr>
        <a:xfrm>
          <a:off x="4023995" y="12490450"/>
          <a:ext cx="13970" cy="28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38100</xdr:colOff>
      <xdr:row>7</xdr:row>
      <xdr:rowOff>0</xdr:rowOff>
    </xdr:from>
    <xdr:ext cx="9525" cy="19050"/>
    <xdr:pic>
      <xdr:nvPicPr>
        <xdr:cNvPr id="60" name="32" descr="32"/>
        <xdr:cNvPicPr/>
      </xdr:nvPicPr>
      <xdr:blipFill>
        <a:blip r:embed="rId1"/>
        <a:srcRect/>
        <a:stretch>
          <a:fillRect/>
        </a:stretch>
      </xdr:blipFill>
      <xdr:spPr>
        <a:xfrm>
          <a:off x="4021455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36195</xdr:colOff>
      <xdr:row>7</xdr:row>
      <xdr:rowOff>0</xdr:rowOff>
    </xdr:from>
    <xdr:ext cx="4445" cy="9525"/>
    <xdr:pic>
      <xdr:nvPicPr>
        <xdr:cNvPr id="61" name="148" descr="148"/>
        <xdr:cNvPicPr/>
      </xdr:nvPicPr>
      <xdr:blipFill>
        <a:blip r:embed="rId1"/>
        <a:srcRect/>
        <a:stretch>
          <a:fillRect/>
        </a:stretch>
      </xdr:blipFill>
      <xdr:spPr>
        <a:xfrm>
          <a:off x="4019550" y="12490450"/>
          <a:ext cx="444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45720</xdr:colOff>
      <xdr:row>7</xdr:row>
      <xdr:rowOff>0</xdr:rowOff>
    </xdr:from>
    <xdr:ext cx="4445" cy="9525"/>
    <xdr:pic>
      <xdr:nvPicPr>
        <xdr:cNvPr id="62" name="192" descr="192"/>
        <xdr:cNvPicPr/>
      </xdr:nvPicPr>
      <xdr:blipFill>
        <a:blip r:embed="rId1"/>
        <a:srcRect/>
        <a:stretch>
          <a:fillRect/>
        </a:stretch>
      </xdr:blipFill>
      <xdr:spPr>
        <a:xfrm>
          <a:off x="4029075" y="12490450"/>
          <a:ext cx="444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47625</xdr:colOff>
      <xdr:row>7</xdr:row>
      <xdr:rowOff>0</xdr:rowOff>
    </xdr:from>
    <xdr:ext cx="9525" cy="19050"/>
    <xdr:pic>
      <xdr:nvPicPr>
        <xdr:cNvPr id="63" name="50" descr="50"/>
        <xdr:cNvPicPr/>
      </xdr:nvPicPr>
      <xdr:blipFill>
        <a:blip r:embed="rId1"/>
        <a:srcRect/>
        <a:stretch>
          <a:fillRect/>
        </a:stretch>
      </xdr:blipFill>
      <xdr:spPr>
        <a:xfrm>
          <a:off x="4030980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69215</xdr:colOff>
      <xdr:row>7</xdr:row>
      <xdr:rowOff>0</xdr:rowOff>
    </xdr:from>
    <xdr:ext cx="23495" cy="47625"/>
    <xdr:pic>
      <xdr:nvPicPr>
        <xdr:cNvPr id="64" name="279" descr="279"/>
        <xdr:cNvPicPr/>
      </xdr:nvPicPr>
      <xdr:blipFill>
        <a:blip r:embed="rId1"/>
        <a:srcRect/>
        <a:stretch>
          <a:fillRect/>
        </a:stretch>
      </xdr:blipFill>
      <xdr:spPr>
        <a:xfrm>
          <a:off x="4052570" y="12490450"/>
          <a:ext cx="23495" cy="476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0</xdr:colOff>
      <xdr:row>6</xdr:row>
      <xdr:rowOff>1219835</xdr:rowOff>
    </xdr:from>
    <xdr:ext cx="2714625" cy="9525"/>
    <xdr:pic>
      <xdr:nvPicPr>
        <xdr:cNvPr id="65" name="22" descr="22"/>
        <xdr:cNvPicPr/>
      </xdr:nvPicPr>
      <xdr:blipFill>
        <a:blip r:embed="rId2"/>
        <a:srcRect/>
        <a:stretch>
          <a:fillRect/>
        </a:stretch>
      </xdr:blipFill>
      <xdr:spPr>
        <a:xfrm>
          <a:off x="3983355" y="12490450"/>
          <a:ext cx="2714625" cy="9525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36195</xdr:colOff>
      <xdr:row>7</xdr:row>
      <xdr:rowOff>0</xdr:rowOff>
    </xdr:from>
    <xdr:to>
      <xdr:col>4</xdr:col>
      <xdr:colOff>50165</xdr:colOff>
      <xdr:row>7</xdr:row>
      <xdr:rowOff>29210</xdr:rowOff>
    </xdr:to>
    <xdr:pic>
      <xdr:nvPicPr>
        <xdr:cNvPr id="66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9550" y="12490450"/>
          <a:ext cx="1397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7</xdr:row>
      <xdr:rowOff>0</xdr:rowOff>
    </xdr:from>
    <xdr:to>
      <xdr:col>4</xdr:col>
      <xdr:colOff>56515</xdr:colOff>
      <xdr:row>7</xdr:row>
      <xdr:rowOff>24765</xdr:rowOff>
    </xdr:to>
    <xdr:pic>
      <xdr:nvPicPr>
        <xdr:cNvPr id="67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805" y="12490450"/>
          <a:ext cx="12065" cy="247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38100</xdr:colOff>
      <xdr:row>7</xdr:row>
      <xdr:rowOff>0</xdr:rowOff>
    </xdr:from>
    <xdr:ext cx="9525" cy="19050"/>
    <xdr:pic>
      <xdr:nvPicPr>
        <xdr:cNvPr id="68" name="32" descr="32"/>
        <xdr:cNvPicPr/>
      </xdr:nvPicPr>
      <xdr:blipFill>
        <a:blip r:embed="rId1"/>
        <a:srcRect/>
        <a:stretch>
          <a:fillRect/>
        </a:stretch>
      </xdr:blipFill>
      <xdr:spPr>
        <a:xfrm>
          <a:off x="4021455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36195</xdr:colOff>
      <xdr:row>7</xdr:row>
      <xdr:rowOff>0</xdr:rowOff>
    </xdr:from>
    <xdr:ext cx="4445" cy="9525"/>
    <xdr:pic>
      <xdr:nvPicPr>
        <xdr:cNvPr id="69" name="37" descr="37"/>
        <xdr:cNvPicPr/>
      </xdr:nvPicPr>
      <xdr:blipFill>
        <a:blip r:embed="rId1"/>
        <a:srcRect/>
        <a:stretch>
          <a:fillRect/>
        </a:stretch>
      </xdr:blipFill>
      <xdr:spPr>
        <a:xfrm>
          <a:off x="4019550" y="12490450"/>
          <a:ext cx="444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47625</xdr:colOff>
      <xdr:row>7</xdr:row>
      <xdr:rowOff>0</xdr:rowOff>
    </xdr:from>
    <xdr:ext cx="9525" cy="19050"/>
    <xdr:pic>
      <xdr:nvPicPr>
        <xdr:cNvPr id="70" name="50" descr="50"/>
        <xdr:cNvPicPr/>
      </xdr:nvPicPr>
      <xdr:blipFill>
        <a:blip r:embed="rId1"/>
        <a:srcRect/>
        <a:stretch>
          <a:fillRect/>
        </a:stretch>
      </xdr:blipFill>
      <xdr:spPr>
        <a:xfrm>
          <a:off x="4030980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69850</xdr:colOff>
      <xdr:row>7</xdr:row>
      <xdr:rowOff>0</xdr:rowOff>
    </xdr:from>
    <xdr:ext cx="23495" cy="47625"/>
    <xdr:pic>
      <xdr:nvPicPr>
        <xdr:cNvPr id="71" name="279" descr="/private/var/folders/x3/gft4czp52n53s6tmys0_s20m0000gn/T/com.kingsoft.wpsoffice.mac/picturecompress_20230407180730/output_143.pngoutput_143"/>
        <xdr:cNvPicPr/>
      </xdr:nvPicPr>
      <xdr:blipFill>
        <a:blip r:embed="rId3"/>
        <a:srcRect/>
        <a:stretch>
          <a:fillRect/>
        </a:stretch>
      </xdr:blipFill>
      <xdr:spPr>
        <a:xfrm>
          <a:off x="4053205" y="12490450"/>
          <a:ext cx="23495" cy="476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71120</xdr:colOff>
      <xdr:row>10</xdr:row>
      <xdr:rowOff>0</xdr:rowOff>
    </xdr:from>
    <xdr:ext cx="21590" cy="47625"/>
    <xdr:pic>
      <xdr:nvPicPr>
        <xdr:cNvPr id="72" name="279" descr="/private/var/folders/x3/gft4czp52n53s6tmys0_s20m0000gn/T/com.kingsoft.wpsoffice.mac/picturecompress_20230407180730/output_143.pngoutput_143"/>
        <xdr:cNvPicPr/>
      </xdr:nvPicPr>
      <xdr:blipFill>
        <a:blip r:embed="rId3"/>
        <a:srcRect/>
        <a:stretch>
          <a:fillRect/>
        </a:stretch>
      </xdr:blipFill>
      <xdr:spPr>
        <a:xfrm>
          <a:off x="4054475" y="16148050"/>
          <a:ext cx="21590" cy="47625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36195</xdr:colOff>
      <xdr:row>7</xdr:row>
      <xdr:rowOff>0</xdr:rowOff>
    </xdr:from>
    <xdr:to>
      <xdr:col>4</xdr:col>
      <xdr:colOff>50165</xdr:colOff>
      <xdr:row>7</xdr:row>
      <xdr:rowOff>29210</xdr:rowOff>
    </xdr:to>
    <xdr:pic>
      <xdr:nvPicPr>
        <xdr:cNvPr id="73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9550" y="12490450"/>
          <a:ext cx="1397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7</xdr:row>
      <xdr:rowOff>0</xdr:rowOff>
    </xdr:from>
    <xdr:to>
      <xdr:col>4</xdr:col>
      <xdr:colOff>56515</xdr:colOff>
      <xdr:row>7</xdr:row>
      <xdr:rowOff>24765</xdr:rowOff>
    </xdr:to>
    <xdr:pic>
      <xdr:nvPicPr>
        <xdr:cNvPr id="74" name="Picture 78" descr="1x1_pi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805" y="12490450"/>
          <a:ext cx="12065" cy="247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38100</xdr:colOff>
      <xdr:row>7</xdr:row>
      <xdr:rowOff>0</xdr:rowOff>
    </xdr:from>
    <xdr:ext cx="9525" cy="19050"/>
    <xdr:pic>
      <xdr:nvPicPr>
        <xdr:cNvPr id="75" name="32" descr="32"/>
        <xdr:cNvPicPr/>
      </xdr:nvPicPr>
      <xdr:blipFill>
        <a:blip r:embed="rId1"/>
        <a:srcRect/>
        <a:stretch>
          <a:fillRect/>
        </a:stretch>
      </xdr:blipFill>
      <xdr:spPr>
        <a:xfrm>
          <a:off x="4021455" y="12490450"/>
          <a:ext cx="9525" cy="1905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36195</xdr:colOff>
      <xdr:row>7</xdr:row>
      <xdr:rowOff>0</xdr:rowOff>
    </xdr:from>
    <xdr:ext cx="4445" cy="9525"/>
    <xdr:pic>
      <xdr:nvPicPr>
        <xdr:cNvPr id="76" name="37" descr="37"/>
        <xdr:cNvPicPr/>
      </xdr:nvPicPr>
      <xdr:blipFill>
        <a:blip r:embed="rId1"/>
        <a:srcRect/>
        <a:stretch>
          <a:fillRect/>
        </a:stretch>
      </xdr:blipFill>
      <xdr:spPr>
        <a:xfrm>
          <a:off x="4019550" y="12490450"/>
          <a:ext cx="4445" cy="95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47625</xdr:colOff>
      <xdr:row>7</xdr:row>
      <xdr:rowOff>0</xdr:rowOff>
    </xdr:from>
    <xdr:ext cx="9525" cy="19050"/>
    <xdr:pic>
      <xdr:nvPicPr>
        <xdr:cNvPr id="77" name="50" descr="50"/>
        <xdr:cNvPicPr/>
      </xdr:nvPicPr>
      <xdr:blipFill>
        <a:blip r:embed="rId1"/>
        <a:srcRect/>
        <a:stretch>
          <a:fillRect/>
        </a:stretch>
      </xdr:blipFill>
      <xdr:spPr>
        <a:xfrm>
          <a:off x="4030980" y="12490450"/>
          <a:ext cx="9525" cy="1905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324485</xdr:colOff>
      <xdr:row>16</xdr:row>
      <xdr:rowOff>65405</xdr:rowOff>
    </xdr:from>
    <xdr:to>
      <xdr:col>2</xdr:col>
      <xdr:colOff>1367790</xdr:colOff>
      <xdr:row>16</xdr:row>
      <xdr:rowOff>1301750</xdr:rowOff>
    </xdr:to>
    <xdr:pic>
      <xdr:nvPicPr>
        <xdr:cNvPr id="78" name="图片 7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62405" y="23998555"/>
          <a:ext cx="1043305" cy="12363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98425</xdr:colOff>
      <xdr:row>3</xdr:row>
      <xdr:rowOff>671830</xdr:rowOff>
    </xdr:from>
    <xdr:to>
      <xdr:col>3</xdr:col>
      <xdr:colOff>0</xdr:colOff>
      <xdr:row>3</xdr:row>
      <xdr:rowOff>1765935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2095" y="2614930"/>
          <a:ext cx="1574800" cy="1094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147320</xdr:colOff>
      <xdr:row>5</xdr:row>
      <xdr:rowOff>348615</xdr:rowOff>
    </xdr:from>
    <xdr:to>
      <xdr:col>2</xdr:col>
      <xdr:colOff>1645920</xdr:colOff>
      <xdr:row>5</xdr:row>
      <xdr:rowOff>1844040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70990" y="6838315"/>
          <a:ext cx="1498600" cy="149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107950</xdr:colOff>
      <xdr:row>6</xdr:row>
      <xdr:rowOff>682625</xdr:rowOff>
    </xdr:from>
    <xdr:to>
      <xdr:col>3</xdr:col>
      <xdr:colOff>0</xdr:colOff>
      <xdr:row>6</xdr:row>
      <xdr:rowOff>1568450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1620" y="9267825"/>
          <a:ext cx="1565275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499110</xdr:colOff>
      <xdr:row>7</xdr:row>
      <xdr:rowOff>369570</xdr:rowOff>
    </xdr:from>
    <xdr:to>
      <xdr:col>2</xdr:col>
      <xdr:colOff>1379220</xdr:colOff>
      <xdr:row>7</xdr:row>
      <xdr:rowOff>1748790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22780" y="10986770"/>
          <a:ext cx="880110" cy="1379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396240</xdr:colOff>
      <xdr:row>8</xdr:row>
      <xdr:rowOff>52705</xdr:rowOff>
    </xdr:from>
    <xdr:to>
      <xdr:col>2</xdr:col>
      <xdr:colOff>1459865</xdr:colOff>
      <xdr:row>8</xdr:row>
      <xdr:rowOff>1067435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19910" y="13044805"/>
          <a:ext cx="106362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342265</xdr:colOff>
      <xdr:row>9</xdr:row>
      <xdr:rowOff>86360</xdr:rowOff>
    </xdr:from>
    <xdr:to>
      <xdr:col>2</xdr:col>
      <xdr:colOff>1299845</xdr:colOff>
      <xdr:row>9</xdr:row>
      <xdr:rowOff>859790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65935" y="14208760"/>
          <a:ext cx="95758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390525</xdr:colOff>
      <xdr:row>4</xdr:row>
      <xdr:rowOff>176530</xdr:rowOff>
    </xdr:from>
    <xdr:to>
      <xdr:col>2</xdr:col>
      <xdr:colOff>1336040</xdr:colOff>
      <xdr:row>4</xdr:row>
      <xdr:rowOff>1075690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814195" y="4494530"/>
          <a:ext cx="945515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508000</xdr:colOff>
      <xdr:row>4</xdr:row>
      <xdr:rowOff>1245870</xdr:rowOff>
    </xdr:from>
    <xdr:to>
      <xdr:col>2</xdr:col>
      <xdr:colOff>1350645</xdr:colOff>
      <xdr:row>4</xdr:row>
      <xdr:rowOff>2128520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931670" y="5563870"/>
          <a:ext cx="842645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555625</xdr:colOff>
      <xdr:row>2</xdr:row>
      <xdr:rowOff>69850</xdr:rowOff>
    </xdr:from>
    <xdr:to>
      <xdr:col>2</xdr:col>
      <xdr:colOff>1306830</xdr:colOff>
      <xdr:row>3</xdr:row>
      <xdr:rowOff>11430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979295" y="946150"/>
          <a:ext cx="751205" cy="1008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115570</xdr:colOff>
      <xdr:row>4</xdr:row>
      <xdr:rowOff>180340</xdr:rowOff>
    </xdr:from>
    <xdr:to>
      <xdr:col>3</xdr:col>
      <xdr:colOff>0</xdr:colOff>
      <xdr:row>4</xdr:row>
      <xdr:rowOff>634365</xdr:rowOff>
    </xdr:to>
    <xdr:pic>
      <xdr:nvPicPr>
        <xdr:cNvPr id="32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5280" y="5158740"/>
          <a:ext cx="1425575" cy="45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124460</xdr:colOff>
      <xdr:row>5</xdr:row>
      <xdr:rowOff>88265</xdr:rowOff>
    </xdr:from>
    <xdr:to>
      <xdr:col>3</xdr:col>
      <xdr:colOff>0</xdr:colOff>
      <xdr:row>5</xdr:row>
      <xdr:rowOff>702945</xdr:rowOff>
    </xdr:to>
    <xdr:pic>
      <xdr:nvPicPr>
        <xdr:cNvPr id="33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4170" y="5955665"/>
          <a:ext cx="1416685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194945</xdr:colOff>
      <xdr:row>3</xdr:row>
      <xdr:rowOff>858520</xdr:rowOff>
    </xdr:from>
    <xdr:to>
      <xdr:col>3</xdr:col>
      <xdr:colOff>0</xdr:colOff>
      <xdr:row>3</xdr:row>
      <xdr:rowOff>1774190</xdr:rowOff>
    </xdr:to>
    <xdr:pic>
      <xdr:nvPicPr>
        <xdr:cNvPr id="34" name="图片 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4655" y="3042920"/>
          <a:ext cx="13462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247015</xdr:colOff>
      <xdr:row>6</xdr:row>
      <xdr:rowOff>338455</xdr:rowOff>
    </xdr:from>
    <xdr:to>
      <xdr:col>2</xdr:col>
      <xdr:colOff>1474470</xdr:colOff>
      <xdr:row>6</xdr:row>
      <xdr:rowOff>1658620</xdr:rowOff>
    </xdr:to>
    <xdr:pic>
      <xdr:nvPicPr>
        <xdr:cNvPr id="35" name="图片 1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36725" y="7044055"/>
          <a:ext cx="1227455" cy="132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333375</xdr:colOff>
      <xdr:row>9</xdr:row>
      <xdr:rowOff>330200</xdr:rowOff>
    </xdr:from>
    <xdr:to>
      <xdr:col>2</xdr:col>
      <xdr:colOff>1229360</xdr:colOff>
      <xdr:row>9</xdr:row>
      <xdr:rowOff>1128395</xdr:rowOff>
    </xdr:to>
    <xdr:pic>
      <xdr:nvPicPr>
        <xdr:cNvPr id="36" name="图片 1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23085" y="13347700"/>
          <a:ext cx="895985" cy="79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172085</xdr:colOff>
      <xdr:row>7</xdr:row>
      <xdr:rowOff>219710</xdr:rowOff>
    </xdr:from>
    <xdr:to>
      <xdr:col>3</xdr:col>
      <xdr:colOff>0</xdr:colOff>
      <xdr:row>7</xdr:row>
      <xdr:rowOff>1162685</xdr:rowOff>
    </xdr:to>
    <xdr:pic>
      <xdr:nvPicPr>
        <xdr:cNvPr id="37" name="图片 2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61795" y="8779510"/>
          <a:ext cx="1369060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8</xdr:row>
      <xdr:rowOff>549275</xdr:rowOff>
    </xdr:from>
    <xdr:to>
      <xdr:col>3</xdr:col>
      <xdr:colOff>0</xdr:colOff>
      <xdr:row>8</xdr:row>
      <xdr:rowOff>1837690</xdr:rowOff>
    </xdr:to>
    <xdr:pic>
      <xdr:nvPicPr>
        <xdr:cNvPr id="38" name="图片 2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47825" y="10823575"/>
          <a:ext cx="1383030" cy="128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135255</xdr:colOff>
      <xdr:row>12</xdr:row>
      <xdr:rowOff>432435</xdr:rowOff>
    </xdr:from>
    <xdr:to>
      <xdr:col>3</xdr:col>
      <xdr:colOff>0</xdr:colOff>
      <xdr:row>12</xdr:row>
      <xdr:rowOff>1257935</xdr:rowOff>
    </xdr:to>
    <xdr:pic>
      <xdr:nvPicPr>
        <xdr:cNvPr id="39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24965" y="17590135"/>
          <a:ext cx="1405890" cy="825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149225</xdr:colOff>
      <xdr:row>13</xdr:row>
      <xdr:rowOff>530225</xdr:rowOff>
    </xdr:from>
    <xdr:to>
      <xdr:col>3</xdr:col>
      <xdr:colOff>0</xdr:colOff>
      <xdr:row>14</xdr:row>
      <xdr:rowOff>357505</xdr:rowOff>
    </xdr:to>
    <xdr:pic>
      <xdr:nvPicPr>
        <xdr:cNvPr id="40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38935" y="19745325"/>
          <a:ext cx="1391920" cy="932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151765</xdr:colOff>
      <xdr:row>15</xdr:row>
      <xdr:rowOff>226060</xdr:rowOff>
    </xdr:from>
    <xdr:to>
      <xdr:col>2</xdr:col>
      <xdr:colOff>1245870</xdr:colOff>
      <xdr:row>15</xdr:row>
      <xdr:rowOff>697230</xdr:rowOff>
    </xdr:to>
    <xdr:pic>
      <xdr:nvPicPr>
        <xdr:cNvPr id="41" name="图片 5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41475" y="21498560"/>
          <a:ext cx="1094105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167640</xdr:colOff>
      <xdr:row>15</xdr:row>
      <xdr:rowOff>173990</xdr:rowOff>
    </xdr:from>
    <xdr:to>
      <xdr:col>2</xdr:col>
      <xdr:colOff>1511935</xdr:colOff>
      <xdr:row>15</xdr:row>
      <xdr:rowOff>982980</xdr:rowOff>
    </xdr:to>
    <xdr:pic>
      <xdr:nvPicPr>
        <xdr:cNvPr id="42" name="图片 1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657350" y="21446490"/>
          <a:ext cx="1344295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273685</xdr:colOff>
      <xdr:row>16</xdr:row>
      <xdr:rowOff>464820</xdr:rowOff>
    </xdr:from>
    <xdr:to>
      <xdr:col>2</xdr:col>
      <xdr:colOff>1466850</xdr:colOff>
      <xdr:row>16</xdr:row>
      <xdr:rowOff>956945</xdr:rowOff>
    </xdr:to>
    <xdr:pic>
      <xdr:nvPicPr>
        <xdr:cNvPr id="43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63395" y="22842220"/>
          <a:ext cx="1193165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17</xdr:row>
      <xdr:rowOff>288925</xdr:rowOff>
    </xdr:from>
    <xdr:to>
      <xdr:col>3</xdr:col>
      <xdr:colOff>0</xdr:colOff>
      <xdr:row>17</xdr:row>
      <xdr:rowOff>1048385</xdr:rowOff>
    </xdr:to>
    <xdr:pic>
      <xdr:nvPicPr>
        <xdr:cNvPr id="44" name="图片 6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680210" y="24241125"/>
          <a:ext cx="135064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146050</xdr:colOff>
      <xdr:row>18</xdr:row>
      <xdr:rowOff>553085</xdr:rowOff>
    </xdr:from>
    <xdr:to>
      <xdr:col>3</xdr:col>
      <xdr:colOff>0</xdr:colOff>
      <xdr:row>19</xdr:row>
      <xdr:rowOff>189230</xdr:rowOff>
    </xdr:to>
    <xdr:pic>
      <xdr:nvPicPr>
        <xdr:cNvPr id="45" name="图片 7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635760" y="25737185"/>
          <a:ext cx="1395095" cy="626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381635</xdr:colOff>
      <xdr:row>20</xdr:row>
      <xdr:rowOff>51435</xdr:rowOff>
    </xdr:from>
    <xdr:to>
      <xdr:col>2</xdr:col>
      <xdr:colOff>1075055</xdr:colOff>
      <xdr:row>20</xdr:row>
      <xdr:rowOff>929640</xdr:rowOff>
    </xdr:to>
    <xdr:pic>
      <xdr:nvPicPr>
        <xdr:cNvPr id="46" name="图片 8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871345" y="26873835"/>
          <a:ext cx="69342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21</xdr:row>
      <xdr:rowOff>244475</xdr:rowOff>
    </xdr:from>
    <xdr:to>
      <xdr:col>2</xdr:col>
      <xdr:colOff>1066800</xdr:colOff>
      <xdr:row>21</xdr:row>
      <xdr:rowOff>1137285</xdr:rowOff>
    </xdr:to>
    <xdr:pic>
      <xdr:nvPicPr>
        <xdr:cNvPr id="47" name="图片 10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756410" y="28044775"/>
          <a:ext cx="800100" cy="892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320675</xdr:colOff>
      <xdr:row>22</xdr:row>
      <xdr:rowOff>182880</xdr:rowOff>
    </xdr:from>
    <xdr:to>
      <xdr:col>2</xdr:col>
      <xdr:colOff>1209675</xdr:colOff>
      <xdr:row>22</xdr:row>
      <xdr:rowOff>1162685</xdr:rowOff>
    </xdr:to>
    <xdr:pic>
      <xdr:nvPicPr>
        <xdr:cNvPr id="48" name="图片 10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810385" y="29557980"/>
          <a:ext cx="88900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217170</xdr:colOff>
      <xdr:row>23</xdr:row>
      <xdr:rowOff>111125</xdr:rowOff>
    </xdr:from>
    <xdr:to>
      <xdr:col>3</xdr:col>
      <xdr:colOff>0</xdr:colOff>
      <xdr:row>23</xdr:row>
      <xdr:rowOff>1216660</xdr:rowOff>
    </xdr:to>
    <xdr:pic>
      <xdr:nvPicPr>
        <xdr:cNvPr id="49" name="图片 10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706880" y="30794325"/>
          <a:ext cx="1323975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164465</xdr:colOff>
      <xdr:row>24</xdr:row>
      <xdr:rowOff>281305</xdr:rowOff>
    </xdr:from>
    <xdr:to>
      <xdr:col>3</xdr:col>
      <xdr:colOff>0</xdr:colOff>
      <xdr:row>24</xdr:row>
      <xdr:rowOff>1463040</xdr:rowOff>
    </xdr:to>
    <xdr:pic>
      <xdr:nvPicPr>
        <xdr:cNvPr id="50" name="图片 11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654175" y="32336105"/>
          <a:ext cx="1376680" cy="1181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292100</xdr:colOff>
      <xdr:row>25</xdr:row>
      <xdr:rowOff>220345</xdr:rowOff>
    </xdr:from>
    <xdr:to>
      <xdr:col>2</xdr:col>
      <xdr:colOff>1419225</xdr:colOff>
      <xdr:row>25</xdr:row>
      <xdr:rowOff>1463040</xdr:rowOff>
    </xdr:to>
    <xdr:pic>
      <xdr:nvPicPr>
        <xdr:cNvPr id="51" name="图片 11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781810" y="34180145"/>
          <a:ext cx="1127125" cy="1242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164465</xdr:colOff>
      <xdr:row>29</xdr:row>
      <xdr:rowOff>53340</xdr:rowOff>
    </xdr:from>
    <xdr:to>
      <xdr:col>3</xdr:col>
      <xdr:colOff>0</xdr:colOff>
      <xdr:row>30</xdr:row>
      <xdr:rowOff>34290</xdr:rowOff>
    </xdr:to>
    <xdr:pic>
      <xdr:nvPicPr>
        <xdr:cNvPr id="52" name="图片 12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654175" y="41341040"/>
          <a:ext cx="1376680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292100</xdr:colOff>
      <xdr:row>27</xdr:row>
      <xdr:rowOff>229870</xdr:rowOff>
    </xdr:from>
    <xdr:to>
      <xdr:col>3</xdr:col>
      <xdr:colOff>0</xdr:colOff>
      <xdr:row>27</xdr:row>
      <xdr:rowOff>1639570</xdr:rowOff>
    </xdr:to>
    <xdr:pic>
      <xdr:nvPicPr>
        <xdr:cNvPr id="53" name="图片 12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781810" y="37326570"/>
          <a:ext cx="1249045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301625</xdr:colOff>
      <xdr:row>26</xdr:row>
      <xdr:rowOff>230505</xdr:rowOff>
    </xdr:from>
    <xdr:to>
      <xdr:col>2</xdr:col>
      <xdr:colOff>1503680</xdr:colOff>
      <xdr:row>26</xdr:row>
      <xdr:rowOff>1555750</xdr:rowOff>
    </xdr:to>
    <xdr:pic>
      <xdr:nvPicPr>
        <xdr:cNvPr id="54" name="图片 11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791335" y="35714305"/>
          <a:ext cx="1202055" cy="1325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320040</xdr:colOff>
      <xdr:row>31</xdr:row>
      <xdr:rowOff>1571625</xdr:rowOff>
    </xdr:from>
    <xdr:to>
      <xdr:col>2</xdr:col>
      <xdr:colOff>1487805</xdr:colOff>
      <xdr:row>32</xdr:row>
      <xdr:rowOff>175260</xdr:rowOff>
    </xdr:to>
    <xdr:pic>
      <xdr:nvPicPr>
        <xdr:cNvPr id="55" name="图片 12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809750" y="45246925"/>
          <a:ext cx="116776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33</xdr:row>
      <xdr:rowOff>1050290</xdr:rowOff>
    </xdr:from>
    <xdr:to>
      <xdr:col>3</xdr:col>
      <xdr:colOff>0</xdr:colOff>
      <xdr:row>33</xdr:row>
      <xdr:rowOff>1487170</xdr:rowOff>
    </xdr:to>
    <xdr:pic>
      <xdr:nvPicPr>
        <xdr:cNvPr id="56" name="图片 87"/>
        <xdr:cNvPicPr>
          <a:picLocks noChangeAspect="1"/>
        </xdr:cNvPicPr>
      </xdr:nvPicPr>
      <xdr:blipFill>
        <a:blip r:embed="rId24"/>
        <a:srcRect l="49255"/>
        <a:stretch>
          <a:fillRect/>
        </a:stretch>
      </xdr:blipFill>
      <xdr:spPr>
        <a:xfrm>
          <a:off x="1584960" y="47710090"/>
          <a:ext cx="144589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146050</xdr:colOff>
      <xdr:row>34</xdr:row>
      <xdr:rowOff>232410</xdr:rowOff>
    </xdr:from>
    <xdr:to>
      <xdr:col>2</xdr:col>
      <xdr:colOff>1523365</xdr:colOff>
      <xdr:row>34</xdr:row>
      <xdr:rowOff>897255</xdr:rowOff>
    </xdr:to>
    <xdr:pic>
      <xdr:nvPicPr>
        <xdr:cNvPr id="57" name="图片 8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635760" y="49610010"/>
          <a:ext cx="1377315" cy="664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127000</xdr:colOff>
      <xdr:row>35</xdr:row>
      <xdr:rowOff>245745</xdr:rowOff>
    </xdr:from>
    <xdr:to>
      <xdr:col>2</xdr:col>
      <xdr:colOff>1524635</xdr:colOff>
      <xdr:row>35</xdr:row>
      <xdr:rowOff>915670</xdr:rowOff>
    </xdr:to>
    <xdr:pic>
      <xdr:nvPicPr>
        <xdr:cNvPr id="58" name="图片 8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616710" y="50779045"/>
          <a:ext cx="1397635" cy="669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111125</xdr:colOff>
      <xdr:row>36</xdr:row>
      <xdr:rowOff>296545</xdr:rowOff>
    </xdr:from>
    <xdr:to>
      <xdr:col>3</xdr:col>
      <xdr:colOff>0</xdr:colOff>
      <xdr:row>36</xdr:row>
      <xdr:rowOff>1402715</xdr:rowOff>
    </xdr:to>
    <xdr:pic>
      <xdr:nvPicPr>
        <xdr:cNvPr id="59" name="图片 9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600835" y="52176045"/>
          <a:ext cx="1430020" cy="1106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230505</xdr:colOff>
      <xdr:row>10</xdr:row>
      <xdr:rowOff>313055</xdr:rowOff>
    </xdr:from>
    <xdr:to>
      <xdr:col>2</xdr:col>
      <xdr:colOff>1381760</xdr:colOff>
      <xdr:row>10</xdr:row>
      <xdr:rowOff>1241425</xdr:rowOff>
    </xdr:to>
    <xdr:pic>
      <xdr:nvPicPr>
        <xdr:cNvPr id="60" name="图片 10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720215" y="14892655"/>
          <a:ext cx="115125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487045</xdr:colOff>
      <xdr:row>11</xdr:row>
      <xdr:rowOff>127635</xdr:rowOff>
    </xdr:from>
    <xdr:to>
      <xdr:col>2</xdr:col>
      <xdr:colOff>1202690</xdr:colOff>
      <xdr:row>11</xdr:row>
      <xdr:rowOff>875030</xdr:rowOff>
    </xdr:to>
    <xdr:pic>
      <xdr:nvPicPr>
        <xdr:cNvPr id="61" name="图片 11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976755" y="16332835"/>
          <a:ext cx="71564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229870</xdr:colOff>
      <xdr:row>2</xdr:row>
      <xdr:rowOff>288925</xdr:rowOff>
    </xdr:from>
    <xdr:to>
      <xdr:col>2</xdr:col>
      <xdr:colOff>1438275</xdr:colOff>
      <xdr:row>2</xdr:row>
      <xdr:rowOff>981710</xdr:rowOff>
    </xdr:to>
    <xdr:pic>
      <xdr:nvPicPr>
        <xdr:cNvPr id="2" name="图片 12"/>
        <xdr:cNvPicPr>
          <a:picLocks noChangeAspect="1"/>
        </xdr:cNvPicPr>
      </xdr:nvPicPr>
      <xdr:blipFill>
        <a:blip r:embed="rId30"/>
        <a:srcRect l="11395" t="51997" r="63300"/>
        <a:stretch>
          <a:fillRect/>
        </a:stretch>
      </xdr:blipFill>
      <xdr:spPr>
        <a:xfrm>
          <a:off x="1719580" y="1177925"/>
          <a:ext cx="1208405" cy="692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13"/>
  <sheetViews>
    <sheetView zoomScale="190" zoomScaleNormal="190" workbookViewId="0">
      <selection activeCell="B3" sqref="B3"/>
    </sheetView>
  </sheetViews>
  <sheetFormatPr defaultColWidth="9" defaultRowHeight="16.8" outlineLevelCol="3"/>
  <cols>
    <col min="1" max="1" width="15.9230769230769" customWidth="1"/>
    <col min="2" max="2" width="25.4230769230769" style="115" customWidth="1"/>
    <col min="3" max="3" width="27.0673076923077" style="115" customWidth="1"/>
    <col min="4" max="4" width="15" customWidth="1"/>
  </cols>
  <sheetData>
    <row r="1" ht="47" customHeight="1" spans="1:4">
      <c r="A1" s="188" t="s">
        <v>0</v>
      </c>
      <c r="B1" s="188"/>
      <c r="C1" s="188"/>
      <c r="D1" s="188"/>
    </row>
    <row r="2" ht="30" customHeight="1" spans="1:4">
      <c r="A2" s="189" t="s">
        <v>1</v>
      </c>
      <c r="B2" s="189" t="s">
        <v>2</v>
      </c>
      <c r="C2" s="189" t="s">
        <v>3</v>
      </c>
      <c r="D2" s="189" t="s">
        <v>4</v>
      </c>
    </row>
    <row r="3" ht="30" customHeight="1" spans="1:4">
      <c r="A3" s="71">
        <v>1</v>
      </c>
      <c r="B3" s="71" t="s">
        <v>5</v>
      </c>
      <c r="C3" s="71" t="s">
        <v>6</v>
      </c>
      <c r="D3" s="70"/>
    </row>
    <row r="4" ht="30" customHeight="1" spans="1:4">
      <c r="A4" s="71">
        <v>2</v>
      </c>
      <c r="B4" s="71" t="s">
        <v>7</v>
      </c>
      <c r="C4" s="71" t="s">
        <v>8</v>
      </c>
      <c r="D4" s="70"/>
    </row>
    <row r="5" ht="30" customHeight="1" spans="1:4">
      <c r="A5" s="71">
        <v>3</v>
      </c>
      <c r="B5" s="71" t="s">
        <v>9</v>
      </c>
      <c r="C5" s="71" t="s">
        <v>10</v>
      </c>
      <c r="D5" s="70"/>
    </row>
    <row r="6" ht="30" customHeight="1" spans="1:4">
      <c r="A6" s="71">
        <v>4</v>
      </c>
      <c r="B6" s="71" t="s">
        <v>11</v>
      </c>
      <c r="C6" s="71">
        <v>27</v>
      </c>
      <c r="D6" s="70"/>
    </row>
    <row r="7" ht="30" customHeight="1" spans="1:4">
      <c r="A7" s="71">
        <v>5</v>
      </c>
      <c r="B7" s="71" t="s">
        <v>12</v>
      </c>
      <c r="C7" s="71" t="s">
        <v>13</v>
      </c>
      <c r="D7" s="70"/>
    </row>
    <row r="8" ht="30" customHeight="1" spans="1:4">
      <c r="A8" s="71">
        <v>6</v>
      </c>
      <c r="B8" s="71" t="s">
        <v>14</v>
      </c>
      <c r="C8" s="71" t="s">
        <v>15</v>
      </c>
      <c r="D8" s="70"/>
    </row>
    <row r="9" ht="30" customHeight="1" spans="1:4">
      <c r="A9" s="71">
        <v>7</v>
      </c>
      <c r="B9" s="71" t="s">
        <v>16</v>
      </c>
      <c r="C9" s="71" t="s">
        <v>17</v>
      </c>
      <c r="D9" s="70"/>
    </row>
    <row r="10" ht="30" customHeight="1" spans="1:4">
      <c r="A10" s="71">
        <v>8</v>
      </c>
      <c r="B10" s="71" t="s">
        <v>18</v>
      </c>
      <c r="C10" s="71" t="s">
        <v>19</v>
      </c>
      <c r="D10" s="70"/>
    </row>
    <row r="11" ht="30" customHeight="1" spans="1:4">
      <c r="A11" s="71">
        <v>9</v>
      </c>
      <c r="B11" s="71" t="s">
        <v>20</v>
      </c>
      <c r="C11" s="71" t="s">
        <v>21</v>
      </c>
      <c r="D11" s="70"/>
    </row>
    <row r="12" ht="30" customHeight="1" spans="1:4">
      <c r="A12" s="71">
        <v>10</v>
      </c>
      <c r="B12" s="71" t="s">
        <v>22</v>
      </c>
      <c r="C12" s="71" t="s">
        <v>23</v>
      </c>
      <c r="D12" s="70"/>
    </row>
    <row r="13" ht="26" customHeight="1" spans="1:4">
      <c r="A13" s="71">
        <v>11</v>
      </c>
      <c r="B13" s="71" t="s">
        <v>24</v>
      </c>
      <c r="C13" s="71">
        <v>52</v>
      </c>
      <c r="D13" s="70"/>
    </row>
  </sheetData>
  <mergeCells count="1">
    <mergeCell ref="A1:D1"/>
  </mergeCells>
  <printOptions horizontalCentered="1"/>
  <pageMargins left="0.393055555555556" right="0.393055555555556" top="0.739583333333333" bottom="0.739583333333333" header="0.5" footer="0.5"/>
  <pageSetup paperSize="9" fitToHeight="0" orientation="portrait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0"/>
  <sheetViews>
    <sheetView view="pageBreakPreview" zoomScale="115" zoomScaleNormal="100" topLeftCell="A4" workbookViewId="0">
      <selection activeCell="I6" sqref="I6"/>
    </sheetView>
  </sheetViews>
  <sheetFormatPr defaultColWidth="9.66346153846154" defaultRowHeight="20.25" customHeight="1"/>
  <cols>
    <col min="1" max="1" width="8" style="2" customWidth="1"/>
    <col min="2" max="2" width="13.5576923076923" style="27" customWidth="1"/>
    <col min="3" max="3" width="25.3365384615385" style="27" customWidth="1"/>
    <col min="4" max="4" width="22.75" style="27" customWidth="1"/>
    <col min="5" max="5" width="45.7788461538462" style="27" customWidth="1"/>
    <col min="6" max="7" width="7" style="2" customWidth="1"/>
    <col min="8" max="8" width="10.625" style="28" customWidth="1"/>
    <col min="9" max="9" width="19.8365384615385" style="2"/>
    <col min="10" max="10" width="17" style="2"/>
    <col min="11" max="23" width="9.66346153846154" style="2"/>
    <col min="24" max="33" width="9.66346153846154" style="29"/>
    <col min="34" max="16384" width="9.66346153846154" style="26"/>
  </cols>
  <sheetData>
    <row r="1" s="25" customFormat="1" ht="44" customHeight="1" spans="1:8">
      <c r="A1" s="30" t="s">
        <v>576</v>
      </c>
      <c r="B1" s="30"/>
      <c r="C1" s="30"/>
      <c r="D1" s="30"/>
      <c r="E1" s="30"/>
      <c r="F1" s="30"/>
      <c r="G1" s="30"/>
      <c r="H1" s="30"/>
    </row>
    <row r="2" s="2" customFormat="1" ht="25" customHeight="1" spans="1:9">
      <c r="A2" s="31" t="s">
        <v>1</v>
      </c>
      <c r="B2" s="31" t="s">
        <v>26</v>
      </c>
      <c r="C2" s="31" t="s">
        <v>27</v>
      </c>
      <c r="D2" s="31" t="s">
        <v>28</v>
      </c>
      <c r="E2" s="31" t="s">
        <v>29</v>
      </c>
      <c r="F2" s="31" t="s">
        <v>30</v>
      </c>
      <c r="G2" s="31" t="s">
        <v>31</v>
      </c>
      <c r="H2" s="49" t="s">
        <v>4</v>
      </c>
      <c r="I2" s="59"/>
    </row>
    <row r="3" s="2" customFormat="1" ht="84" customHeight="1" spans="1:9">
      <c r="A3" s="32">
        <v>1</v>
      </c>
      <c r="B3" s="33" t="s">
        <v>577</v>
      </c>
      <c r="C3" s="34"/>
      <c r="D3" s="35" t="s">
        <v>578</v>
      </c>
      <c r="E3" s="50" t="s">
        <v>579</v>
      </c>
      <c r="F3" s="51">
        <v>1</v>
      </c>
      <c r="G3" s="51" t="s">
        <v>43</v>
      </c>
      <c r="H3" s="52"/>
      <c r="I3" s="59"/>
    </row>
    <row r="4" s="2" customFormat="1" ht="187" customHeight="1" spans="1:9">
      <c r="A4" s="32">
        <v>2</v>
      </c>
      <c r="B4" s="33" t="s">
        <v>580</v>
      </c>
      <c r="C4" s="36"/>
      <c r="D4" s="37" t="s">
        <v>581</v>
      </c>
      <c r="E4" s="50" t="s">
        <v>582</v>
      </c>
      <c r="F4" s="53">
        <v>3</v>
      </c>
      <c r="G4" s="53" t="s">
        <v>209</v>
      </c>
      <c r="H4" s="52"/>
      <c r="I4" s="59"/>
    </row>
    <row r="5" s="2" customFormat="1" ht="171" customHeight="1" spans="1:9">
      <c r="A5" s="32">
        <v>3</v>
      </c>
      <c r="B5" s="33" t="s">
        <v>583</v>
      </c>
      <c r="C5" s="38"/>
      <c r="D5" s="39" t="s">
        <v>584</v>
      </c>
      <c r="E5" s="54" t="s">
        <v>585</v>
      </c>
      <c r="F5" s="51">
        <v>1</v>
      </c>
      <c r="G5" s="51" t="s">
        <v>209</v>
      </c>
      <c r="H5" s="52"/>
      <c r="I5" s="59"/>
    </row>
    <row r="6" s="2" customFormat="1" ht="165" customHeight="1" spans="1:9">
      <c r="A6" s="32">
        <v>4</v>
      </c>
      <c r="B6" s="33" t="s">
        <v>346</v>
      </c>
      <c r="C6" s="40"/>
      <c r="D6" s="41" t="s">
        <v>586</v>
      </c>
      <c r="E6" s="55" t="s">
        <v>74</v>
      </c>
      <c r="F6" s="51">
        <v>2</v>
      </c>
      <c r="G6" s="51" t="s">
        <v>209</v>
      </c>
      <c r="H6" s="52"/>
      <c r="I6" s="59"/>
    </row>
    <row r="7" s="2" customFormat="1" ht="160" customHeight="1" spans="1:9">
      <c r="A7" s="32">
        <v>5</v>
      </c>
      <c r="B7" s="42" t="s">
        <v>565</v>
      </c>
      <c r="C7" s="40"/>
      <c r="D7" s="40" t="s">
        <v>382</v>
      </c>
      <c r="E7" s="55" t="s">
        <v>587</v>
      </c>
      <c r="F7" s="51">
        <v>2</v>
      </c>
      <c r="G7" s="51" t="s">
        <v>37</v>
      </c>
      <c r="H7" s="52"/>
      <c r="I7" s="59"/>
    </row>
    <row r="8" s="2" customFormat="1" ht="187" customHeight="1" spans="1:9">
      <c r="A8" s="32">
        <v>6</v>
      </c>
      <c r="B8" s="42" t="s">
        <v>567</v>
      </c>
      <c r="C8" s="40"/>
      <c r="D8" s="40" t="s">
        <v>85</v>
      </c>
      <c r="E8" s="56" t="s">
        <v>588</v>
      </c>
      <c r="F8" s="51">
        <v>2</v>
      </c>
      <c r="G8" s="51" t="s">
        <v>43</v>
      </c>
      <c r="H8" s="52"/>
      <c r="I8" s="59"/>
    </row>
    <row r="9" s="2" customFormat="1" ht="89" customHeight="1" spans="1:9">
      <c r="A9" s="32">
        <v>7</v>
      </c>
      <c r="B9" s="42" t="s">
        <v>589</v>
      </c>
      <c r="C9" s="40"/>
      <c r="D9" s="40" t="s">
        <v>590</v>
      </c>
      <c r="E9" s="50" t="s">
        <v>591</v>
      </c>
      <c r="F9" s="53">
        <v>24</v>
      </c>
      <c r="G9" s="53" t="s">
        <v>37</v>
      </c>
      <c r="H9" s="52"/>
      <c r="I9" s="59"/>
    </row>
    <row r="10" s="2" customFormat="1" ht="80" customHeight="1" spans="1:9">
      <c r="A10" s="32">
        <v>8</v>
      </c>
      <c r="B10" s="42" t="s">
        <v>592</v>
      </c>
      <c r="C10" s="40"/>
      <c r="D10" s="40" t="s">
        <v>353</v>
      </c>
      <c r="E10" s="50" t="s">
        <v>593</v>
      </c>
      <c r="F10" s="53">
        <v>54</v>
      </c>
      <c r="G10" s="53" t="s">
        <v>43</v>
      </c>
      <c r="H10" s="52"/>
      <c r="I10" s="59"/>
    </row>
    <row r="11" s="2" customFormat="1" ht="24" customHeight="1" spans="1:8">
      <c r="A11" s="43"/>
      <c r="B11" s="44"/>
      <c r="C11" s="44"/>
      <c r="D11" s="44"/>
      <c r="E11" s="44"/>
      <c r="F11" s="57"/>
      <c r="G11" s="44"/>
      <c r="H11" s="58"/>
    </row>
    <row r="12" s="26" customFormat="1" customHeight="1" spans="1:33">
      <c r="A12" s="45"/>
      <c r="B12" s="46"/>
      <c r="C12" s="46"/>
      <c r="D12" s="46"/>
      <c r="E12" s="46"/>
      <c r="F12" s="45"/>
      <c r="G12" s="45"/>
      <c r="H12" s="2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9"/>
      <c r="Y12" s="29"/>
      <c r="Z12" s="29"/>
      <c r="AA12" s="29"/>
      <c r="AB12" s="29"/>
      <c r="AC12" s="29"/>
      <c r="AD12" s="29"/>
      <c r="AE12" s="29"/>
      <c r="AF12" s="29"/>
      <c r="AG12" s="29"/>
    </row>
    <row r="13" s="26" customFormat="1" customHeight="1" spans="1:33">
      <c r="A13" s="45"/>
      <c r="B13" s="47"/>
      <c r="C13" s="46"/>
      <c r="D13" s="46"/>
      <c r="E13" s="46"/>
      <c r="F13" s="45"/>
      <c r="G13" s="45"/>
      <c r="H13" s="2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9"/>
      <c r="Y13" s="29"/>
      <c r="Z13" s="29"/>
      <c r="AA13" s="29"/>
      <c r="AB13" s="29"/>
      <c r="AC13" s="29"/>
      <c r="AD13" s="29"/>
      <c r="AE13" s="29"/>
      <c r="AF13" s="29"/>
      <c r="AG13" s="29"/>
    </row>
    <row r="14" s="26" customFormat="1" customHeight="1" spans="1:33">
      <c r="A14" s="45"/>
      <c r="B14" s="48"/>
      <c r="C14" s="46"/>
      <c r="D14" s="46"/>
      <c r="E14" s="46"/>
      <c r="F14" s="45"/>
      <c r="G14" s="45"/>
      <c r="H14" s="2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9"/>
      <c r="Y14" s="29"/>
      <c r="Z14" s="29"/>
      <c r="AA14" s="29"/>
      <c r="AB14" s="29"/>
      <c r="AC14" s="29"/>
      <c r="AD14" s="29"/>
      <c r="AE14" s="29"/>
      <c r="AF14" s="29"/>
      <c r="AG14" s="29"/>
    </row>
    <row r="15" s="26" customFormat="1" customHeight="1" spans="1:33">
      <c r="A15" s="45"/>
      <c r="B15" s="48"/>
      <c r="C15" s="46"/>
      <c r="D15" s="46"/>
      <c r="E15" s="46"/>
      <c r="F15" s="45"/>
      <c r="G15" s="45"/>
      <c r="H15" s="2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9"/>
      <c r="Y15" s="29"/>
      <c r="Z15" s="29"/>
      <c r="AA15" s="29"/>
      <c r="AB15" s="29"/>
      <c r="AC15" s="29"/>
      <c r="AD15" s="29"/>
      <c r="AE15" s="29"/>
      <c r="AF15" s="29"/>
      <c r="AG15" s="29"/>
    </row>
    <row r="16" s="26" customFormat="1" customHeight="1" spans="1:33">
      <c r="A16" s="45"/>
      <c r="B16" s="48"/>
      <c r="C16" s="46"/>
      <c r="D16" s="46"/>
      <c r="E16" s="46"/>
      <c r="F16" s="45"/>
      <c r="G16" s="45"/>
      <c r="H16" s="2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9"/>
      <c r="Y16" s="29"/>
      <c r="Z16" s="29"/>
      <c r="AA16" s="29"/>
      <c r="AB16" s="29"/>
      <c r="AC16" s="29"/>
      <c r="AD16" s="29"/>
      <c r="AE16" s="29"/>
      <c r="AF16" s="29"/>
      <c r="AG16" s="29"/>
    </row>
    <row r="17" s="26" customFormat="1" customHeight="1" spans="1:33">
      <c r="A17" s="45"/>
      <c r="B17" s="48"/>
      <c r="C17" s="46"/>
      <c r="D17" s="46"/>
      <c r="E17" s="46"/>
      <c r="F17" s="45"/>
      <c r="G17" s="45"/>
      <c r="H17" s="2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9"/>
      <c r="Y17" s="29"/>
      <c r="Z17" s="29"/>
      <c r="AA17" s="29"/>
      <c r="AB17" s="29"/>
      <c r="AC17" s="29"/>
      <c r="AD17" s="29"/>
      <c r="AE17" s="29"/>
      <c r="AF17" s="29"/>
      <c r="AG17" s="29"/>
    </row>
    <row r="18" s="26" customFormat="1" customHeight="1" spans="1:33">
      <c r="A18" s="2"/>
      <c r="B18" s="2"/>
      <c r="C18" s="27"/>
      <c r="D18" s="27"/>
      <c r="E18" s="27"/>
      <c r="F18" s="2"/>
      <c r="G18" s="2"/>
      <c r="H18" s="2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9"/>
      <c r="Y18" s="29"/>
      <c r="Z18" s="29"/>
      <c r="AA18" s="29"/>
      <c r="AB18" s="29"/>
      <c r="AC18" s="29"/>
      <c r="AD18" s="29"/>
      <c r="AE18" s="29"/>
      <c r="AF18" s="29"/>
      <c r="AG18" s="29"/>
    </row>
    <row r="19" s="26" customFormat="1" customHeight="1" spans="1:33">
      <c r="A19" s="2"/>
      <c r="B19" s="2"/>
      <c r="C19" s="27"/>
      <c r="D19" s="27"/>
      <c r="E19" s="27"/>
      <c r="F19" s="2"/>
      <c r="G19" s="2"/>
      <c r="H19" s="2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9"/>
      <c r="Y19" s="29"/>
      <c r="Z19" s="29"/>
      <c r="AA19" s="29"/>
      <c r="AB19" s="29"/>
      <c r="AC19" s="29"/>
      <c r="AD19" s="29"/>
      <c r="AE19" s="29"/>
      <c r="AF19" s="29"/>
      <c r="AG19" s="29"/>
    </row>
    <row r="20" s="26" customFormat="1" customHeight="1" spans="1:33">
      <c r="A20" s="2"/>
      <c r="B20" s="2"/>
      <c r="C20" s="27"/>
      <c r="D20" s="27"/>
      <c r="E20" s="27"/>
      <c r="F20" s="2"/>
      <c r="G20" s="2"/>
      <c r="H20" s="2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9"/>
      <c r="Y20" s="29"/>
      <c r="Z20" s="29"/>
      <c r="AA20" s="29"/>
      <c r="AB20" s="29"/>
      <c r="AC20" s="29"/>
      <c r="AD20" s="29"/>
      <c r="AE20" s="29"/>
      <c r="AF20" s="29"/>
      <c r="AG20" s="29"/>
    </row>
  </sheetData>
  <mergeCells count="1">
    <mergeCell ref="A1:H1"/>
  </mergeCells>
  <dataValidations count="2">
    <dataValidation type="list" allowBlank="1" showInputMessage="1" showErrorMessage="1" sqref="H11">
      <formula1>"文化建设,基础硬件建设,课程配套硬件,科创课程,科创耗材,生涯培训及教材,资优生规划（团培）,志愿填报指导,个性化规划,翼生涯系统软件,其他"</formula1>
    </dataValidation>
    <dataValidation type="list" allowBlank="1" showInputMessage="1" showErrorMessage="1" sqref="H3:H10">
      <formula1>"硬件设备,家具,定制类文化,学发中心服务,电脑/一体机,软件系统/云服务平台,课程资源包"</formula1>
    </dataValidation>
  </dataValidations>
  <pageMargins left="0.251388888888889" right="0.251388888888889" top="0.751388888888889" bottom="0.751388888888889" header="0.298611111111111" footer="0.298611111111111"/>
  <pageSetup paperSize="9" scale="72" fitToHeight="0" orientation="portrait" horizontalDpi="600"/>
  <headerFooter>
    <oddFooter>&amp;C第 &amp;P 页，共 &amp;N 页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view="pageBreakPreview" zoomScaleNormal="100" topLeftCell="A10" workbookViewId="0">
      <selection activeCell="I12" sqref="I12"/>
    </sheetView>
  </sheetViews>
  <sheetFormatPr defaultColWidth="9" defaultRowHeight="17.6"/>
  <cols>
    <col min="1" max="1" width="9.66346153846154" style="3" customWidth="1"/>
    <col min="2" max="2" width="12.8942307692308" style="3" customWidth="1"/>
    <col min="3" max="3" width="23.3365384615385" style="4" customWidth="1"/>
    <col min="4" max="4" width="19.1634615384615" style="3" customWidth="1"/>
    <col min="5" max="5" width="55" style="5" customWidth="1"/>
    <col min="6" max="7" width="9.66346153846154" style="3" customWidth="1"/>
    <col min="8" max="8" width="9" style="6"/>
    <col min="9" max="9" width="55.625" style="1" customWidth="1"/>
    <col min="10" max="16384" width="9" style="1"/>
  </cols>
  <sheetData>
    <row r="1" s="1" customFormat="1" ht="42" customHeight="1" spans="1:8">
      <c r="A1" s="7" t="s">
        <v>594</v>
      </c>
      <c r="B1" s="7"/>
      <c r="C1" s="7"/>
      <c r="D1" s="7"/>
      <c r="E1" s="7"/>
      <c r="F1" s="7"/>
      <c r="G1" s="7"/>
      <c r="H1" s="7"/>
    </row>
    <row r="2" s="2" customFormat="1" ht="28" customHeight="1" spans="1:8">
      <c r="A2" s="8" t="s">
        <v>1</v>
      </c>
      <c r="B2" s="8" t="s">
        <v>26</v>
      </c>
      <c r="C2" s="8" t="s">
        <v>27</v>
      </c>
      <c r="D2" s="8" t="s">
        <v>28</v>
      </c>
      <c r="E2" s="8" t="s">
        <v>29</v>
      </c>
      <c r="F2" s="8" t="s">
        <v>30</v>
      </c>
      <c r="G2" s="8" t="s">
        <v>31</v>
      </c>
      <c r="H2" s="15" t="s">
        <v>4</v>
      </c>
    </row>
    <row r="3" s="1" customFormat="1" ht="102" customHeight="1" spans="1:9">
      <c r="A3" s="9">
        <v>1</v>
      </c>
      <c r="B3" s="9" t="s">
        <v>595</v>
      </c>
      <c r="C3" s="10"/>
      <c r="D3" s="9" t="s">
        <v>596</v>
      </c>
      <c r="E3" s="16" t="s">
        <v>597</v>
      </c>
      <c r="F3" s="9">
        <v>1</v>
      </c>
      <c r="G3" s="9" t="s">
        <v>47</v>
      </c>
      <c r="H3" s="6"/>
      <c r="I3" s="23"/>
    </row>
    <row r="4" s="1" customFormat="1" ht="220" customHeight="1" spans="1:9">
      <c r="A4" s="11">
        <v>2</v>
      </c>
      <c r="B4" s="11" t="s">
        <v>598</v>
      </c>
      <c r="C4" s="12"/>
      <c r="D4" s="11" t="s">
        <v>599</v>
      </c>
      <c r="E4" s="17" t="s">
        <v>600</v>
      </c>
      <c r="F4" s="11">
        <v>2</v>
      </c>
      <c r="G4" s="11" t="s">
        <v>54</v>
      </c>
      <c r="H4" s="6"/>
      <c r="I4" s="23"/>
    </row>
    <row r="5" s="1" customFormat="1" ht="70" customHeight="1" spans="1:9">
      <c r="A5" s="11">
        <v>3</v>
      </c>
      <c r="B5" s="11" t="s">
        <v>601</v>
      </c>
      <c r="C5" s="12"/>
      <c r="D5" s="11" t="s">
        <v>353</v>
      </c>
      <c r="E5" s="18" t="s">
        <v>602</v>
      </c>
      <c r="F5" s="11">
        <v>4</v>
      </c>
      <c r="G5" s="11" t="s">
        <v>43</v>
      </c>
      <c r="H5" s="6"/>
      <c r="I5" s="24"/>
    </row>
    <row r="6" s="1" customFormat="1" ht="66" customHeight="1" spans="1:8">
      <c r="A6" s="11">
        <v>4</v>
      </c>
      <c r="B6" s="11" t="s">
        <v>603</v>
      </c>
      <c r="C6" s="12"/>
      <c r="D6" s="11" t="s">
        <v>604</v>
      </c>
      <c r="E6" s="17" t="s">
        <v>605</v>
      </c>
      <c r="F6" s="11">
        <v>6</v>
      </c>
      <c r="G6" s="11" t="s">
        <v>47</v>
      </c>
      <c r="H6" s="6"/>
    </row>
    <row r="7" s="1" customFormat="1" ht="146" customHeight="1" spans="1:8">
      <c r="A7" s="11">
        <v>5</v>
      </c>
      <c r="B7" s="11" t="s">
        <v>606</v>
      </c>
      <c r="C7" s="12"/>
      <c r="D7" s="11" t="s">
        <v>607</v>
      </c>
      <c r="E7" s="17" t="s">
        <v>608</v>
      </c>
      <c r="F7" s="11">
        <v>3</v>
      </c>
      <c r="G7" s="11" t="s">
        <v>43</v>
      </c>
      <c r="H7" s="6"/>
    </row>
    <row r="8" s="1" customFormat="1" ht="135" customHeight="1" spans="1:8">
      <c r="A8" s="11">
        <v>6</v>
      </c>
      <c r="B8" s="11" t="s">
        <v>609</v>
      </c>
      <c r="C8" s="12"/>
      <c r="D8" s="11" t="s">
        <v>610</v>
      </c>
      <c r="E8" s="17" t="s">
        <v>611</v>
      </c>
      <c r="F8" s="11">
        <v>1</v>
      </c>
      <c r="G8" s="11" t="s">
        <v>37</v>
      </c>
      <c r="H8" s="6"/>
    </row>
    <row r="9" s="1" customFormat="1" ht="216" customHeight="1" spans="1:8">
      <c r="A9" s="11">
        <v>7</v>
      </c>
      <c r="B9" s="11" t="s">
        <v>612</v>
      </c>
      <c r="C9" s="12"/>
      <c r="D9" s="11" t="s">
        <v>613</v>
      </c>
      <c r="E9" s="17" t="s">
        <v>600</v>
      </c>
      <c r="F9" s="11">
        <v>2</v>
      </c>
      <c r="G9" s="11" t="s">
        <v>54</v>
      </c>
      <c r="H9" s="6"/>
    </row>
    <row r="10" s="1" customFormat="1" ht="123" customHeight="1" spans="1:8">
      <c r="A10" s="11">
        <v>8</v>
      </c>
      <c r="B10" s="11" t="s">
        <v>614</v>
      </c>
      <c r="C10" s="12"/>
      <c r="D10" s="11" t="s">
        <v>615</v>
      </c>
      <c r="E10" s="17" t="s">
        <v>616</v>
      </c>
      <c r="F10" s="11">
        <v>20</v>
      </c>
      <c r="G10" s="11" t="s">
        <v>43</v>
      </c>
      <c r="H10" s="6"/>
    </row>
    <row r="11" s="1" customFormat="1" ht="128" customHeight="1" spans="1:8">
      <c r="A11" s="11">
        <v>9</v>
      </c>
      <c r="B11" s="11" t="s">
        <v>617</v>
      </c>
      <c r="C11" s="12"/>
      <c r="D11" s="11" t="s">
        <v>618</v>
      </c>
      <c r="E11" s="18" t="s">
        <v>619</v>
      </c>
      <c r="F11" s="11">
        <v>2</v>
      </c>
      <c r="G11" s="11" t="s">
        <v>43</v>
      </c>
      <c r="H11" s="6"/>
    </row>
    <row r="12" s="1" customFormat="1" ht="75" customHeight="1" spans="1:8">
      <c r="A12" s="11">
        <v>10</v>
      </c>
      <c r="B12" s="11" t="s">
        <v>620</v>
      </c>
      <c r="C12" s="12"/>
      <c r="D12" s="11" t="s">
        <v>621</v>
      </c>
      <c r="E12" s="18" t="s">
        <v>622</v>
      </c>
      <c r="F12" s="11">
        <v>1</v>
      </c>
      <c r="G12" s="11" t="s">
        <v>37</v>
      </c>
      <c r="H12" s="6"/>
    </row>
    <row r="13" s="1" customFormat="1" ht="162" customHeight="1" spans="1:8">
      <c r="A13" s="11">
        <v>11</v>
      </c>
      <c r="B13" s="11" t="s">
        <v>623</v>
      </c>
      <c r="C13" s="12"/>
      <c r="D13" s="11" t="s">
        <v>624</v>
      </c>
      <c r="E13" s="18" t="s">
        <v>625</v>
      </c>
      <c r="F13" s="11">
        <v>1</v>
      </c>
      <c r="G13" s="11" t="s">
        <v>54</v>
      </c>
      <c r="H13" s="6"/>
    </row>
    <row r="14" s="1" customFormat="1" ht="87" customHeight="1" spans="1:9">
      <c r="A14" s="11">
        <v>12</v>
      </c>
      <c r="B14" s="13" t="s">
        <v>626</v>
      </c>
      <c r="C14" s="14"/>
      <c r="D14" s="11" t="s">
        <v>627</v>
      </c>
      <c r="E14" s="18" t="s">
        <v>628</v>
      </c>
      <c r="F14" s="11">
        <v>1</v>
      </c>
      <c r="G14" s="11" t="s">
        <v>54</v>
      </c>
      <c r="H14" s="6"/>
      <c r="I14" s="24"/>
    </row>
    <row r="15" s="1" customFormat="1" ht="75" customHeight="1" spans="1:8">
      <c r="A15" s="11">
        <v>13</v>
      </c>
      <c r="B15" s="11" t="s">
        <v>629</v>
      </c>
      <c r="C15" s="10"/>
      <c r="D15" s="11" t="s">
        <v>630</v>
      </c>
      <c r="E15" s="18" t="s">
        <v>631</v>
      </c>
      <c r="F15" s="11">
        <v>3</v>
      </c>
      <c r="G15" s="11" t="s">
        <v>47</v>
      </c>
      <c r="H15" s="6"/>
    </row>
    <row r="16" s="1" customFormat="1" ht="87" customHeight="1" spans="1:8">
      <c r="A16" s="11">
        <v>14</v>
      </c>
      <c r="B16" s="11" t="s">
        <v>632</v>
      </c>
      <c r="C16" s="12"/>
      <c r="D16" s="11" t="s">
        <v>633</v>
      </c>
      <c r="E16" s="18" t="s">
        <v>634</v>
      </c>
      <c r="F16" s="11">
        <v>9</v>
      </c>
      <c r="G16" s="11" t="s">
        <v>54</v>
      </c>
      <c r="H16" s="6"/>
    </row>
    <row r="17" s="1" customFormat="1" ht="124" customHeight="1" spans="1:9">
      <c r="A17" s="11">
        <v>15</v>
      </c>
      <c r="B17" s="11" t="s">
        <v>635</v>
      </c>
      <c r="C17" s="12"/>
      <c r="D17" s="11" t="s">
        <v>636</v>
      </c>
      <c r="E17" s="19" t="s">
        <v>637</v>
      </c>
      <c r="F17" s="11">
        <v>1</v>
      </c>
      <c r="G17" s="11" t="s">
        <v>54</v>
      </c>
      <c r="H17" s="6"/>
      <c r="I17" s="24"/>
    </row>
    <row r="18" s="1" customFormat="1" ht="97" customHeight="1" spans="1:8">
      <c r="A18" s="11">
        <v>16</v>
      </c>
      <c r="B18" s="11" t="s">
        <v>632</v>
      </c>
      <c r="C18" s="12"/>
      <c r="D18" s="11" t="s">
        <v>633</v>
      </c>
      <c r="E18" s="18" t="s">
        <v>634</v>
      </c>
      <c r="F18" s="11">
        <v>1</v>
      </c>
      <c r="G18" s="11" t="s">
        <v>54</v>
      </c>
      <c r="H18" s="6"/>
    </row>
    <row r="19" s="1" customFormat="1" ht="78" customHeight="1" spans="1:8">
      <c r="A19" s="11">
        <v>17</v>
      </c>
      <c r="B19" s="11" t="s">
        <v>638</v>
      </c>
      <c r="C19" s="14"/>
      <c r="D19" s="11" t="s">
        <v>639</v>
      </c>
      <c r="E19" s="18" t="s">
        <v>640</v>
      </c>
      <c r="F19" s="11">
        <v>5</v>
      </c>
      <c r="G19" s="11" t="s">
        <v>209</v>
      </c>
      <c r="H19" s="6"/>
    </row>
    <row r="20" s="1" customFormat="1" ht="51" customHeight="1" spans="1:8">
      <c r="A20" s="11">
        <v>18</v>
      </c>
      <c r="B20" s="11" t="s">
        <v>641</v>
      </c>
      <c r="C20" s="10"/>
      <c r="D20" s="11" t="s">
        <v>353</v>
      </c>
      <c r="E20" s="18" t="s">
        <v>642</v>
      </c>
      <c r="F20" s="11">
        <v>7</v>
      </c>
      <c r="G20" s="11" t="s">
        <v>43</v>
      </c>
      <c r="H20" s="6"/>
    </row>
    <row r="21" s="1" customFormat="1" ht="77" customHeight="1" spans="1:8">
      <c r="A21" s="11">
        <v>19</v>
      </c>
      <c r="B21" s="11" t="s">
        <v>643</v>
      </c>
      <c r="C21" s="12"/>
      <c r="D21" s="11" t="s">
        <v>644</v>
      </c>
      <c r="E21" s="18" t="s">
        <v>645</v>
      </c>
      <c r="F21" s="11">
        <v>2</v>
      </c>
      <c r="G21" s="11" t="s">
        <v>47</v>
      </c>
      <c r="H21" s="6"/>
    </row>
    <row r="22" s="1" customFormat="1" ht="124" customHeight="1" spans="1:8">
      <c r="A22" s="11">
        <v>20</v>
      </c>
      <c r="B22" s="11" t="s">
        <v>646</v>
      </c>
      <c r="C22" s="12"/>
      <c r="D22" s="11" t="s">
        <v>353</v>
      </c>
      <c r="E22" s="18" t="s">
        <v>647</v>
      </c>
      <c r="F22" s="11">
        <v>4</v>
      </c>
      <c r="G22" s="11" t="s">
        <v>43</v>
      </c>
      <c r="H22" s="6"/>
    </row>
    <row r="23" s="1" customFormat="1" ht="103" customHeight="1" spans="1:8">
      <c r="A23" s="11">
        <v>21</v>
      </c>
      <c r="B23" s="11" t="s">
        <v>648</v>
      </c>
      <c r="C23" s="12"/>
      <c r="D23" s="11" t="s">
        <v>353</v>
      </c>
      <c r="E23" s="18" t="s">
        <v>649</v>
      </c>
      <c r="F23" s="11">
        <v>4</v>
      </c>
      <c r="G23" s="11" t="s">
        <v>43</v>
      </c>
      <c r="H23" s="6"/>
    </row>
    <row r="24" s="1" customFormat="1" ht="108" customHeight="1" spans="1:8">
      <c r="A24" s="11">
        <v>22</v>
      </c>
      <c r="B24" s="11" t="s">
        <v>650</v>
      </c>
      <c r="C24" s="12"/>
      <c r="D24" s="11" t="s">
        <v>651</v>
      </c>
      <c r="E24" s="18" t="s">
        <v>652</v>
      </c>
      <c r="F24" s="11">
        <v>1</v>
      </c>
      <c r="G24" s="11" t="s">
        <v>54</v>
      </c>
      <c r="H24" s="6"/>
    </row>
    <row r="25" s="1" customFormat="1" ht="150" customHeight="1" spans="1:8">
      <c r="A25" s="11">
        <v>23</v>
      </c>
      <c r="B25" s="11" t="s">
        <v>653</v>
      </c>
      <c r="C25" s="12"/>
      <c r="D25" s="11" t="s">
        <v>654</v>
      </c>
      <c r="E25" s="20" t="s">
        <v>655</v>
      </c>
      <c r="F25" s="21">
        <v>1</v>
      </c>
      <c r="G25" s="21" t="s">
        <v>37</v>
      </c>
      <c r="H25" s="6"/>
    </row>
    <row r="26" s="1" customFormat="1" ht="120" customHeight="1" spans="1:8">
      <c r="A26" s="11">
        <v>24</v>
      </c>
      <c r="B26" s="11" t="s">
        <v>656</v>
      </c>
      <c r="C26" s="12"/>
      <c r="D26" s="11" t="s">
        <v>657</v>
      </c>
      <c r="E26" s="17" t="s">
        <v>658</v>
      </c>
      <c r="F26" s="21">
        <v>6</v>
      </c>
      <c r="G26" s="21" t="s">
        <v>37</v>
      </c>
      <c r="H26" s="6"/>
    </row>
    <row r="27" s="1" customFormat="1" ht="127" customHeight="1" spans="1:8">
      <c r="A27" s="11">
        <v>25</v>
      </c>
      <c r="B27" s="11" t="s">
        <v>659</v>
      </c>
      <c r="C27" s="12"/>
      <c r="D27" s="11" t="s">
        <v>660</v>
      </c>
      <c r="E27" s="17" t="s">
        <v>658</v>
      </c>
      <c r="F27" s="11">
        <v>2</v>
      </c>
      <c r="G27" s="11" t="s">
        <v>43</v>
      </c>
      <c r="H27" s="6"/>
    </row>
    <row r="28" s="1" customFormat="1" ht="219" customHeight="1" spans="1:8">
      <c r="A28" s="11">
        <v>26</v>
      </c>
      <c r="B28" s="11" t="s">
        <v>661</v>
      </c>
      <c r="C28" s="12"/>
      <c r="D28" s="11" t="s">
        <v>662</v>
      </c>
      <c r="E28" s="20" t="s">
        <v>663</v>
      </c>
      <c r="F28" s="11">
        <v>2</v>
      </c>
      <c r="G28" s="11" t="s">
        <v>209</v>
      </c>
      <c r="H28" s="6"/>
    </row>
    <row r="29" s="1" customFormat="1" ht="111" customHeight="1" spans="1:8">
      <c r="A29" s="11">
        <v>27</v>
      </c>
      <c r="B29" s="11" t="s">
        <v>664</v>
      </c>
      <c r="C29" s="12"/>
      <c r="D29" s="11" t="s">
        <v>665</v>
      </c>
      <c r="E29" s="17" t="s">
        <v>666</v>
      </c>
      <c r="F29" s="11">
        <v>1</v>
      </c>
      <c r="G29" s="11" t="s">
        <v>37</v>
      </c>
      <c r="H29" s="6"/>
    </row>
    <row r="30" s="1" customFormat="1" ht="84" customHeight="1" spans="1:8">
      <c r="A30" s="11">
        <v>28</v>
      </c>
      <c r="B30" s="11" t="s">
        <v>121</v>
      </c>
      <c r="C30" s="12"/>
      <c r="D30" s="11" t="s">
        <v>563</v>
      </c>
      <c r="E30" s="17" t="s">
        <v>667</v>
      </c>
      <c r="F30" s="11">
        <v>2</v>
      </c>
      <c r="G30" s="11" t="s">
        <v>47</v>
      </c>
      <c r="H30" s="6"/>
    </row>
    <row r="31" s="1" customFormat="1" ht="104" customHeight="1" spans="1:8">
      <c r="A31" s="11">
        <v>29</v>
      </c>
      <c r="B31" s="11" t="s">
        <v>467</v>
      </c>
      <c r="C31" s="12"/>
      <c r="D31" s="11" t="s">
        <v>668</v>
      </c>
      <c r="E31" s="17" t="s">
        <v>666</v>
      </c>
      <c r="F31" s="11">
        <v>2</v>
      </c>
      <c r="G31" s="11" t="s">
        <v>47</v>
      </c>
      <c r="H31" s="6"/>
    </row>
    <row r="32" s="1" customFormat="1" ht="147" customHeight="1" spans="1:8">
      <c r="A32" s="11">
        <v>30</v>
      </c>
      <c r="B32" s="11" t="s">
        <v>669</v>
      </c>
      <c r="C32" s="12"/>
      <c r="D32" s="11" t="s">
        <v>670</v>
      </c>
      <c r="E32" s="22" t="s">
        <v>671</v>
      </c>
      <c r="F32" s="11">
        <v>1</v>
      </c>
      <c r="G32" s="11" t="s">
        <v>54</v>
      </c>
      <c r="H32" s="6"/>
    </row>
    <row r="33" s="1" customFormat="1" ht="88" customHeight="1" spans="1:8">
      <c r="A33" s="11">
        <v>31</v>
      </c>
      <c r="B33" s="11" t="s">
        <v>672</v>
      </c>
      <c r="C33" s="12"/>
      <c r="D33" s="11" t="s">
        <v>353</v>
      </c>
      <c r="E33" s="18" t="s">
        <v>673</v>
      </c>
      <c r="F33" s="11">
        <v>12</v>
      </c>
      <c r="G33" s="11" t="s">
        <v>37</v>
      </c>
      <c r="H33" s="6"/>
    </row>
    <row r="34" s="1" customFormat="1" ht="214" customHeight="1" spans="1:8">
      <c r="A34" s="11">
        <v>32</v>
      </c>
      <c r="B34" s="11" t="s">
        <v>674</v>
      </c>
      <c r="C34" s="12"/>
      <c r="D34" s="11" t="s">
        <v>675</v>
      </c>
      <c r="E34" s="17" t="s">
        <v>600</v>
      </c>
      <c r="F34" s="11">
        <v>2</v>
      </c>
      <c r="G34" s="11" t="s">
        <v>209</v>
      </c>
      <c r="H34" s="6"/>
    </row>
    <row r="35" s="1" customFormat="1" ht="91" customHeight="1" spans="1:8">
      <c r="A35" s="11">
        <v>33</v>
      </c>
      <c r="B35" s="11" t="s">
        <v>676</v>
      </c>
      <c r="C35" s="12"/>
      <c r="D35" s="11" t="s">
        <v>644</v>
      </c>
      <c r="E35" s="17" t="s">
        <v>677</v>
      </c>
      <c r="F35" s="11">
        <v>1</v>
      </c>
      <c r="G35" s="11" t="s">
        <v>209</v>
      </c>
      <c r="H35" s="6"/>
    </row>
    <row r="36" s="1" customFormat="1" ht="106" customHeight="1" spans="1:8">
      <c r="A36" s="11">
        <v>34</v>
      </c>
      <c r="B36" s="11" t="s">
        <v>678</v>
      </c>
      <c r="C36" s="12"/>
      <c r="D36" s="11" t="s">
        <v>644</v>
      </c>
      <c r="E36" s="17" t="s">
        <v>677</v>
      </c>
      <c r="F36" s="11">
        <v>1</v>
      </c>
      <c r="G36" s="11" t="s">
        <v>209</v>
      </c>
      <c r="H36" s="6"/>
    </row>
    <row r="37" s="1" customFormat="1" ht="129" customHeight="1" spans="1:8">
      <c r="A37" s="11">
        <v>35</v>
      </c>
      <c r="B37" s="11" t="s">
        <v>679</v>
      </c>
      <c r="C37" s="12"/>
      <c r="D37" s="11" t="s">
        <v>651</v>
      </c>
      <c r="E37" s="17" t="s">
        <v>680</v>
      </c>
      <c r="F37" s="11">
        <v>4</v>
      </c>
      <c r="G37" s="11" t="s">
        <v>209</v>
      </c>
      <c r="H37" s="6"/>
    </row>
  </sheetData>
  <mergeCells count="5">
    <mergeCell ref="A1:H1"/>
    <mergeCell ref="C14:C15"/>
    <mergeCell ref="C19:C20"/>
    <mergeCell ref="C29:C31"/>
    <mergeCell ref="C32:C33"/>
  </mergeCells>
  <pageMargins left="0.251388888888889" right="0.251388888888889" top="0.751388888888889" bottom="0.751388888888889" header="0.298611111111111" footer="0.298611111111111"/>
  <pageSetup paperSize="9" scale="68" fitToHeight="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106"/>
  <sheetViews>
    <sheetView view="pageBreakPreview" zoomScaleNormal="70" workbookViewId="0">
      <pane ySplit="2" topLeftCell="A3" activePane="bottomLeft" state="frozen"/>
      <selection/>
      <selection pane="bottomLeft" activeCell="K96" sqref="K96"/>
    </sheetView>
  </sheetViews>
  <sheetFormatPr defaultColWidth="9" defaultRowHeight="16.8" outlineLevelCol="7"/>
  <cols>
    <col min="1" max="1" width="5.25" customWidth="1"/>
    <col min="2" max="2" width="12.3846153846154" customWidth="1"/>
    <col min="3" max="3" width="25" customWidth="1"/>
    <col min="4" max="4" width="18.3653846153846" style="115" customWidth="1"/>
    <col min="5" max="5" width="69.5" customWidth="1"/>
    <col min="6" max="6" width="5.38461538461539" style="115" customWidth="1"/>
    <col min="7" max="7" width="6.63461538461539" customWidth="1"/>
    <col min="8" max="8" width="8.02884615384615" style="115" customWidth="1"/>
  </cols>
  <sheetData>
    <row r="1" ht="40" customHeight="1" spans="1:8">
      <c r="A1" s="116" t="s">
        <v>25</v>
      </c>
      <c r="B1" s="117"/>
      <c r="C1" s="117"/>
      <c r="D1" s="117"/>
      <c r="E1" s="117"/>
      <c r="F1" s="117"/>
      <c r="G1" s="117"/>
      <c r="H1" s="117"/>
    </row>
    <row r="2" s="86" customFormat="1" ht="32" customHeight="1" spans="1:8">
      <c r="A2" s="91" t="s">
        <v>1</v>
      </c>
      <c r="B2" s="91" t="s">
        <v>26</v>
      </c>
      <c r="C2" s="91" t="s">
        <v>27</v>
      </c>
      <c r="D2" s="91" t="s">
        <v>28</v>
      </c>
      <c r="E2" s="91" t="s">
        <v>29</v>
      </c>
      <c r="F2" s="91" t="s">
        <v>30</v>
      </c>
      <c r="G2" s="91" t="s">
        <v>31</v>
      </c>
      <c r="H2" s="91" t="s">
        <v>4</v>
      </c>
    </row>
    <row r="3" ht="26" customHeight="1" spans="1:8">
      <c r="A3" s="129" t="s">
        <v>32</v>
      </c>
      <c r="B3" s="129"/>
      <c r="C3" s="129"/>
      <c r="D3" s="165"/>
      <c r="E3" s="175"/>
      <c r="F3" s="165"/>
      <c r="G3" s="175"/>
      <c r="H3" s="165"/>
    </row>
    <row r="4" ht="18" customHeight="1" spans="1:8">
      <c r="A4" s="166" t="s">
        <v>33</v>
      </c>
      <c r="B4" s="166"/>
      <c r="C4" s="166"/>
      <c r="D4" s="167"/>
      <c r="E4" s="110"/>
      <c r="F4" s="93"/>
      <c r="G4" s="93"/>
      <c r="H4" s="93"/>
    </row>
    <row r="5" ht="125" customHeight="1" spans="1:8">
      <c r="A5" s="119">
        <f>SUBTOTAL(103,$D$4:D5)</f>
        <v>1</v>
      </c>
      <c r="B5" s="66" t="s">
        <v>34</v>
      </c>
      <c r="C5" s="66" t="str">
        <f>_xlfn.DISPIMG("ID_1AF8060111EE4D1E874C743DCF390AF4",1)</f>
        <v>=DISPIMG("ID_1AF8060111EE4D1E874C743DCF390AF4",1)</v>
      </c>
      <c r="D5" s="66" t="s">
        <v>35</v>
      </c>
      <c r="E5" s="20" t="s">
        <v>36</v>
      </c>
      <c r="F5" s="99">
        <v>1</v>
      </c>
      <c r="G5" s="66" t="s">
        <v>37</v>
      </c>
      <c r="H5" s="99"/>
    </row>
    <row r="6" ht="139" customHeight="1" spans="1:8">
      <c r="A6" s="119">
        <f>SUBTOTAL(103,$D$4:D6)</f>
        <v>2</v>
      </c>
      <c r="B6" s="66" t="s">
        <v>38</v>
      </c>
      <c r="C6" s="66" t="str">
        <f>_xlfn.DISPIMG("ID_FC3629425EA24421912C5D99C8739464",1)</f>
        <v>=DISPIMG("ID_FC3629425EA24421912C5D99C8739464",1)</v>
      </c>
      <c r="D6" s="66" t="s">
        <v>39</v>
      </c>
      <c r="E6" s="20" t="s">
        <v>36</v>
      </c>
      <c r="F6" s="99">
        <v>12</v>
      </c>
      <c r="G6" s="66" t="s">
        <v>37</v>
      </c>
      <c r="H6" s="99"/>
    </row>
    <row r="7" ht="122" customHeight="1" spans="1:8">
      <c r="A7" s="168">
        <f>SUBTOTAL(103,$D$4:D7)</f>
        <v>3</v>
      </c>
      <c r="B7" s="95" t="s">
        <v>40</v>
      </c>
      <c r="C7" s="122" t="str">
        <f>_xlfn.DISPIMG("ID_14FB7C94A0454FE1B63301D46A479603",1)</f>
        <v>=DISPIMG("ID_14FB7C94A0454FE1B63301D46A479603",1)</v>
      </c>
      <c r="D7" s="99" t="s">
        <v>41</v>
      </c>
      <c r="E7" s="20" t="s">
        <v>42</v>
      </c>
      <c r="F7" s="99">
        <v>50</v>
      </c>
      <c r="G7" s="99" t="s">
        <v>43</v>
      </c>
      <c r="H7" s="99"/>
    </row>
    <row r="8" ht="147" customHeight="1" spans="1:8">
      <c r="A8" s="119">
        <f>SUBTOTAL(103,$D$4:D8)</f>
        <v>4</v>
      </c>
      <c r="B8" s="99" t="s">
        <v>44</v>
      </c>
      <c r="C8" s="120" t="str">
        <f>_xlfn.DISPIMG("ID_A2CC55CC2BC6487D86D746E8C4ED4669",1)</f>
        <v>=DISPIMG("ID_A2CC55CC2BC6487D86D746E8C4ED4669",1)</v>
      </c>
      <c r="D8" s="99" t="s">
        <v>45</v>
      </c>
      <c r="E8" s="20" t="s">
        <v>46</v>
      </c>
      <c r="F8" s="99">
        <v>1</v>
      </c>
      <c r="G8" s="99" t="s">
        <v>47</v>
      </c>
      <c r="H8" s="99"/>
    </row>
    <row r="9" ht="18" customHeight="1" spans="1:8">
      <c r="A9" s="101" t="s">
        <v>48</v>
      </c>
      <c r="B9" s="101"/>
      <c r="C9" s="101"/>
      <c r="D9" s="102"/>
      <c r="E9" s="110"/>
      <c r="F9" s="93"/>
      <c r="G9" s="93"/>
      <c r="H9" s="93"/>
    </row>
    <row r="10" ht="142" customHeight="1" spans="1:8">
      <c r="A10" s="119">
        <f>SUBTOTAL(103,$D$4:D10)</f>
        <v>5</v>
      </c>
      <c r="B10" s="99" t="s">
        <v>49</v>
      </c>
      <c r="C10" s="95" t="str">
        <f>_xlfn.DISPIMG("ID_E60AD5D1074642ABB5AF532398A2CB9B",1)</f>
        <v>=DISPIMG("ID_E60AD5D1074642ABB5AF532398A2CB9B",1)</v>
      </c>
      <c r="D10" s="95" t="s">
        <v>50</v>
      </c>
      <c r="E10" s="20" t="s">
        <v>51</v>
      </c>
      <c r="F10" s="99">
        <v>1</v>
      </c>
      <c r="G10" s="99" t="s">
        <v>37</v>
      </c>
      <c r="H10" s="99"/>
    </row>
    <row r="11" ht="27" customHeight="1" spans="1:8">
      <c r="A11" s="119">
        <f>SUBTOTAL(103,$D$4:D11)</f>
        <v>6</v>
      </c>
      <c r="B11" s="169" t="s">
        <v>52</v>
      </c>
      <c r="C11" s="169" t="str">
        <f>_xlfn.DISPIMG("ID_2022F3C21734420D96C70BCE3D02BCA5",1)</f>
        <v>=DISPIMG("ID_2022F3C21734420D96C70BCE3D02BCA5",1)</v>
      </c>
      <c r="D11" s="95" t="s">
        <v>53</v>
      </c>
      <c r="E11" s="176" t="s">
        <v>36</v>
      </c>
      <c r="F11" s="99">
        <v>2</v>
      </c>
      <c r="G11" s="99" t="s">
        <v>54</v>
      </c>
      <c r="H11" s="99"/>
    </row>
    <row r="12" ht="32" customHeight="1" spans="1:8">
      <c r="A12" s="119">
        <f>SUBTOTAL(103,$D$4:D12)</f>
        <v>7</v>
      </c>
      <c r="B12" s="170"/>
      <c r="C12" s="170"/>
      <c r="D12" s="95" t="s">
        <v>55</v>
      </c>
      <c r="E12" s="177"/>
      <c r="F12" s="99">
        <v>2</v>
      </c>
      <c r="G12" s="99" t="s">
        <v>54</v>
      </c>
      <c r="H12" s="99"/>
    </row>
    <row r="13" ht="29" customHeight="1" spans="1:8">
      <c r="A13" s="119">
        <f>SUBTOTAL(103,$D$4:D13)</f>
        <v>8</v>
      </c>
      <c r="B13" s="170"/>
      <c r="C13" s="170"/>
      <c r="D13" s="95" t="s">
        <v>56</v>
      </c>
      <c r="E13" s="177"/>
      <c r="F13" s="99">
        <v>2</v>
      </c>
      <c r="G13" s="99" t="s">
        <v>54</v>
      </c>
      <c r="H13" s="99"/>
    </row>
    <row r="14" customFormat="1" ht="28" customHeight="1" spans="1:8">
      <c r="A14" s="119">
        <f>SUBTOTAL(103,$D$4:D14)</f>
        <v>9</v>
      </c>
      <c r="B14" s="170"/>
      <c r="C14" s="170"/>
      <c r="D14" s="95" t="s">
        <v>57</v>
      </c>
      <c r="E14" s="177"/>
      <c r="F14" s="99">
        <v>2</v>
      </c>
      <c r="G14" s="99" t="s">
        <v>54</v>
      </c>
      <c r="H14" s="99"/>
    </row>
    <row r="15" ht="31" customHeight="1" spans="1:8">
      <c r="A15" s="119">
        <f>SUBTOTAL(103,$D$4:D15)</f>
        <v>10</v>
      </c>
      <c r="B15" s="171"/>
      <c r="C15" s="171"/>
      <c r="D15" s="95" t="s">
        <v>58</v>
      </c>
      <c r="E15" s="178"/>
      <c r="F15" s="99">
        <v>2</v>
      </c>
      <c r="G15" s="99" t="s">
        <v>54</v>
      </c>
      <c r="H15" s="99"/>
    </row>
    <row r="16" customFormat="1" ht="123" customHeight="1" spans="1:8">
      <c r="A16" s="119">
        <f>SUBTOTAL(103,$D$4:D16)</f>
        <v>11</v>
      </c>
      <c r="B16" s="95" t="s">
        <v>40</v>
      </c>
      <c r="C16" s="122" t="str">
        <f>_xlfn.DISPIMG("ID_F600E5D97E3D4CCD8B3673777672CF5A",1)</f>
        <v>=DISPIMG("ID_F600E5D97E3D4CCD8B3673777672CF5A",1)</v>
      </c>
      <c r="D16" s="99" t="s">
        <v>41</v>
      </c>
      <c r="E16" s="20" t="s">
        <v>42</v>
      </c>
      <c r="F16" s="99">
        <v>100</v>
      </c>
      <c r="G16" s="99" t="s">
        <v>43</v>
      </c>
      <c r="H16" s="99"/>
    </row>
    <row r="17" customFormat="1" ht="146" customHeight="1" spans="1:8">
      <c r="A17" s="119">
        <f>SUBTOTAL(103,$D$4:D17)</f>
        <v>12</v>
      </c>
      <c r="B17" s="99" t="s">
        <v>44</v>
      </c>
      <c r="C17" s="120" t="str">
        <f>_xlfn.DISPIMG("ID_1C0961B0F3E946AA9AD6CE6174337180",1)</f>
        <v>=DISPIMG("ID_1C0961B0F3E946AA9AD6CE6174337180",1)</v>
      </c>
      <c r="D17" s="99" t="s">
        <v>45</v>
      </c>
      <c r="E17" s="20" t="s">
        <v>46</v>
      </c>
      <c r="F17" s="99">
        <v>1</v>
      </c>
      <c r="G17" s="99" t="s">
        <v>47</v>
      </c>
      <c r="H17" s="99"/>
    </row>
    <row r="18" customFormat="1" ht="18" customHeight="1" spans="1:8">
      <c r="A18" s="101" t="s">
        <v>59</v>
      </c>
      <c r="B18" s="101"/>
      <c r="C18" s="101"/>
      <c r="D18" s="102"/>
      <c r="E18" s="110"/>
      <c r="F18" s="93"/>
      <c r="G18" s="93"/>
      <c r="H18" s="93"/>
    </row>
    <row r="19" customFormat="1" ht="126" customHeight="1" spans="1:8">
      <c r="A19" s="119">
        <f>SUBTOTAL(103,$D$5:D19)</f>
        <v>13</v>
      </c>
      <c r="B19" s="66" t="s">
        <v>60</v>
      </c>
      <c r="C19" s="66" t="str">
        <f>_xlfn.DISPIMG("ID_C98BD9A75F6B455C8B9C94A8C7A63A65",1)</f>
        <v>=DISPIMG("ID_C98BD9A75F6B455C8B9C94A8C7A63A65",1)</v>
      </c>
      <c r="D19" s="99" t="s">
        <v>61</v>
      </c>
      <c r="E19" s="20" t="s">
        <v>36</v>
      </c>
      <c r="F19" s="99">
        <v>1</v>
      </c>
      <c r="G19" s="99" t="s">
        <v>37</v>
      </c>
      <c r="H19" s="99"/>
    </row>
    <row r="20" customFormat="1" ht="121" customHeight="1" spans="1:8">
      <c r="A20" s="119">
        <f>SUBTOTAL(103,$D$5:D20)</f>
        <v>14</v>
      </c>
      <c r="B20" s="95" t="s">
        <v>40</v>
      </c>
      <c r="C20" s="122" t="str">
        <f>_xlfn.DISPIMG("ID_90A4E7F8593A4A5884E97FE5F9E0F04D",1)</f>
        <v>=DISPIMG("ID_90A4E7F8593A4A5884E97FE5F9E0F04D",1)</v>
      </c>
      <c r="D20" s="99" t="s">
        <v>41</v>
      </c>
      <c r="E20" s="20" t="s">
        <v>42</v>
      </c>
      <c r="F20" s="99">
        <v>10</v>
      </c>
      <c r="G20" s="99" t="s">
        <v>43</v>
      </c>
      <c r="H20" s="99"/>
    </row>
    <row r="21" customFormat="1" ht="140" customHeight="1" spans="1:8">
      <c r="A21" s="119">
        <f>SUBTOTAL(103,$D$5:D21)</f>
        <v>15</v>
      </c>
      <c r="B21" s="99" t="s">
        <v>62</v>
      </c>
      <c r="C21" s="120" t="str">
        <f>_xlfn.DISPIMG("ID_E196CEE8D7F84E38B4C083EBA2AC4AC7",1)</f>
        <v>=DISPIMG("ID_E196CEE8D7F84E38B4C083EBA2AC4AC7",1)</v>
      </c>
      <c r="D21" s="99" t="s">
        <v>63</v>
      </c>
      <c r="E21" s="20" t="s">
        <v>64</v>
      </c>
      <c r="F21" s="99">
        <v>1</v>
      </c>
      <c r="G21" s="99" t="s">
        <v>47</v>
      </c>
      <c r="H21" s="99"/>
    </row>
    <row r="22" ht="18" customHeight="1" spans="1:8">
      <c r="A22" s="166" t="s">
        <v>65</v>
      </c>
      <c r="B22" s="166"/>
      <c r="C22" s="166"/>
      <c r="D22" s="93"/>
      <c r="E22" s="110"/>
      <c r="F22" s="93"/>
      <c r="G22" s="93"/>
      <c r="H22" s="93"/>
    </row>
    <row r="23" ht="131" customHeight="1" spans="1:8">
      <c r="A23" s="119">
        <f>SUBTOTAL(103,$D$4:D23)</f>
        <v>16</v>
      </c>
      <c r="B23" s="99" t="s">
        <v>66</v>
      </c>
      <c r="C23" s="120" t="str">
        <f>_xlfn.DISPIMG("ID_D781D26B992945ABBE267217E9E63DFD",1)</f>
        <v>=DISPIMG("ID_D781D26B992945ABBE267217E9E63DFD",1)</v>
      </c>
      <c r="D23" s="99" t="s">
        <v>67</v>
      </c>
      <c r="E23" s="108" t="s">
        <v>68</v>
      </c>
      <c r="F23" s="99">
        <v>9</v>
      </c>
      <c r="G23" s="99" t="s">
        <v>37</v>
      </c>
      <c r="H23" s="151"/>
    </row>
    <row r="24" ht="171" customHeight="1" spans="1:8">
      <c r="A24" s="119">
        <f>SUBTOTAL(103,$D$4:D24)</f>
        <v>17</v>
      </c>
      <c r="B24" s="95" t="s">
        <v>69</v>
      </c>
      <c r="C24" s="120" t="str">
        <f>_xlfn.DISPIMG("ID_638056FD184240C6987BEE9C5A62B707",1)</f>
        <v>=DISPIMG("ID_638056FD184240C6987BEE9C5A62B707",1)</v>
      </c>
      <c r="D24" s="95" t="s">
        <v>70</v>
      </c>
      <c r="E24" s="20" t="s">
        <v>71</v>
      </c>
      <c r="F24" s="99">
        <v>9</v>
      </c>
      <c r="G24" s="99" t="s">
        <v>37</v>
      </c>
      <c r="H24" s="123"/>
    </row>
    <row r="25" ht="129" customHeight="1" spans="1:8">
      <c r="A25" s="119">
        <f>SUBTOTAL(103,$D$4:D25)</f>
        <v>18</v>
      </c>
      <c r="B25" s="99" t="s">
        <v>72</v>
      </c>
      <c r="C25" s="120" t="str">
        <f>_xlfn.DISPIMG("ID_9C5EB9E71FFF4035BF5FD3E16F305787",1)</f>
        <v>=DISPIMG("ID_9C5EB9E71FFF4035BF5FD3E16F305787",1)</v>
      </c>
      <c r="D25" s="99" t="s">
        <v>73</v>
      </c>
      <c r="E25" s="108" t="s">
        <v>74</v>
      </c>
      <c r="F25" s="99">
        <v>9</v>
      </c>
      <c r="G25" s="99" t="s">
        <v>47</v>
      </c>
      <c r="H25" s="151"/>
    </row>
    <row r="26" ht="121" customHeight="1" spans="1:8">
      <c r="A26" s="119">
        <f>SUBTOTAL(103,$D$4:D26)</f>
        <v>19</v>
      </c>
      <c r="B26" s="99" t="s">
        <v>75</v>
      </c>
      <c r="C26" s="120" t="str">
        <f>_xlfn.DISPIMG("ID_85EAAAAF138B4FDD98CD4FF6234EDDD9",1)</f>
        <v>=DISPIMG("ID_85EAAAAF138B4FDD98CD4FF6234EDDD9",1)</v>
      </c>
      <c r="D26" s="99" t="s">
        <v>76</v>
      </c>
      <c r="E26" s="108" t="s">
        <v>74</v>
      </c>
      <c r="F26" s="99">
        <v>3</v>
      </c>
      <c r="G26" s="99" t="s">
        <v>47</v>
      </c>
      <c r="H26" s="99"/>
    </row>
    <row r="27" ht="128" customHeight="1" spans="1:8">
      <c r="A27" s="119">
        <f>SUBTOTAL(103,$D$4:D27)</f>
        <v>20</v>
      </c>
      <c r="B27" s="99" t="s">
        <v>77</v>
      </c>
      <c r="C27" s="120" t="str">
        <f>_xlfn.DISPIMG("ID_1D26ABA0984C45EAB911F9CFDB7264D3",1)</f>
        <v>=DISPIMG("ID_1D26ABA0984C45EAB911F9CFDB7264D3",1)</v>
      </c>
      <c r="D27" s="99" t="s">
        <v>78</v>
      </c>
      <c r="E27" s="108" t="s">
        <v>79</v>
      </c>
      <c r="F27" s="99">
        <v>3</v>
      </c>
      <c r="G27" s="99" t="s">
        <v>47</v>
      </c>
      <c r="H27" s="99"/>
    </row>
    <row r="28" customFormat="1" ht="18" customHeight="1" spans="1:8">
      <c r="A28" s="166" t="s">
        <v>80</v>
      </c>
      <c r="B28" s="166"/>
      <c r="C28" s="166"/>
      <c r="D28" s="93"/>
      <c r="E28" s="110"/>
      <c r="F28" s="93"/>
      <c r="G28" s="93"/>
      <c r="H28" s="93"/>
    </row>
    <row r="29" customFormat="1" ht="127" customHeight="1" spans="1:8">
      <c r="A29" s="119">
        <f>SUBTOTAL(103,$D$4:D29)</f>
        <v>21</v>
      </c>
      <c r="B29" s="95" t="s">
        <v>81</v>
      </c>
      <c r="C29" s="120" t="str">
        <f>_xlfn.DISPIMG("ID_32B00A90CADC46049C415C6909E26C57",1)</f>
        <v>=DISPIMG("ID_32B00A90CADC46049C415C6909E26C57",1)</v>
      </c>
      <c r="D29" s="99" t="s">
        <v>82</v>
      </c>
      <c r="E29" s="108" t="s">
        <v>83</v>
      </c>
      <c r="F29" s="99">
        <v>2</v>
      </c>
      <c r="G29" s="99" t="s">
        <v>37</v>
      </c>
      <c r="H29" s="151"/>
    </row>
    <row r="30" customFormat="1" ht="185" customHeight="1" spans="1:8">
      <c r="A30" s="119">
        <f>SUBTOTAL(103,$D$4:D30)</f>
        <v>22</v>
      </c>
      <c r="B30" s="95" t="s">
        <v>84</v>
      </c>
      <c r="C30" s="120" t="str">
        <f>_xlfn.DISPIMG("ID_54C25D96CD7A42DCA6CA869B93ED28DD",1)</f>
        <v>=DISPIMG("ID_54C25D96CD7A42DCA6CA869B93ED28DD",1)</v>
      </c>
      <c r="D30" s="99" t="s">
        <v>85</v>
      </c>
      <c r="E30" s="20" t="s">
        <v>86</v>
      </c>
      <c r="F30" s="99">
        <v>2</v>
      </c>
      <c r="G30" s="99" t="s">
        <v>43</v>
      </c>
      <c r="H30" s="123"/>
    </row>
    <row r="31" customFormat="1" ht="137" customHeight="1" spans="1:8">
      <c r="A31" s="119">
        <f>SUBTOTAL(103,$D$4:D31)</f>
        <v>23</v>
      </c>
      <c r="B31" s="99" t="s">
        <v>72</v>
      </c>
      <c r="C31" s="120" t="str">
        <f>_xlfn.DISPIMG("ID_54E33787C945458D907210B110F099D0",1)</f>
        <v>=DISPIMG("ID_54E33787C945458D907210B110F099D0",1)</v>
      </c>
      <c r="D31" s="99" t="s">
        <v>73</v>
      </c>
      <c r="E31" s="108" t="s">
        <v>74</v>
      </c>
      <c r="F31" s="99">
        <v>2</v>
      </c>
      <c r="G31" s="99" t="s">
        <v>47</v>
      </c>
      <c r="H31" s="151"/>
    </row>
    <row r="32" customFormat="1" ht="132" customHeight="1" spans="1:8">
      <c r="A32" s="119">
        <f>SUBTOTAL(103,$D$4:D32)</f>
        <v>24</v>
      </c>
      <c r="B32" s="99" t="s">
        <v>75</v>
      </c>
      <c r="C32" s="120" t="str">
        <f>_xlfn.DISPIMG("ID_EBC07C310CF249E38FF406DB2E13458C",1)</f>
        <v>=DISPIMG("ID_EBC07C310CF249E38FF406DB2E13458C",1)</v>
      </c>
      <c r="D32" s="99" t="s">
        <v>76</v>
      </c>
      <c r="E32" s="108" t="s">
        <v>74</v>
      </c>
      <c r="F32" s="99">
        <v>1</v>
      </c>
      <c r="G32" s="99" t="s">
        <v>47</v>
      </c>
      <c r="H32" s="99"/>
    </row>
    <row r="33" customFormat="1" ht="128" customHeight="1" spans="1:8">
      <c r="A33" s="119">
        <f>SUBTOTAL(103,$D$4:D33)</f>
        <v>25</v>
      </c>
      <c r="B33" s="99" t="s">
        <v>77</v>
      </c>
      <c r="C33" s="120" t="str">
        <f>_xlfn.DISPIMG("ID_8D620860316C4232888A5AD421A258ED",1)</f>
        <v>=DISPIMG("ID_8D620860316C4232888A5AD421A258ED",1)</v>
      </c>
      <c r="D33" s="99" t="s">
        <v>78</v>
      </c>
      <c r="E33" s="108" t="s">
        <v>79</v>
      </c>
      <c r="F33" s="99">
        <v>1</v>
      </c>
      <c r="G33" s="99" t="s">
        <v>47</v>
      </c>
      <c r="H33" s="99"/>
    </row>
    <row r="34" customFormat="1" ht="162" customHeight="1" spans="1:8">
      <c r="A34" s="119">
        <f>SUBTOTAL(103,$D$4:D34)</f>
        <v>26</v>
      </c>
      <c r="B34" s="99" t="s">
        <v>87</v>
      </c>
      <c r="C34" s="120" t="str">
        <f>_xlfn.DISPIMG("ID_18360477789A43668FF8C30AADE44F19",1)</f>
        <v>=DISPIMG("ID_18360477789A43668FF8C30AADE44F19",1)</v>
      </c>
      <c r="D34" s="99" t="s">
        <v>88</v>
      </c>
      <c r="E34" s="20" t="s">
        <v>89</v>
      </c>
      <c r="F34" s="99">
        <v>1</v>
      </c>
      <c r="G34" s="99" t="s">
        <v>54</v>
      </c>
      <c r="H34" s="99"/>
    </row>
    <row r="35" customFormat="1" ht="18" customHeight="1" spans="1:8">
      <c r="A35" s="172" t="s">
        <v>90</v>
      </c>
      <c r="B35" s="173"/>
      <c r="C35" s="174"/>
      <c r="D35" s="93"/>
      <c r="E35" s="93"/>
      <c r="F35" s="93"/>
      <c r="G35" s="93"/>
      <c r="H35" s="93"/>
    </row>
    <row r="36" customFormat="1" ht="123" customHeight="1" spans="1:8">
      <c r="A36" s="168">
        <f>SUBTOTAL(103,$D$4:D36)</f>
        <v>27</v>
      </c>
      <c r="B36" s="99" t="s">
        <v>91</v>
      </c>
      <c r="C36" s="99" t="str">
        <f>_xlfn.DISPIMG("ID_2C672631C7A04B0DA9C471AD445790C6",1)</f>
        <v>=DISPIMG("ID_2C672631C7A04B0DA9C471AD445790C6",1)</v>
      </c>
      <c r="D36" s="99" t="s">
        <v>92</v>
      </c>
      <c r="E36" s="20" t="s">
        <v>93</v>
      </c>
      <c r="F36" s="99">
        <v>24</v>
      </c>
      <c r="G36" s="99" t="s">
        <v>54</v>
      </c>
      <c r="H36" s="99"/>
    </row>
    <row r="37" ht="26" customHeight="1" spans="1:8">
      <c r="A37" s="129" t="s">
        <v>94</v>
      </c>
      <c r="B37" s="129"/>
      <c r="C37" s="129"/>
      <c r="D37" s="165"/>
      <c r="E37" s="175"/>
      <c r="F37" s="165"/>
      <c r="G37" s="175"/>
      <c r="H37" s="165"/>
    </row>
    <row r="38" ht="18" customHeight="1" spans="1:8">
      <c r="A38" s="166" t="s">
        <v>95</v>
      </c>
      <c r="B38" s="166"/>
      <c r="C38" s="166"/>
      <c r="D38" s="93"/>
      <c r="E38" s="110"/>
      <c r="F38" s="93"/>
      <c r="G38" s="93"/>
      <c r="H38" s="93"/>
    </row>
    <row r="39" customFormat="1" ht="143" customHeight="1" spans="1:8">
      <c r="A39" s="119">
        <f>SUBTOTAL(103,$D$4:D39)</f>
        <v>28</v>
      </c>
      <c r="B39" s="99" t="s">
        <v>96</v>
      </c>
      <c r="C39" s="118" t="str">
        <f>_xlfn.DISPIMG("ID_500AB39DBAB3422F939E6CFD9EB502AA",1)</f>
        <v>=DISPIMG("ID_500AB39DBAB3422F939E6CFD9EB502AA",1)</v>
      </c>
      <c r="D39" s="99" t="s">
        <v>97</v>
      </c>
      <c r="E39" s="20" t="s">
        <v>98</v>
      </c>
      <c r="F39" s="99">
        <v>1</v>
      </c>
      <c r="G39" s="99" t="s">
        <v>37</v>
      </c>
      <c r="H39" s="99"/>
    </row>
    <row r="40" ht="147" customHeight="1" spans="1:8">
      <c r="A40" s="119">
        <f>SUBTOTAL(103,$D$4:D40)</f>
        <v>29</v>
      </c>
      <c r="B40" s="95" t="s">
        <v>99</v>
      </c>
      <c r="C40" s="118" t="str">
        <f>_xlfn.DISPIMG("ID_3543BFC753AF4B639D1D8656854CDE46",1)</f>
        <v>=DISPIMG("ID_3543BFC753AF4B639D1D8656854CDE46",1)</v>
      </c>
      <c r="D40" s="99" t="s">
        <v>100</v>
      </c>
      <c r="E40" s="20" t="s">
        <v>101</v>
      </c>
      <c r="F40" s="99">
        <v>3</v>
      </c>
      <c r="G40" s="99" t="s">
        <v>37</v>
      </c>
      <c r="H40" s="99"/>
    </row>
    <row r="41" customFormat="1" ht="123" customHeight="1" spans="1:8">
      <c r="A41" s="119">
        <f>SUBTOTAL(103,$D$4:D41)</f>
        <v>30</v>
      </c>
      <c r="B41" s="99" t="s">
        <v>102</v>
      </c>
      <c r="C41" s="95" t="str">
        <f>_xlfn.DISPIMG("ID_9DA2C1068B0F4532A602DD9FCBDBF58E",1)</f>
        <v>=DISPIMG("ID_9DA2C1068B0F4532A602DD9FCBDBF58E",1)</v>
      </c>
      <c r="D41" s="95" t="s">
        <v>103</v>
      </c>
      <c r="E41" s="109" t="s">
        <v>104</v>
      </c>
      <c r="F41" s="99">
        <v>9</v>
      </c>
      <c r="G41" s="99" t="s">
        <v>43</v>
      </c>
      <c r="H41" s="99"/>
    </row>
    <row r="42" customFormat="1" ht="258" customHeight="1" spans="1:8">
      <c r="A42" s="119">
        <f>SUBTOTAL(103,$D$4:D42)</f>
        <v>31</v>
      </c>
      <c r="B42" s="99" t="s">
        <v>105</v>
      </c>
      <c r="C42" s="95" t="str">
        <f>_xlfn.DISPIMG("ID_3195B95FCB92409BB784E286FC252F51",1)</f>
        <v>=DISPIMG("ID_3195B95FCB92409BB784E286FC252F51",1)</v>
      </c>
      <c r="D42" s="95" t="s">
        <v>106</v>
      </c>
      <c r="E42" s="108" t="s">
        <v>107</v>
      </c>
      <c r="F42" s="99">
        <v>41</v>
      </c>
      <c r="G42" s="99" t="s">
        <v>37</v>
      </c>
      <c r="H42" s="99"/>
    </row>
    <row r="43" customFormat="1" ht="128" customHeight="1" spans="1:8">
      <c r="A43" s="119">
        <f>SUBTOTAL(103,$D$4:D43)</f>
        <v>32</v>
      </c>
      <c r="B43" s="99" t="s">
        <v>108</v>
      </c>
      <c r="C43" s="95" t="str">
        <f>_xlfn.DISPIMG("ID_9081ED14A88A473E9433F8443C60E8C6",1)</f>
        <v>=DISPIMG("ID_9081ED14A88A473E9433F8443C60E8C6",1)</v>
      </c>
      <c r="D43" s="95" t="s">
        <v>109</v>
      </c>
      <c r="E43" s="108" t="s">
        <v>110</v>
      </c>
      <c r="F43" s="99">
        <v>82</v>
      </c>
      <c r="G43" s="99" t="s">
        <v>43</v>
      </c>
      <c r="H43" s="99"/>
    </row>
    <row r="44" ht="371" customHeight="1" spans="1:8">
      <c r="A44" s="119">
        <f>SUBTOTAL(103,$D$4:D44)</f>
        <v>33</v>
      </c>
      <c r="B44" s="95" t="s">
        <v>111</v>
      </c>
      <c r="C44" s="99" t="str">
        <f>_xlfn.DISPIMG("ID_02F552776B604F42ABD076BBA1E924EA",1)</f>
        <v>=DISPIMG("ID_02F552776B604F42ABD076BBA1E924EA",1)</v>
      </c>
      <c r="D44" s="94" t="s">
        <v>112</v>
      </c>
      <c r="E44" s="108" t="s">
        <v>113</v>
      </c>
      <c r="F44" s="99">
        <v>213</v>
      </c>
      <c r="G44" s="99" t="s">
        <v>37</v>
      </c>
      <c r="H44" s="99"/>
    </row>
    <row r="45" customFormat="1" ht="18" customHeight="1" spans="1:8">
      <c r="A45" s="92" t="s">
        <v>114</v>
      </c>
      <c r="B45" s="92"/>
      <c r="C45" s="92"/>
      <c r="D45" s="93"/>
      <c r="E45" s="106"/>
      <c r="F45" s="93"/>
      <c r="G45" s="93"/>
      <c r="H45" s="93"/>
    </row>
    <row r="46" s="114" customFormat="1" ht="151" customHeight="1" spans="1:8">
      <c r="A46" s="119">
        <f>SUBTOTAL(103,$D$4:D46)</f>
        <v>34</v>
      </c>
      <c r="B46" s="94" t="s">
        <v>115</v>
      </c>
      <c r="C46" s="94" t="str">
        <f>_xlfn.DISPIMG("ID_DE08A4B792724B82A3D920F49EF2ABAA",1)</f>
        <v>=DISPIMG("ID_DE08A4B792724B82A3D920F49EF2ABAA",1)</v>
      </c>
      <c r="D46" s="94" t="s">
        <v>116</v>
      </c>
      <c r="E46" s="20" t="s">
        <v>117</v>
      </c>
      <c r="F46" s="94">
        <v>2</v>
      </c>
      <c r="G46" s="94" t="s">
        <v>37</v>
      </c>
      <c r="H46" s="94"/>
    </row>
    <row r="47" customFormat="1" ht="176" customHeight="1" spans="1:8">
      <c r="A47" s="95">
        <f>SUBTOTAL(103,$D$4:D47)</f>
        <v>35</v>
      </c>
      <c r="B47" s="95" t="s">
        <v>69</v>
      </c>
      <c r="C47" s="120" t="str">
        <f>_xlfn.DISPIMG("ID_638056FD184240C6987BEE9C5A62B707",1)</f>
        <v>=DISPIMG("ID_638056FD184240C6987BEE9C5A62B707",1)</v>
      </c>
      <c r="D47" s="99" t="s">
        <v>118</v>
      </c>
      <c r="E47" s="20" t="s">
        <v>71</v>
      </c>
      <c r="F47" s="99">
        <v>2</v>
      </c>
      <c r="G47" s="99" t="s">
        <v>43</v>
      </c>
      <c r="H47" s="99"/>
    </row>
    <row r="48" ht="18" customHeight="1" spans="1:8">
      <c r="A48" s="166" t="s">
        <v>119</v>
      </c>
      <c r="B48" s="166"/>
      <c r="C48" s="166"/>
      <c r="D48" s="93"/>
      <c r="E48" s="110"/>
      <c r="F48" s="93"/>
      <c r="G48" s="93"/>
      <c r="H48" s="93"/>
    </row>
    <row r="49" ht="131" customHeight="1" spans="1:8">
      <c r="A49" s="119">
        <f>SUBTOTAL(103,$D$4:D49)</f>
        <v>36</v>
      </c>
      <c r="B49" s="95" t="s">
        <v>81</v>
      </c>
      <c r="C49" s="120" t="str">
        <f>_xlfn.DISPIMG("ID_5F3691FBEC084218A23427BD0EB3B090",1)</f>
        <v>=DISPIMG("ID_5F3691FBEC084218A23427BD0EB3B090",1)</v>
      </c>
      <c r="D49" s="99" t="s">
        <v>82</v>
      </c>
      <c r="E49" s="108" t="s">
        <v>83</v>
      </c>
      <c r="F49" s="99">
        <v>14</v>
      </c>
      <c r="G49" s="99" t="s">
        <v>37</v>
      </c>
      <c r="H49" s="151"/>
    </row>
    <row r="50" ht="187" customHeight="1" spans="1:8">
      <c r="A50" s="119">
        <f>SUBTOTAL(103,$D$4:D50)</f>
        <v>37</v>
      </c>
      <c r="B50" s="95" t="s">
        <v>84</v>
      </c>
      <c r="C50" s="120" t="str">
        <f>_xlfn.DISPIMG("ID_54C25D96CD7A42DCA6CA869B93ED28DD",1)</f>
        <v>=DISPIMG("ID_54C25D96CD7A42DCA6CA869B93ED28DD",1)</v>
      </c>
      <c r="D50" s="99" t="s">
        <v>85</v>
      </c>
      <c r="E50" s="20" t="s">
        <v>86</v>
      </c>
      <c r="F50" s="99">
        <v>14</v>
      </c>
      <c r="G50" s="99" t="s">
        <v>43</v>
      </c>
      <c r="H50" s="123"/>
    </row>
    <row r="51" ht="131" customHeight="1" spans="1:8">
      <c r="A51" s="119">
        <f>SUBTOTAL(103,$D$4:D51)</f>
        <v>38</v>
      </c>
      <c r="B51" s="99" t="s">
        <v>72</v>
      </c>
      <c r="C51" s="120" t="str">
        <f>_xlfn.DISPIMG("ID_8F02056062D34C86AA4A0C5A34D17336",1)</f>
        <v>=DISPIMG("ID_8F02056062D34C86AA4A0C5A34D17336",1)</v>
      </c>
      <c r="D51" s="99" t="s">
        <v>73</v>
      </c>
      <c r="E51" s="108" t="s">
        <v>74</v>
      </c>
      <c r="F51" s="99">
        <v>14</v>
      </c>
      <c r="G51" s="99" t="s">
        <v>47</v>
      </c>
      <c r="H51" s="151"/>
    </row>
    <row r="52" ht="125" customHeight="1" spans="1:8">
      <c r="A52" s="119">
        <f>SUBTOTAL(103,$D$4:D52)</f>
        <v>39</v>
      </c>
      <c r="B52" s="99" t="s">
        <v>75</v>
      </c>
      <c r="C52" s="120" t="str">
        <f>_xlfn.DISPIMG("ID_FC450AF4FF2E460787D5E4C369EC3FB1",1)</f>
        <v>=DISPIMG("ID_FC450AF4FF2E460787D5E4C369EC3FB1",1)</v>
      </c>
      <c r="D52" s="99" t="s">
        <v>76</v>
      </c>
      <c r="E52" s="108" t="s">
        <v>74</v>
      </c>
      <c r="F52" s="99">
        <v>10</v>
      </c>
      <c r="G52" s="99" t="s">
        <v>47</v>
      </c>
      <c r="H52" s="99"/>
    </row>
    <row r="53" ht="128" customHeight="1" spans="1:8">
      <c r="A53" s="119">
        <f>SUBTOTAL(103,$D$4:D53)</f>
        <v>40</v>
      </c>
      <c r="B53" s="99" t="s">
        <v>77</v>
      </c>
      <c r="C53" s="120" t="str">
        <f>_xlfn.DISPIMG("ID_22FBACAEB7C84C1D87F7B3EEFDB11DF7",1)</f>
        <v>=DISPIMG("ID_22FBACAEB7C84C1D87F7B3EEFDB11DF7",1)</v>
      </c>
      <c r="D53" s="99" t="s">
        <v>78</v>
      </c>
      <c r="E53" s="108" t="s">
        <v>79</v>
      </c>
      <c r="F53" s="99">
        <v>6</v>
      </c>
      <c r="G53" s="99" t="s">
        <v>47</v>
      </c>
      <c r="H53" s="99"/>
    </row>
    <row r="54" ht="160" customHeight="1" spans="1:8">
      <c r="A54" s="119">
        <f>SUBTOTAL(103,$D$4:D54)</f>
        <v>41</v>
      </c>
      <c r="B54" s="99" t="s">
        <v>87</v>
      </c>
      <c r="C54" s="120" t="str">
        <f>_xlfn.DISPIMG("ID_353B54D4CB434FC2B53BB4CD6DF56D32",1)</f>
        <v>=DISPIMG("ID_353B54D4CB434FC2B53BB4CD6DF56D32",1)</v>
      </c>
      <c r="D54" s="99" t="s">
        <v>88</v>
      </c>
      <c r="E54" s="20" t="s">
        <v>120</v>
      </c>
      <c r="F54" s="99">
        <v>4</v>
      </c>
      <c r="G54" s="99" t="s">
        <v>54</v>
      </c>
      <c r="H54" s="99"/>
    </row>
    <row r="55" ht="146" customHeight="1" spans="1:8">
      <c r="A55" s="119">
        <f>SUBTOTAL(103,$D$4:D55)</f>
        <v>42</v>
      </c>
      <c r="B55" s="99" t="s">
        <v>121</v>
      </c>
      <c r="C55" s="120" t="str">
        <f>_xlfn.DISPIMG("ID_45F2429ED8E64A3FAC0E1B6F2D31965E",1)</f>
        <v>=DISPIMG("ID_45F2429ED8E64A3FAC0E1B6F2D31965E",1)</v>
      </c>
      <c r="D55" s="99" t="s">
        <v>122</v>
      </c>
      <c r="E55" s="20" t="s">
        <v>123</v>
      </c>
      <c r="F55" s="99">
        <v>3</v>
      </c>
      <c r="G55" s="99" t="s">
        <v>47</v>
      </c>
      <c r="H55" s="149"/>
    </row>
    <row r="56" ht="18" customHeight="1" spans="1:8">
      <c r="A56" s="166" t="s">
        <v>124</v>
      </c>
      <c r="B56" s="166"/>
      <c r="C56" s="166"/>
      <c r="D56" s="93"/>
      <c r="E56" s="110"/>
      <c r="F56" s="93"/>
      <c r="G56" s="93"/>
      <c r="H56" s="93"/>
    </row>
    <row r="57" ht="108" customHeight="1" spans="1:8">
      <c r="A57" s="119">
        <f>SUBTOTAL(103,$D$4:D57)</f>
        <v>43</v>
      </c>
      <c r="B57" s="66" t="s">
        <v>91</v>
      </c>
      <c r="C57" s="66" t="str">
        <f>_xlfn.DISPIMG("ID_1D231B1AF16845F68B73DB626D03CC63",1)</f>
        <v>=DISPIMG("ID_1D231B1AF16845F68B73DB626D03CC63",1)</v>
      </c>
      <c r="D57" s="66" t="s">
        <v>92</v>
      </c>
      <c r="E57" s="20" t="s">
        <v>93</v>
      </c>
      <c r="F57" s="66">
        <v>5</v>
      </c>
      <c r="G57" s="66" t="s">
        <v>54</v>
      </c>
      <c r="H57" s="66"/>
    </row>
    <row r="58" ht="112" customHeight="1" spans="1:8">
      <c r="A58" s="119">
        <f>SUBTOTAL(103,$D$4:D58)</f>
        <v>44</v>
      </c>
      <c r="B58" s="66" t="s">
        <v>125</v>
      </c>
      <c r="C58" s="66" t="str">
        <f>_xlfn.DISPIMG("ID_7E36FF8E3D834DA59E1E849DEDD0E618",1)</f>
        <v>=DISPIMG("ID_7E36FF8E3D834DA59E1E849DEDD0E618",1)</v>
      </c>
      <c r="D58" s="66" t="s">
        <v>126</v>
      </c>
      <c r="E58" s="20" t="s">
        <v>93</v>
      </c>
      <c r="F58" s="66">
        <v>2</v>
      </c>
      <c r="G58" s="66" t="s">
        <v>54</v>
      </c>
      <c r="H58" s="66"/>
    </row>
    <row r="59" ht="26" customHeight="1" spans="1:8">
      <c r="A59" s="129" t="s">
        <v>127</v>
      </c>
      <c r="B59" s="129"/>
      <c r="C59" s="129"/>
      <c r="D59" s="165"/>
      <c r="E59" s="175"/>
      <c r="F59" s="165"/>
      <c r="G59" s="175"/>
      <c r="H59" s="165"/>
    </row>
    <row r="60" ht="18" customHeight="1" spans="1:8">
      <c r="A60" s="166" t="s">
        <v>128</v>
      </c>
      <c r="B60" s="166"/>
      <c r="C60" s="166"/>
      <c r="D60" s="93"/>
      <c r="E60" s="110"/>
      <c r="F60" s="93"/>
      <c r="G60" s="93"/>
      <c r="H60" s="93"/>
    </row>
    <row r="61" customFormat="1" ht="180" customHeight="1" spans="1:8">
      <c r="A61" s="168">
        <f>SUBTOTAL(103,$D$4:D61)</f>
        <v>45</v>
      </c>
      <c r="B61" s="99" t="s">
        <v>129</v>
      </c>
      <c r="C61" s="105" t="str">
        <f>_xlfn.DISPIMG("ID_26AB10E76A6042A486521CD5A640B7DD",1)</f>
        <v>=DISPIMG("ID_26AB10E76A6042A486521CD5A640B7DD",1)</v>
      </c>
      <c r="D61" s="95" t="s">
        <v>130</v>
      </c>
      <c r="E61" s="108" t="s">
        <v>131</v>
      </c>
      <c r="F61" s="99">
        <v>32</v>
      </c>
      <c r="G61" s="105" t="s">
        <v>132</v>
      </c>
      <c r="H61" s="99"/>
    </row>
    <row r="62" ht="117" customHeight="1" spans="1:8">
      <c r="A62" s="168">
        <f>SUBTOTAL(103,$D$4:D62)</f>
        <v>46</v>
      </c>
      <c r="B62" s="99" t="s">
        <v>133</v>
      </c>
      <c r="C62" s="105" t="str">
        <f>_xlfn.DISPIMG("ID_060EA3B529244D8F99A158ED2AD84088",1)</f>
        <v>=DISPIMG("ID_060EA3B529244D8F99A158ED2AD84088",1)</v>
      </c>
      <c r="D62" s="95" t="s">
        <v>134</v>
      </c>
      <c r="E62" s="108" t="s">
        <v>135</v>
      </c>
      <c r="F62" s="99">
        <v>75</v>
      </c>
      <c r="G62" s="99" t="s">
        <v>54</v>
      </c>
      <c r="H62" s="99"/>
    </row>
    <row r="63" ht="147" customHeight="1" spans="1:8">
      <c r="A63" s="119">
        <f>SUBTOTAL(103,$D$4:D63)</f>
        <v>47</v>
      </c>
      <c r="B63" s="66" t="s">
        <v>136</v>
      </c>
      <c r="C63" s="80" t="str">
        <f>_xlfn.DISPIMG("ID_169BBB6EE385416F8A655CC966D674DD",1)</f>
        <v>=DISPIMG("ID_169BBB6EE385416F8A655CC966D674DD",1)</v>
      </c>
      <c r="D63" s="66" t="s">
        <v>137</v>
      </c>
      <c r="E63" s="20" t="s">
        <v>138</v>
      </c>
      <c r="F63" s="66">
        <v>1</v>
      </c>
      <c r="G63" s="66" t="s">
        <v>37</v>
      </c>
      <c r="H63" s="66"/>
    </row>
    <row r="64" ht="99" customHeight="1" spans="1:8">
      <c r="A64" s="119">
        <f>SUBTOTAL(103,$D$4:D64)</f>
        <v>48</v>
      </c>
      <c r="B64" s="66" t="s">
        <v>139</v>
      </c>
      <c r="C64" s="66" t="str">
        <f>_xlfn.DISPIMG("ID_6A41DE1CD04046E68C03286E76BF31A5",1)</f>
        <v>=DISPIMG("ID_6A41DE1CD04046E68C03286E76BF31A5",1)</v>
      </c>
      <c r="D64" s="95" t="s">
        <v>140</v>
      </c>
      <c r="E64" s="22" t="s">
        <v>141</v>
      </c>
      <c r="F64" s="66">
        <v>4</v>
      </c>
      <c r="G64" s="66" t="s">
        <v>43</v>
      </c>
      <c r="H64" s="66"/>
    </row>
    <row r="65" ht="136" customHeight="1" spans="1:8">
      <c r="A65" s="119">
        <f>SUBTOTAL(103,$D$4:D65)</f>
        <v>49</v>
      </c>
      <c r="B65" s="99" t="s">
        <v>66</v>
      </c>
      <c r="C65" s="120" t="str">
        <f>_xlfn.DISPIMG("ID_229F019BE76E4860BD6A4F53D2C6ED1B",1)</f>
        <v>=DISPIMG("ID_229F019BE76E4860BD6A4F53D2C6ED1B",1)</v>
      </c>
      <c r="D65" s="99" t="s">
        <v>67</v>
      </c>
      <c r="E65" s="108" t="s">
        <v>142</v>
      </c>
      <c r="F65" s="66">
        <v>2</v>
      </c>
      <c r="G65" s="66" t="s">
        <v>37</v>
      </c>
      <c r="H65" s="151"/>
    </row>
    <row r="66" ht="176" customHeight="1" spans="1:8">
      <c r="A66" s="179">
        <f>SUBTOTAL(103,$D$4:D66)</f>
        <v>50</v>
      </c>
      <c r="B66" s="169" t="s">
        <v>143</v>
      </c>
      <c r="C66" s="120" t="str">
        <f>_xlfn.DISPIMG("ID_54C25D96CD7A42DCA6CA869B93ED28DD",1)</f>
        <v>=DISPIMG("ID_54C25D96CD7A42DCA6CA869B93ED28DD",1)</v>
      </c>
      <c r="D66" s="99" t="s">
        <v>85</v>
      </c>
      <c r="E66" s="20" t="s">
        <v>86</v>
      </c>
      <c r="F66" s="66">
        <v>2</v>
      </c>
      <c r="G66" s="66" t="s">
        <v>43</v>
      </c>
      <c r="H66" s="123"/>
    </row>
    <row r="67" ht="18" customHeight="1" spans="1:8">
      <c r="A67" s="180" t="s">
        <v>144</v>
      </c>
      <c r="B67" s="181"/>
      <c r="C67" s="182"/>
      <c r="D67" s="183"/>
      <c r="E67" s="110"/>
      <c r="F67" s="93"/>
      <c r="G67" s="93"/>
      <c r="H67" s="93"/>
    </row>
    <row r="68" ht="123" customHeight="1" spans="1:8">
      <c r="A68" s="184">
        <f>SUBTOTAL(103,$D$4:D68)</f>
        <v>51</v>
      </c>
      <c r="B68" s="159" t="s">
        <v>125</v>
      </c>
      <c r="C68" s="159" t="str">
        <f>_xlfn.DISPIMG("ID_02A1ECD66B5543C3963D66625A241201",1)</f>
        <v>=DISPIMG("ID_02A1ECD66B5543C3963D66625A241201",1)</v>
      </c>
      <c r="D68" s="66" t="s">
        <v>126</v>
      </c>
      <c r="E68" s="20" t="s">
        <v>93</v>
      </c>
      <c r="F68" s="66">
        <v>24</v>
      </c>
      <c r="G68" s="66" t="s">
        <v>54</v>
      </c>
      <c r="H68" s="66"/>
    </row>
    <row r="69" ht="26" customHeight="1" spans="1:8">
      <c r="A69" s="129" t="s">
        <v>145</v>
      </c>
      <c r="B69" s="129"/>
      <c r="C69" s="129"/>
      <c r="D69" s="165"/>
      <c r="E69" s="175"/>
      <c r="F69" s="165"/>
      <c r="G69" s="175"/>
      <c r="H69" s="165"/>
    </row>
    <row r="70" ht="18" customHeight="1" spans="1:8">
      <c r="A70" s="101" t="s">
        <v>146</v>
      </c>
      <c r="B70" s="101"/>
      <c r="C70" s="101"/>
      <c r="D70" s="93"/>
      <c r="E70" s="110"/>
      <c r="F70" s="93"/>
      <c r="G70" s="93"/>
      <c r="H70" s="93"/>
    </row>
    <row r="71" ht="153" customHeight="1" spans="1:8">
      <c r="A71" s="119">
        <f>SUBTOTAL(103,$D$4:D71)</f>
        <v>52</v>
      </c>
      <c r="B71" s="66" t="s">
        <v>147</v>
      </c>
      <c r="C71" s="80" t="str">
        <f>_xlfn.DISPIMG("ID_C3E2157650484FC78593FE90162737B5",1)</f>
        <v>=DISPIMG("ID_C3E2157650484FC78593FE90162737B5",1)</v>
      </c>
      <c r="D71" s="99" t="s">
        <v>148</v>
      </c>
      <c r="E71" s="20" t="s">
        <v>149</v>
      </c>
      <c r="F71" s="66">
        <v>2</v>
      </c>
      <c r="G71" s="66" t="s">
        <v>37</v>
      </c>
      <c r="H71" s="123"/>
    </row>
    <row r="72" ht="132" customHeight="1" spans="1:8">
      <c r="A72" s="119">
        <f>SUBTOTAL(103,$D$4:D72)</f>
        <v>53</v>
      </c>
      <c r="B72" s="66" t="s">
        <v>150</v>
      </c>
      <c r="C72" s="80" t="str">
        <f>_xlfn.DISPIMG("ID_4A00A62D5BC5451B914F7C83B2438BF2",1)</f>
        <v>=DISPIMG("ID_4A00A62D5BC5451B914F7C83B2438BF2",1)</v>
      </c>
      <c r="D72" s="66" t="s">
        <v>151</v>
      </c>
      <c r="E72" s="109" t="s">
        <v>152</v>
      </c>
      <c r="F72" s="66">
        <v>2</v>
      </c>
      <c r="G72" s="66" t="s">
        <v>43</v>
      </c>
      <c r="H72" s="123"/>
    </row>
    <row r="73" ht="96" customHeight="1" spans="1:8">
      <c r="A73" s="119">
        <f>SUBTOTAL(103,$D$4:D73)</f>
        <v>54</v>
      </c>
      <c r="B73" s="66" t="s">
        <v>153</v>
      </c>
      <c r="C73" s="95" t="str">
        <f>_xlfn.DISPIMG("ID_010786F6816D48E69B15130A1A610F0E",1)</f>
        <v>=DISPIMG("ID_010786F6816D48E69B15130A1A610F0E",1)</v>
      </c>
      <c r="D73" s="95" t="s">
        <v>103</v>
      </c>
      <c r="E73" s="109" t="s">
        <v>104</v>
      </c>
      <c r="F73" s="66">
        <v>4</v>
      </c>
      <c r="G73" s="66" t="s">
        <v>43</v>
      </c>
      <c r="H73" s="66"/>
    </row>
    <row r="74" ht="145" customHeight="1" spans="1:8">
      <c r="A74" s="119">
        <f>SUBTOTAL(103,$D$4:D74)</f>
        <v>55</v>
      </c>
      <c r="B74" s="95" t="s">
        <v>154</v>
      </c>
      <c r="C74" s="120" t="str">
        <f>_xlfn.DISPIMG("ID_353BC162959845A78E1110F4C168F913",1)</f>
        <v>=DISPIMG("ID_353BC162959845A78E1110F4C168F913",1)</v>
      </c>
      <c r="D74" s="99" t="s">
        <v>155</v>
      </c>
      <c r="E74" s="20" t="s">
        <v>156</v>
      </c>
      <c r="F74" s="99">
        <v>2</v>
      </c>
      <c r="G74" s="99" t="s">
        <v>47</v>
      </c>
      <c r="H74" s="95"/>
    </row>
    <row r="75" customFormat="1" ht="148" customHeight="1" spans="1:8">
      <c r="A75" s="119">
        <f>SUBTOTAL(103,$D$4:D75)</f>
        <v>56</v>
      </c>
      <c r="B75" s="95" t="s">
        <v>157</v>
      </c>
      <c r="C75" s="120" t="str">
        <f>_xlfn.DISPIMG("ID_F084DD2D2CD8481E95E42779457D2354",1)</f>
        <v>=DISPIMG("ID_F084DD2D2CD8481E95E42779457D2354",1)</v>
      </c>
      <c r="D75" s="99" t="s">
        <v>158</v>
      </c>
      <c r="E75" s="20" t="s">
        <v>159</v>
      </c>
      <c r="F75" s="99">
        <v>4</v>
      </c>
      <c r="G75" s="99" t="s">
        <v>47</v>
      </c>
      <c r="H75" s="149"/>
    </row>
    <row r="76" customFormat="1" ht="141" customHeight="1" spans="1:8">
      <c r="A76" s="119">
        <f>SUBTOTAL(103,$D$4:D76)</f>
        <v>57</v>
      </c>
      <c r="B76" s="66" t="s">
        <v>160</v>
      </c>
      <c r="C76" s="80" t="str">
        <f>_xlfn.DISPIMG("ID_540B6D4E92CE41C69BA29921F35AE520",1)</f>
        <v>=DISPIMG("ID_540B6D4E92CE41C69BA29921F35AE520",1)</v>
      </c>
      <c r="D76" s="66" t="s">
        <v>161</v>
      </c>
      <c r="E76" s="20" t="s">
        <v>162</v>
      </c>
      <c r="F76" s="66">
        <v>2</v>
      </c>
      <c r="G76" s="66" t="s">
        <v>47</v>
      </c>
      <c r="H76" s="149"/>
    </row>
    <row r="77" customFormat="1" ht="82" customHeight="1" spans="1:8">
      <c r="A77" s="119">
        <f>SUBTOTAL(103,$D$4:D77)</f>
        <v>58</v>
      </c>
      <c r="B77" s="66" t="s">
        <v>87</v>
      </c>
      <c r="C77" s="80" t="str">
        <f>_xlfn.DISPIMG("ID_B6106D94A51C49078736F57FBCE1BAED",1)</f>
        <v>=DISPIMG("ID_B6106D94A51C49078736F57FBCE1BAED",1)</v>
      </c>
      <c r="D77" s="66" t="s">
        <v>88</v>
      </c>
      <c r="E77" s="176" t="s">
        <v>120</v>
      </c>
      <c r="F77" s="66">
        <v>2</v>
      </c>
      <c r="G77" s="66" t="s">
        <v>37</v>
      </c>
      <c r="H77" s="149"/>
    </row>
    <row r="78" customFormat="1" ht="91" customHeight="1" spans="1:8">
      <c r="A78" s="119">
        <f>SUBTOTAL(103,$D$4:D78)</f>
        <v>59</v>
      </c>
      <c r="B78" s="66" t="s">
        <v>163</v>
      </c>
      <c r="C78" s="80" t="str">
        <f>_xlfn.DISPIMG("ID_76BAE2ADDCA64277ACBEC9F456C8F69C",1)</f>
        <v>=DISPIMG("ID_76BAE2ADDCA64277ACBEC9F456C8F69C",1)</v>
      </c>
      <c r="D78" s="66" t="s">
        <v>164</v>
      </c>
      <c r="E78" s="187"/>
      <c r="F78" s="66">
        <v>1</v>
      </c>
      <c r="G78" s="66" t="s">
        <v>37</v>
      </c>
      <c r="H78" s="149"/>
    </row>
    <row r="79" customFormat="1" ht="146" customHeight="1" spans="1:8">
      <c r="A79" s="119">
        <f>SUBTOTAL(103,$D$4:D79)</f>
        <v>60</v>
      </c>
      <c r="B79" s="66" t="s">
        <v>165</v>
      </c>
      <c r="C79" s="120" t="str">
        <f>_xlfn.DISPIMG("ID_641EAB894F6142B39D6B0308E87B8A35",1)</f>
        <v>=DISPIMG("ID_641EAB894F6142B39D6B0308E87B8A35",1)</v>
      </c>
      <c r="D79" s="66" t="s">
        <v>166</v>
      </c>
      <c r="E79" s="20" t="s">
        <v>167</v>
      </c>
      <c r="F79" s="66">
        <v>2</v>
      </c>
      <c r="G79" s="66" t="s">
        <v>47</v>
      </c>
      <c r="H79" s="149"/>
    </row>
    <row r="80" ht="103" customHeight="1" spans="1:8">
      <c r="A80" s="168">
        <f>SUBTOTAL(103,$D$4:D80)</f>
        <v>61</v>
      </c>
      <c r="B80" s="99" t="s">
        <v>168</v>
      </c>
      <c r="C80" s="120" t="str">
        <f>_xlfn.DISPIMG("ID_4EBFEC1BF8864933A4C7D34A85839D8E",1)</f>
        <v>=DISPIMG("ID_4EBFEC1BF8864933A4C7D34A85839D8E",1)</v>
      </c>
      <c r="D80" s="99" t="s">
        <v>169</v>
      </c>
      <c r="E80" s="20" t="s">
        <v>170</v>
      </c>
      <c r="F80" s="99">
        <v>1</v>
      </c>
      <c r="G80" s="99" t="s">
        <v>47</v>
      </c>
      <c r="H80" s="99"/>
    </row>
    <row r="81" ht="93" customHeight="1" spans="1:8">
      <c r="A81" s="168">
        <f>SUBTOTAL(103,$D$4:D81)</f>
        <v>62</v>
      </c>
      <c r="B81" s="99" t="s">
        <v>171</v>
      </c>
      <c r="C81" s="120" t="str">
        <f>_xlfn.DISPIMG("ID_1BE9DA56D603479ABA6743FCF552FC50",1)</f>
        <v>=DISPIMG("ID_1BE9DA56D603479ABA6743FCF552FC50",1)</v>
      </c>
      <c r="D81" s="99" t="s">
        <v>172</v>
      </c>
      <c r="E81" s="20" t="s">
        <v>173</v>
      </c>
      <c r="F81" s="99">
        <v>2</v>
      </c>
      <c r="G81" s="99" t="s">
        <v>43</v>
      </c>
      <c r="H81" s="99"/>
    </row>
    <row r="82" customFormat="1" ht="18" customHeight="1" spans="1:8">
      <c r="A82" s="101" t="s">
        <v>174</v>
      </c>
      <c r="B82" s="101"/>
      <c r="C82" s="101"/>
      <c r="D82" s="93"/>
      <c r="E82" s="110"/>
      <c r="F82" s="93"/>
      <c r="G82" s="93"/>
      <c r="H82" s="93"/>
    </row>
    <row r="83" customFormat="1" ht="120" customHeight="1" spans="1:8">
      <c r="A83" s="119">
        <f>SUBTOTAL(103,$D$4:D83)</f>
        <v>63</v>
      </c>
      <c r="B83" s="66" t="s">
        <v>175</v>
      </c>
      <c r="C83" s="80" t="str">
        <f>_xlfn.DISPIMG("ID_81E3D4A625814CC9B38CCE3C6C2D7449",1)</f>
        <v>=DISPIMG("ID_81E3D4A625814CC9B38CCE3C6C2D7449",1)</v>
      </c>
      <c r="D83" s="66" t="s">
        <v>176</v>
      </c>
      <c r="E83" s="109" t="s">
        <v>177</v>
      </c>
      <c r="F83" s="66">
        <v>2</v>
      </c>
      <c r="G83" s="66" t="s">
        <v>37</v>
      </c>
      <c r="H83" s="123"/>
    </row>
    <row r="84" customFormat="1" ht="18" customHeight="1" spans="1:8">
      <c r="A84" s="101" t="s">
        <v>178</v>
      </c>
      <c r="B84" s="101"/>
      <c r="C84" s="101"/>
      <c r="D84" s="93"/>
      <c r="E84" s="110"/>
      <c r="F84" s="93"/>
      <c r="G84" s="93"/>
      <c r="H84" s="93"/>
    </row>
    <row r="85" customFormat="1" ht="138" customHeight="1" spans="1:8">
      <c r="A85" s="119">
        <f>SUBTOTAL(103,$D$4:D85)</f>
        <v>64</v>
      </c>
      <c r="B85" s="66" t="s">
        <v>179</v>
      </c>
      <c r="C85" s="80" t="str">
        <f>_xlfn.DISPIMG("ID_4EE76E7A1EE045B3A60618825E4D7AF2",1)</f>
        <v>=DISPIMG("ID_4EE76E7A1EE045B3A60618825E4D7AF2",1)</v>
      </c>
      <c r="D85" s="66" t="s">
        <v>180</v>
      </c>
      <c r="E85" s="20" t="s">
        <v>181</v>
      </c>
      <c r="F85" s="66">
        <v>4</v>
      </c>
      <c r="G85" s="66" t="s">
        <v>37</v>
      </c>
      <c r="H85" s="123"/>
    </row>
    <row r="86" customFormat="1" ht="139" customHeight="1" spans="1:8">
      <c r="A86" s="119">
        <f>SUBTOTAL(103,$D$4:D86)</f>
        <v>65</v>
      </c>
      <c r="B86" s="66" t="s">
        <v>143</v>
      </c>
      <c r="C86" s="80" t="str">
        <f>_xlfn.DISPIMG("ID_4A00A62D5BC5451B914F7C83B2438BF2",1)</f>
        <v>=DISPIMG("ID_4A00A62D5BC5451B914F7C83B2438BF2",1)</v>
      </c>
      <c r="D86" s="66" t="s">
        <v>151</v>
      </c>
      <c r="E86" s="109" t="s">
        <v>152</v>
      </c>
      <c r="F86" s="66">
        <v>4</v>
      </c>
      <c r="G86" s="66" t="s">
        <v>43</v>
      </c>
      <c r="H86" s="123"/>
    </row>
    <row r="87" customFormat="1" ht="103" customHeight="1" spans="1:8">
      <c r="A87" s="119">
        <f>SUBTOTAL(103,$D$4:D87)</f>
        <v>66</v>
      </c>
      <c r="B87" s="66" t="s">
        <v>153</v>
      </c>
      <c r="C87" s="95" t="str">
        <f>_xlfn.DISPIMG("ID_36924BDCA83F4D10B68F8D3D9DECD519",1)</f>
        <v>=DISPIMG("ID_36924BDCA83F4D10B68F8D3D9DECD519",1)</v>
      </c>
      <c r="D87" s="95" t="s">
        <v>103</v>
      </c>
      <c r="E87" s="109" t="s">
        <v>104</v>
      </c>
      <c r="F87" s="66">
        <v>8</v>
      </c>
      <c r="G87" s="66" t="s">
        <v>43</v>
      </c>
      <c r="H87" s="66"/>
    </row>
    <row r="88" customFormat="1" ht="136" customHeight="1" spans="1:8">
      <c r="A88" s="119">
        <f>SUBTOTAL(103,$D$4:D88)</f>
        <v>67</v>
      </c>
      <c r="B88" s="95" t="s">
        <v>182</v>
      </c>
      <c r="C88" s="120" t="str">
        <f>_xlfn.DISPIMG("ID_0484A8EC7A1A483CA191F5547CBFE553",1)</f>
        <v>=DISPIMG("ID_0484A8EC7A1A483CA191F5547CBFE553",1)</v>
      </c>
      <c r="D88" s="99" t="s">
        <v>73</v>
      </c>
      <c r="E88" s="20" t="s">
        <v>183</v>
      </c>
      <c r="F88" s="99">
        <v>8</v>
      </c>
      <c r="G88" s="99" t="s">
        <v>47</v>
      </c>
      <c r="H88" s="95"/>
    </row>
    <row r="89" customFormat="1" ht="18" customHeight="1" spans="1:8">
      <c r="A89" s="101" t="s">
        <v>184</v>
      </c>
      <c r="B89" s="101"/>
      <c r="C89" s="101"/>
      <c r="D89" s="93"/>
      <c r="E89" s="110"/>
      <c r="F89" s="93"/>
      <c r="G89" s="93"/>
      <c r="H89" s="93"/>
    </row>
    <row r="90" customFormat="1" ht="135" customHeight="1" spans="1:8">
      <c r="A90" s="119">
        <f>SUBTOTAL(103,$D$4:D90)</f>
        <v>68</v>
      </c>
      <c r="B90" s="66" t="s">
        <v>175</v>
      </c>
      <c r="C90" s="80" t="str">
        <f>_xlfn.DISPIMG("ID_F5AF57764F3E4A5D8ECE668CB1870EC9",1)</f>
        <v>=DISPIMG("ID_F5AF57764F3E4A5D8ECE668CB1870EC9",1)</v>
      </c>
      <c r="D90" s="66" t="s">
        <v>176</v>
      </c>
      <c r="E90" s="109" t="s">
        <v>177</v>
      </c>
      <c r="F90" s="66">
        <v>4</v>
      </c>
      <c r="G90" s="66" t="s">
        <v>37</v>
      </c>
      <c r="H90" s="123"/>
    </row>
    <row r="91" customFormat="1" ht="137" customHeight="1" spans="1:8">
      <c r="A91" s="119">
        <f>SUBTOTAL(103,$D$4:D91)</f>
        <v>69</v>
      </c>
      <c r="B91" s="66" t="s">
        <v>121</v>
      </c>
      <c r="C91" s="80" t="str">
        <f>_xlfn.DISPIMG("ID_BE2184A43198441C9A149A81435800BA",1)</f>
        <v>=DISPIMG("ID_BE2184A43198441C9A149A81435800BA",1)</v>
      </c>
      <c r="D91" s="66" t="s">
        <v>185</v>
      </c>
      <c r="E91" s="20" t="s">
        <v>186</v>
      </c>
      <c r="F91" s="66">
        <v>4</v>
      </c>
      <c r="G91" s="66" t="s">
        <v>37</v>
      </c>
      <c r="H91" s="149"/>
    </row>
    <row r="92" customFormat="1" ht="145" customHeight="1" spans="1:8">
      <c r="A92" s="119">
        <f>SUBTOTAL(103,$D$4:D92)</f>
        <v>70</v>
      </c>
      <c r="B92" s="66" t="s">
        <v>160</v>
      </c>
      <c r="C92" s="80" t="str">
        <f>_xlfn.DISPIMG("ID_3BEE86F163744758B0E6EEC71509D112",1)</f>
        <v>=DISPIMG("ID_3BEE86F163744758B0E6EEC71509D112",1)</v>
      </c>
      <c r="D92" s="66" t="s">
        <v>161</v>
      </c>
      <c r="E92" s="20" t="s">
        <v>156</v>
      </c>
      <c r="F92" s="66">
        <v>4</v>
      </c>
      <c r="G92" s="66" t="s">
        <v>47</v>
      </c>
      <c r="H92" s="123"/>
    </row>
    <row r="93" ht="18" customHeight="1" spans="1:8">
      <c r="A93" s="101" t="s">
        <v>187</v>
      </c>
      <c r="B93" s="101"/>
      <c r="C93" s="101"/>
      <c r="D93" s="93"/>
      <c r="E93" s="110"/>
      <c r="F93" s="93"/>
      <c r="G93" s="93"/>
      <c r="H93" s="93"/>
    </row>
    <row r="94" ht="127" customHeight="1" spans="1:8">
      <c r="A94" s="119">
        <f>SUBTOTAL(103,$D$4:D94)</f>
        <v>71</v>
      </c>
      <c r="B94" s="95" t="s">
        <v>81</v>
      </c>
      <c r="C94" s="120" t="str">
        <f>_xlfn.DISPIMG("ID_76DCCAE4115E42BCB31C190C632AB807",1)</f>
        <v>=DISPIMG("ID_76DCCAE4115E42BCB31C190C632AB807",1)</v>
      </c>
      <c r="D94" s="99" t="s">
        <v>82</v>
      </c>
      <c r="E94" s="108" t="s">
        <v>83</v>
      </c>
      <c r="F94" s="66">
        <v>8</v>
      </c>
      <c r="G94" s="66" t="s">
        <v>37</v>
      </c>
      <c r="H94" s="151"/>
    </row>
    <row r="95" ht="186" customHeight="1" spans="1:8">
      <c r="A95" s="119">
        <f>SUBTOTAL(103,$D$4:D95)</f>
        <v>72</v>
      </c>
      <c r="B95" s="95" t="s">
        <v>84</v>
      </c>
      <c r="C95" s="120" t="str">
        <f>_xlfn.DISPIMG("ID_54C25D96CD7A42DCA6CA869B93ED28DD",1)</f>
        <v>=DISPIMG("ID_54C25D96CD7A42DCA6CA869B93ED28DD",1)</v>
      </c>
      <c r="D95" s="99" t="s">
        <v>85</v>
      </c>
      <c r="E95" s="20" t="s">
        <v>86</v>
      </c>
      <c r="F95" s="66">
        <v>8</v>
      </c>
      <c r="G95" s="66" t="s">
        <v>43</v>
      </c>
      <c r="H95" s="123"/>
    </row>
    <row r="96" ht="137" customHeight="1" spans="1:8">
      <c r="A96" s="119">
        <f>SUBTOTAL(103,$D$4:D96)</f>
        <v>73</v>
      </c>
      <c r="B96" s="99" t="s">
        <v>72</v>
      </c>
      <c r="C96" s="120" t="str">
        <f>_xlfn.DISPIMG("ID_7CC0A168B9D24847B6B39D59A7D5CFE3",1)</f>
        <v>=DISPIMG("ID_7CC0A168B9D24847B6B39D59A7D5CFE3",1)</v>
      </c>
      <c r="D96" s="99" t="s">
        <v>73</v>
      </c>
      <c r="E96" s="108" t="s">
        <v>74</v>
      </c>
      <c r="F96" s="66">
        <v>8</v>
      </c>
      <c r="G96" s="66" t="s">
        <v>47</v>
      </c>
      <c r="H96" s="151"/>
    </row>
    <row r="97" ht="138" customHeight="1" spans="1:8">
      <c r="A97" s="119">
        <f>SUBTOTAL(103,$D$4:D97)</f>
        <v>74</v>
      </c>
      <c r="B97" s="66" t="s">
        <v>75</v>
      </c>
      <c r="C97" s="120" t="str">
        <f>_xlfn.DISPIMG("ID_2E979C800E3E4728A09EA741A215258F",1)</f>
        <v>=DISPIMG("ID_2E979C800E3E4728A09EA741A215258F",1)</v>
      </c>
      <c r="D97" s="99" t="s">
        <v>76</v>
      </c>
      <c r="E97" s="108" t="s">
        <v>74</v>
      </c>
      <c r="F97" s="66">
        <v>3</v>
      </c>
      <c r="G97" s="99" t="s">
        <v>47</v>
      </c>
      <c r="H97" s="66"/>
    </row>
    <row r="98" ht="129" customHeight="1" spans="1:8">
      <c r="A98" s="119">
        <f>SUBTOTAL(103,$D$4:D98)</f>
        <v>75</v>
      </c>
      <c r="B98" s="66" t="s">
        <v>77</v>
      </c>
      <c r="C98" s="120" t="str">
        <f>_xlfn.DISPIMG("ID_8E2042E245854D6290D668E88B907C26",1)</f>
        <v>=DISPIMG("ID_8E2042E245854D6290D668E88B907C26",1)</v>
      </c>
      <c r="D98" s="99" t="s">
        <v>78</v>
      </c>
      <c r="E98" s="108" t="s">
        <v>79</v>
      </c>
      <c r="F98" s="66">
        <v>3</v>
      </c>
      <c r="G98" s="99" t="s">
        <v>47</v>
      </c>
      <c r="H98" s="66"/>
    </row>
    <row r="99" ht="18" customHeight="1" spans="1:8">
      <c r="A99" s="185" t="s">
        <v>188</v>
      </c>
      <c r="B99" s="101"/>
      <c r="C99" s="101"/>
      <c r="D99" s="93"/>
      <c r="E99" s="93"/>
      <c r="F99" s="93"/>
      <c r="G99" s="93"/>
      <c r="H99" s="93"/>
    </row>
    <row r="100" ht="153" customHeight="1" spans="1:8">
      <c r="A100" s="119">
        <f>SUBTOTAL(103,$D$4:D100)</f>
        <v>76</v>
      </c>
      <c r="B100" s="168" t="s">
        <v>60</v>
      </c>
      <c r="C100" s="66" t="str">
        <f>_xlfn.DISPIMG("ID_9CECC1FD000F440FA355E345D2B12CA8",1)</f>
        <v>=DISPIMG("ID_9CECC1FD000F440FA355E345D2B12CA8",1)</v>
      </c>
      <c r="D100" s="99" t="s">
        <v>61</v>
      </c>
      <c r="E100" s="20" t="s">
        <v>189</v>
      </c>
      <c r="F100" s="99">
        <v>1</v>
      </c>
      <c r="G100" s="99" t="s">
        <v>37</v>
      </c>
      <c r="H100" s="99"/>
    </row>
    <row r="101" ht="122" customHeight="1" spans="1:8">
      <c r="A101" s="119">
        <f>SUBTOTAL(103,$D$4:D101)</f>
        <v>77</v>
      </c>
      <c r="B101" s="95" t="s">
        <v>40</v>
      </c>
      <c r="C101" s="122" t="str">
        <f>_xlfn.DISPIMG("ID_CE857154601846C3A99BBA57F3001D14",1)</f>
        <v>=DISPIMG("ID_CE857154601846C3A99BBA57F3001D14",1)</v>
      </c>
      <c r="D101" s="99" t="s">
        <v>41</v>
      </c>
      <c r="E101" s="20" t="s">
        <v>190</v>
      </c>
      <c r="F101" s="99">
        <v>10</v>
      </c>
      <c r="G101" s="99" t="s">
        <v>43</v>
      </c>
      <c r="H101" s="99"/>
    </row>
    <row r="102" ht="144" customHeight="1" spans="1:8">
      <c r="A102" s="119">
        <f>SUBTOTAL(103,$D$4:D102)</f>
        <v>78</v>
      </c>
      <c r="B102" s="99" t="s">
        <v>62</v>
      </c>
      <c r="C102" s="120" t="str">
        <f>_xlfn.DISPIMG("ID_388BCA655BBD4F10B2EB9D0B37FEDC6E",1)</f>
        <v>=DISPIMG("ID_388BCA655BBD4F10B2EB9D0B37FEDC6E",1)</v>
      </c>
      <c r="D102" s="99" t="s">
        <v>63</v>
      </c>
      <c r="E102" s="20" t="s">
        <v>191</v>
      </c>
      <c r="F102" s="99">
        <v>1</v>
      </c>
      <c r="G102" s="99" t="s">
        <v>47</v>
      </c>
      <c r="H102" s="99"/>
    </row>
    <row r="103" customFormat="1" ht="18" customHeight="1" spans="1:8">
      <c r="A103" s="101" t="s">
        <v>192</v>
      </c>
      <c r="B103" s="101"/>
      <c r="C103" s="101"/>
      <c r="D103" s="93"/>
      <c r="E103" s="110"/>
      <c r="F103" s="93"/>
      <c r="G103" s="93"/>
      <c r="H103" s="93"/>
    </row>
    <row r="104" customFormat="1" ht="92" customHeight="1" spans="1:8">
      <c r="A104" s="168">
        <f>SUBTOTAL(103,$D$4:D104)</f>
        <v>79</v>
      </c>
      <c r="B104" s="186" t="s">
        <v>193</v>
      </c>
      <c r="C104" s="99" t="str">
        <f>_xlfn.DISPIMG("ID_275D782C6A764F2485B0A47D90FCBA0C",1)</f>
        <v>=DISPIMG("ID_275D782C6A764F2485B0A47D90FCBA0C",1)</v>
      </c>
      <c r="D104" s="99" t="s">
        <v>194</v>
      </c>
      <c r="E104" s="20" t="s">
        <v>195</v>
      </c>
      <c r="F104" s="99">
        <v>8</v>
      </c>
      <c r="G104" s="99" t="s">
        <v>37</v>
      </c>
      <c r="H104" s="99"/>
    </row>
    <row r="105" customFormat="1" ht="125" customHeight="1" spans="1:8">
      <c r="A105" s="168">
        <f>SUBTOTAL(103,$D$4:D105)</f>
        <v>80</v>
      </c>
      <c r="B105" s="168" t="s">
        <v>196</v>
      </c>
      <c r="C105" s="99" t="str">
        <f>_xlfn.DISPIMG("ID_6DBDFC08EF6648B6B01034CC87DC242B",1)</f>
        <v>=DISPIMG("ID_6DBDFC08EF6648B6B01034CC87DC242B",1)</v>
      </c>
      <c r="D105" s="99" t="s">
        <v>197</v>
      </c>
      <c r="E105" s="20" t="s">
        <v>186</v>
      </c>
      <c r="F105" s="99">
        <v>5</v>
      </c>
      <c r="G105" s="99" t="s">
        <v>37</v>
      </c>
      <c r="H105" s="99"/>
    </row>
    <row r="106" customFormat="1" ht="130" customHeight="1" spans="1:8">
      <c r="A106" s="119">
        <f>SUBTOTAL(103,$D$4:D106)</f>
        <v>81</v>
      </c>
      <c r="B106" s="168" t="s">
        <v>160</v>
      </c>
      <c r="C106" s="80" t="str">
        <f>_xlfn.DISPIMG("ID_827167AAA7C741069DFEC94595470342",1)</f>
        <v>=DISPIMG("ID_827167AAA7C741069DFEC94595470342",1)</v>
      </c>
      <c r="D106" s="66" t="s">
        <v>161</v>
      </c>
      <c r="E106" s="20" t="s">
        <v>156</v>
      </c>
      <c r="F106" s="99">
        <v>1</v>
      </c>
      <c r="G106" s="99" t="s">
        <v>47</v>
      </c>
      <c r="H106" s="99"/>
    </row>
  </sheetData>
  <autoFilter xmlns:etc="http://www.wps.cn/officeDocument/2017/etCustomData" ref="A1:H106" etc:filterBottomFollowUsedRange="0">
    <extLst/>
  </autoFilter>
  <mergeCells count="17">
    <mergeCell ref="A1:H1"/>
    <mergeCell ref="A3:C3"/>
    <mergeCell ref="A22:C22"/>
    <mergeCell ref="A28:C28"/>
    <mergeCell ref="A35:C35"/>
    <mergeCell ref="A37:C37"/>
    <mergeCell ref="A38:C38"/>
    <mergeCell ref="A45:C45"/>
    <mergeCell ref="A48:C48"/>
    <mergeCell ref="A56:C56"/>
    <mergeCell ref="A59:C59"/>
    <mergeCell ref="A60:C60"/>
    <mergeCell ref="A69:C69"/>
    <mergeCell ref="B11:B15"/>
    <mergeCell ref="C11:C15"/>
    <mergeCell ref="E11:E15"/>
    <mergeCell ref="E77:E78"/>
  </mergeCells>
  <pageMargins left="0.393055555555556" right="0.393055555555556" top="0.590277777777778" bottom="0.590277777777778" header="0.298611111111111" footer="0.298611111111111"/>
  <pageSetup paperSize="9" scale="68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56"/>
  <sheetViews>
    <sheetView tabSelected="1" view="pageBreakPreview" zoomScaleNormal="80" workbookViewId="0">
      <pane ySplit="2" topLeftCell="A6" activePane="bottomLeft" state="frozen"/>
      <selection/>
      <selection pane="bottomLeft" activeCell="E6" sqref="E6"/>
    </sheetView>
  </sheetViews>
  <sheetFormatPr defaultColWidth="9" defaultRowHeight="16.8" outlineLevelCol="7"/>
  <cols>
    <col min="3" max="3" width="17.75" customWidth="1"/>
    <col min="4" max="4" width="16.7403846153846" customWidth="1"/>
    <col min="5" max="5" width="74" customWidth="1"/>
    <col min="6" max="6" width="6.90384615384615" customWidth="1"/>
    <col min="7" max="7" width="6.31730769230769" customWidth="1"/>
    <col min="8" max="8" width="7.34615384615385" customWidth="1"/>
  </cols>
  <sheetData>
    <row r="1" ht="40" customHeight="1" spans="1:8">
      <c r="A1" s="116" t="s">
        <v>198</v>
      </c>
      <c r="B1" s="117"/>
      <c r="C1" s="117"/>
      <c r="D1" s="117"/>
      <c r="E1" s="117"/>
      <c r="F1" s="117"/>
      <c r="G1" s="117"/>
      <c r="H1" s="117"/>
    </row>
    <row r="2" s="86" customFormat="1" ht="32" customHeight="1" spans="1:8">
      <c r="A2" s="91" t="s">
        <v>1</v>
      </c>
      <c r="B2" s="91" t="s">
        <v>26</v>
      </c>
      <c r="C2" s="91" t="s">
        <v>27</v>
      </c>
      <c r="D2" s="91" t="s">
        <v>28</v>
      </c>
      <c r="E2" s="91" t="s">
        <v>29</v>
      </c>
      <c r="F2" s="91" t="s">
        <v>30</v>
      </c>
      <c r="G2" s="91" t="s">
        <v>31</v>
      </c>
      <c r="H2" s="91" t="s">
        <v>4</v>
      </c>
    </row>
    <row r="3" s="86" customFormat="1" ht="26" customHeight="1" spans="1:8">
      <c r="A3" s="153" t="s">
        <v>199</v>
      </c>
      <c r="B3" s="153"/>
      <c r="C3" s="153"/>
      <c r="D3" s="153"/>
      <c r="E3" s="110"/>
      <c r="F3" s="161"/>
      <c r="G3" s="161"/>
      <c r="H3" s="161"/>
    </row>
    <row r="4" ht="180" customHeight="1" spans="1:8">
      <c r="A4" s="94">
        <f>SUBTOTAL(103,$D$4:D4)</f>
        <v>1</v>
      </c>
      <c r="B4" s="66" t="s">
        <v>200</v>
      </c>
      <c r="C4" s="154" t="str">
        <f>_xlfn.DISPIMG("ID_9559D9BE0C294007B7426D58A418915A",1)</f>
        <v>=DISPIMG("ID_9559D9BE0C294007B7426D58A418915A",1)</v>
      </c>
      <c r="D4" s="66" t="s">
        <v>201</v>
      </c>
      <c r="E4" s="20" t="s">
        <v>202</v>
      </c>
      <c r="F4" s="66">
        <v>60</v>
      </c>
      <c r="G4" s="66" t="s">
        <v>37</v>
      </c>
      <c r="H4" s="66"/>
    </row>
    <row r="5" s="152" customFormat="1" ht="139" customHeight="1" spans="1:8">
      <c r="A5" s="155">
        <f>SUBTOTAL(103,$D$4:D5)</f>
        <v>2</v>
      </c>
      <c r="B5" s="156" t="s">
        <v>203</v>
      </c>
      <c r="C5" s="156" t="str">
        <f>_xlfn.DISPIMG("ID_DBDBF1CBF60644729D7C3B76302C50CE",1)</f>
        <v>=DISPIMG("ID_DBDBF1CBF60644729D7C3B76302C50CE",1)</v>
      </c>
      <c r="D5" s="156" t="s">
        <v>204</v>
      </c>
      <c r="E5" s="111" t="s">
        <v>205</v>
      </c>
      <c r="F5" s="156">
        <v>60</v>
      </c>
      <c r="G5" s="156" t="s">
        <v>54</v>
      </c>
      <c r="H5" s="156"/>
    </row>
    <row r="6" ht="409" customHeight="1" spans="1:8">
      <c r="A6" s="94">
        <f>SUBTOTAL(103,$D$4:D6)</f>
        <v>3</v>
      </c>
      <c r="B6" s="94" t="s">
        <v>206</v>
      </c>
      <c r="C6" s="95" t="str">
        <f>_xlfn.DISPIMG("ID_CEB6A5A51D5041FDA1A48375DF532803",1)</f>
        <v>=DISPIMG("ID_CEB6A5A51D5041FDA1A48375DF532803",1)</v>
      </c>
      <c r="D6" s="95" t="s">
        <v>207</v>
      </c>
      <c r="E6" s="162" t="s">
        <v>208</v>
      </c>
      <c r="F6" s="66">
        <v>3000</v>
      </c>
      <c r="G6" s="66" t="s">
        <v>209</v>
      </c>
      <c r="H6" s="94"/>
    </row>
    <row r="7" s="114" customFormat="1" ht="178" customHeight="1" spans="1:8">
      <c r="A7" s="66">
        <f>SUBTOTAL(103,$D$4:D7)</f>
        <v>4</v>
      </c>
      <c r="B7" s="94" t="s">
        <v>210</v>
      </c>
      <c r="C7" s="157" t="str">
        <f>_xlfn.DISPIMG("ID_0C651483B53F4371B0CDFF3FAA4DC62D",1)</f>
        <v>=DISPIMG("ID_0C651483B53F4371B0CDFF3FAA4DC62D",1)</v>
      </c>
      <c r="D7" s="94" t="s">
        <v>211</v>
      </c>
      <c r="E7" s="22" t="s">
        <v>212</v>
      </c>
      <c r="F7" s="66">
        <v>60</v>
      </c>
      <c r="G7" s="66" t="s">
        <v>37</v>
      </c>
      <c r="H7" s="66"/>
    </row>
    <row r="8" s="114" customFormat="1" ht="104" customHeight="1" spans="1:8">
      <c r="A8" s="66">
        <f>SUBTOTAL(103,$D$4:D8)</f>
        <v>5</v>
      </c>
      <c r="B8" s="66" t="s">
        <v>213</v>
      </c>
      <c r="C8" s="157" t="str">
        <f>_xlfn.DISPIMG("ID_636D6739C7DF4C878550B27D4FB097B0",1)</f>
        <v>=DISPIMG("ID_636D6739C7DF4C878550B27D4FB097B0",1)</v>
      </c>
      <c r="D8" s="94" t="s">
        <v>140</v>
      </c>
      <c r="E8" s="108" t="s">
        <v>214</v>
      </c>
      <c r="F8" s="66">
        <v>60</v>
      </c>
      <c r="G8" s="66" t="s">
        <v>43</v>
      </c>
      <c r="H8" s="66"/>
    </row>
    <row r="9" s="86" customFormat="1" ht="18" customHeight="1" spans="1:8">
      <c r="A9" s="153" t="s">
        <v>215</v>
      </c>
      <c r="B9" s="153"/>
      <c r="C9" s="153"/>
      <c r="D9" s="153"/>
      <c r="E9" s="110"/>
      <c r="F9" s="161"/>
      <c r="G9" s="161"/>
      <c r="H9" s="161"/>
    </row>
    <row r="10" customFormat="1" ht="121" customHeight="1" spans="1:8">
      <c r="A10" s="95">
        <f>SUBTOTAL(103,$D$4:D10)</f>
        <v>6</v>
      </c>
      <c r="B10" s="95" t="s">
        <v>216</v>
      </c>
      <c r="C10" s="99" t="str">
        <f>_xlfn.DISPIMG("ID_7A8B49F4FDA04A93AD9BFB668E9625D8",1)</f>
        <v>=DISPIMG("ID_7A8B49F4FDA04A93AD9BFB668E9625D8",1)</v>
      </c>
      <c r="D10" s="99" t="s">
        <v>217</v>
      </c>
      <c r="E10" s="20" t="s">
        <v>218</v>
      </c>
      <c r="F10" s="99">
        <v>420</v>
      </c>
      <c r="G10" s="99" t="s">
        <v>54</v>
      </c>
      <c r="H10" s="95"/>
    </row>
    <row r="11" customFormat="1" ht="113" customHeight="1" spans="1:8">
      <c r="A11" s="94">
        <f>SUBTOTAL(103,$D$4:D11)</f>
        <v>7</v>
      </c>
      <c r="B11" s="94" t="s">
        <v>219</v>
      </c>
      <c r="C11" s="66" t="str">
        <f>_xlfn.DISPIMG("ID_DB3A832C377C4B8781C7CBFEF4ADE58F",1)</f>
        <v>=DISPIMG("ID_DB3A832C377C4B8781C7CBFEF4ADE58F",1)</v>
      </c>
      <c r="D11" s="66" t="s">
        <v>220</v>
      </c>
      <c r="E11" s="20" t="s">
        <v>221</v>
      </c>
      <c r="F11" s="66">
        <v>60</v>
      </c>
      <c r="G11" s="66" t="s">
        <v>54</v>
      </c>
      <c r="H11" s="94"/>
    </row>
    <row r="12" customFormat="1" ht="125" customHeight="1" spans="1:8">
      <c r="A12" s="94">
        <f>SUBTOTAL(103,$D$4:D12)</f>
        <v>8</v>
      </c>
      <c r="B12" s="66" t="s">
        <v>222</v>
      </c>
      <c r="C12" s="66" t="str">
        <f>_xlfn.DISPIMG("ID_6EDBBDB664C94AF9997FA2924C9669EB",1)</f>
        <v>=DISPIMG("ID_6EDBBDB664C94AF9997FA2924C9669EB",1)</v>
      </c>
      <c r="D12" s="66" t="s">
        <v>223</v>
      </c>
      <c r="E12" s="20" t="s">
        <v>224</v>
      </c>
      <c r="F12" s="66">
        <v>60</v>
      </c>
      <c r="G12" s="66" t="s">
        <v>54</v>
      </c>
      <c r="H12" s="94"/>
    </row>
    <row r="13" customFormat="1" ht="146" customHeight="1" spans="1:8">
      <c r="A13" s="94">
        <f>SUBTOTAL(103,$D$4:D13)</f>
        <v>9</v>
      </c>
      <c r="B13" s="66" t="s">
        <v>225</v>
      </c>
      <c r="C13" s="66" t="str">
        <f>_xlfn.DISPIMG("ID_CFEC74567D7E40C294424F5CC903EDD1",1)</f>
        <v>=DISPIMG("ID_CFEC74567D7E40C294424F5CC903EDD1",1)</v>
      </c>
      <c r="D13" s="66" t="s">
        <v>226</v>
      </c>
      <c r="E13" s="20" t="s">
        <v>227</v>
      </c>
      <c r="F13" s="66">
        <v>60</v>
      </c>
      <c r="G13" s="66" t="s">
        <v>37</v>
      </c>
      <c r="H13" s="94"/>
    </row>
    <row r="14" customFormat="1" ht="186" customHeight="1" spans="1:8">
      <c r="A14" s="94">
        <f>SUBTOTAL(103,$D$4:D14)</f>
        <v>10</v>
      </c>
      <c r="B14" s="66" t="s">
        <v>228</v>
      </c>
      <c r="C14" s="66" t="str">
        <f>_xlfn.DISPIMG("ID_B7087FC3D5784434BC4BD10E000BCF06",1)</f>
        <v>=DISPIMG("ID_B7087FC3D5784434BC4BD10E000BCF06",1)</v>
      </c>
      <c r="D14" s="66" t="s">
        <v>229</v>
      </c>
      <c r="E14" s="20" t="s">
        <v>230</v>
      </c>
      <c r="F14" s="66">
        <v>180</v>
      </c>
      <c r="G14" s="66" t="s">
        <v>43</v>
      </c>
      <c r="H14" s="94"/>
    </row>
    <row r="15" s="86" customFormat="1" ht="32" customHeight="1" spans="1:8">
      <c r="A15" s="153" t="s">
        <v>231</v>
      </c>
      <c r="B15" s="153"/>
      <c r="C15" s="153"/>
      <c r="D15" s="153"/>
      <c r="E15" s="110"/>
      <c r="F15" s="161"/>
      <c r="G15" s="161"/>
      <c r="H15" s="161"/>
    </row>
    <row r="16" customFormat="1" ht="200" customHeight="1" spans="1:8">
      <c r="A16" s="94">
        <f>SUBTOTAL(103,$D$4:D16)</f>
        <v>11</v>
      </c>
      <c r="B16" s="66" t="s">
        <v>200</v>
      </c>
      <c r="C16" s="154" t="str">
        <f>_xlfn.DISPIMG("ID_56E8B9F09956491287254D03565C03F7",1)</f>
        <v>=DISPIMG("ID_56E8B9F09956491287254D03565C03F7",1)</v>
      </c>
      <c r="D16" s="66" t="s">
        <v>201</v>
      </c>
      <c r="E16" s="20" t="s">
        <v>202</v>
      </c>
      <c r="F16" s="66">
        <v>1</v>
      </c>
      <c r="G16" s="66" t="s">
        <v>37</v>
      </c>
      <c r="H16" s="66"/>
    </row>
    <row r="17" customFormat="1" ht="245" customHeight="1" spans="1:8">
      <c r="A17" s="94">
        <f>SUBTOTAL(103,$D$4:D17)</f>
        <v>12</v>
      </c>
      <c r="B17" s="66" t="s">
        <v>232</v>
      </c>
      <c r="C17" s="66" t="str">
        <f>_xlfn.DISPIMG("ID_638F7943B8F240FABEFE51981B4F26C3",1)</f>
        <v>=DISPIMG("ID_638F7943B8F240FABEFE51981B4F26C3",1)</v>
      </c>
      <c r="D17" s="94" t="s">
        <v>233</v>
      </c>
      <c r="E17" s="22" t="s">
        <v>234</v>
      </c>
      <c r="F17" s="66">
        <v>20</v>
      </c>
      <c r="G17" s="66" t="s">
        <v>37</v>
      </c>
      <c r="H17" s="94"/>
    </row>
    <row r="18" customFormat="1" ht="226" customHeight="1" spans="1:8">
      <c r="A18" s="94">
        <f>SUBTOTAL(103,$D$4:D18)</f>
        <v>13</v>
      </c>
      <c r="B18" s="66" t="s">
        <v>235</v>
      </c>
      <c r="C18" s="66" t="str">
        <f>_xlfn.DISPIMG("ID_6B76F40AB2E24C1DAB0CC3FB05C1F0F1",1)</f>
        <v>=DISPIMG("ID_6B76F40AB2E24C1DAB0CC3FB05C1F0F1",1)</v>
      </c>
      <c r="D18" s="94" t="s">
        <v>236</v>
      </c>
      <c r="E18" s="22" t="s">
        <v>237</v>
      </c>
      <c r="F18" s="66">
        <v>40</v>
      </c>
      <c r="G18" s="66" t="s">
        <v>43</v>
      </c>
      <c r="H18" s="94"/>
    </row>
    <row r="19" customFormat="1" ht="95" customHeight="1" spans="1:8">
      <c r="A19" s="94">
        <f>SUBTOTAL(103,$D$4:D19)</f>
        <v>14</v>
      </c>
      <c r="B19" s="94" t="s">
        <v>238</v>
      </c>
      <c r="C19" s="158" t="str">
        <f>_xlfn.DISPIMG("ID_384A34CCBAE64A0B95A3939507EA5643",1)</f>
        <v>=DISPIMG("ID_384A34CCBAE64A0B95A3939507EA5643",1)</v>
      </c>
      <c r="D19" s="94" t="s">
        <v>239</v>
      </c>
      <c r="E19" s="163" t="s">
        <v>240</v>
      </c>
      <c r="F19" s="66">
        <v>12</v>
      </c>
      <c r="G19" s="66" t="s">
        <v>37</v>
      </c>
      <c r="H19" s="94"/>
    </row>
    <row r="20" customFormat="1" ht="95" customHeight="1" spans="1:8">
      <c r="A20" s="94">
        <f>SUBTOTAL(103,$D$4:D20)</f>
        <v>15</v>
      </c>
      <c r="B20" s="94" t="s">
        <v>241</v>
      </c>
      <c r="C20" s="159"/>
      <c r="D20" s="66" t="s">
        <v>242</v>
      </c>
      <c r="E20" s="164"/>
      <c r="F20" s="66">
        <v>11</v>
      </c>
      <c r="G20" s="66" t="s">
        <v>37</v>
      </c>
      <c r="H20" s="66"/>
    </row>
    <row r="21" customFormat="1" ht="250" customHeight="1" spans="1:8">
      <c r="A21" s="94">
        <f>SUBTOTAL(103,$D$4:D21)</f>
        <v>16</v>
      </c>
      <c r="B21" s="94" t="s">
        <v>243</v>
      </c>
      <c r="C21" s="109" t="str">
        <f>_xlfn.DISPIMG("ID_297B515BF34F468AB6FE221FE2FBEFAD",1)</f>
        <v>=DISPIMG("ID_297B515BF34F468AB6FE221FE2FBEFAD",1)</v>
      </c>
      <c r="D21" s="94" t="s">
        <v>244</v>
      </c>
      <c r="E21" s="109" t="s">
        <v>245</v>
      </c>
      <c r="F21" s="66">
        <v>57</v>
      </c>
      <c r="G21" s="66" t="s">
        <v>43</v>
      </c>
      <c r="H21" s="66"/>
    </row>
    <row r="22" s="86" customFormat="1" ht="24" customHeight="1" spans="1:8">
      <c r="A22" s="153" t="s">
        <v>246</v>
      </c>
      <c r="B22" s="153"/>
      <c r="C22" s="153"/>
      <c r="D22" s="153"/>
      <c r="E22" s="110"/>
      <c r="F22" s="161"/>
      <c r="G22" s="161"/>
      <c r="H22" s="161"/>
    </row>
    <row r="23" customFormat="1" ht="184" customHeight="1" spans="1:8">
      <c r="A23" s="94">
        <f>SUBTOTAL(103,$D$4:D23)</f>
        <v>17</v>
      </c>
      <c r="B23" s="66" t="s">
        <v>200</v>
      </c>
      <c r="C23" s="154" t="str">
        <f>_xlfn.DISPIMG("ID_DCD9F1EB604D4A8EAB00E2BE9ECFFEF5",1)</f>
        <v>=DISPIMG("ID_DCD9F1EB604D4A8EAB00E2BE9ECFFEF5",1)</v>
      </c>
      <c r="D23" s="66" t="s">
        <v>201</v>
      </c>
      <c r="E23" s="20" t="s">
        <v>247</v>
      </c>
      <c r="F23" s="66">
        <v>2</v>
      </c>
      <c r="G23" s="66" t="s">
        <v>37</v>
      </c>
      <c r="H23" s="123"/>
    </row>
    <row r="24" customFormat="1" ht="240" customHeight="1" spans="1:8">
      <c r="A24" s="94">
        <f>SUBTOTAL(103,$D$4:D24)</f>
        <v>18</v>
      </c>
      <c r="B24" s="66" t="s">
        <v>232</v>
      </c>
      <c r="C24" s="66" t="str">
        <f>_xlfn.DISPIMG("ID_67BA2AB373B6419B814CD4A5176521F3",1)</f>
        <v>=DISPIMG("ID_67BA2AB373B6419B814CD4A5176521F3",1)</v>
      </c>
      <c r="D24" s="94" t="s">
        <v>233</v>
      </c>
      <c r="E24" s="22" t="s">
        <v>248</v>
      </c>
      <c r="F24" s="66">
        <v>30</v>
      </c>
      <c r="G24" s="66" t="s">
        <v>37</v>
      </c>
      <c r="H24" s="94"/>
    </row>
    <row r="25" customFormat="1" ht="273" customHeight="1" spans="1:8">
      <c r="A25" s="94">
        <f>SUBTOTAL(103,$D$4:D25)</f>
        <v>19</v>
      </c>
      <c r="B25" s="66" t="s">
        <v>249</v>
      </c>
      <c r="C25" s="66" t="str">
        <f>_xlfn.DISPIMG("ID_63574B68332E43DCB9637B0C964BB8E6",1)</f>
        <v>=DISPIMG("ID_63574B68332E43DCB9637B0C964BB8E6",1)</v>
      </c>
      <c r="D25" s="94" t="s">
        <v>250</v>
      </c>
      <c r="E25" s="22" t="s">
        <v>251</v>
      </c>
      <c r="F25" s="66">
        <v>48</v>
      </c>
      <c r="G25" s="66" t="s">
        <v>37</v>
      </c>
      <c r="H25" s="94"/>
    </row>
    <row r="26" customFormat="1" ht="233" customHeight="1" spans="1:8">
      <c r="A26" s="94">
        <f>SUBTOTAL(103,$D$4:D26)</f>
        <v>20</v>
      </c>
      <c r="B26" s="66" t="s">
        <v>235</v>
      </c>
      <c r="C26" s="66" t="str">
        <f>_xlfn.DISPIMG("ID_CE758D3930874085B4A1566AF291B5E8",1)</f>
        <v>=DISPIMG("ID_CE758D3930874085B4A1566AF291B5E8",1)</v>
      </c>
      <c r="D26" s="94" t="s">
        <v>236</v>
      </c>
      <c r="E26" s="22" t="s">
        <v>252</v>
      </c>
      <c r="F26" s="66">
        <v>108</v>
      </c>
      <c r="G26" s="66" t="s">
        <v>43</v>
      </c>
      <c r="H26" s="94"/>
    </row>
    <row r="27" customFormat="1" ht="191" customHeight="1" spans="1:8">
      <c r="A27" s="94">
        <f>SUBTOTAL(103,$D$4:D27)</f>
        <v>21</v>
      </c>
      <c r="B27" s="94" t="s">
        <v>253</v>
      </c>
      <c r="C27" s="66" t="str">
        <f>_xlfn.DISPIMG("ID_857E3D7B10A74960B044D50E0B6604BA",1)</f>
        <v>=DISPIMG("ID_857E3D7B10A74960B044D50E0B6604BA",1)</v>
      </c>
      <c r="D27" s="94" t="s">
        <v>254</v>
      </c>
      <c r="E27" s="22" t="s">
        <v>255</v>
      </c>
      <c r="F27" s="66">
        <v>38</v>
      </c>
      <c r="G27" s="66" t="s">
        <v>43</v>
      </c>
      <c r="H27" s="94"/>
    </row>
    <row r="28" s="86" customFormat="1" ht="29" customHeight="1" spans="1:8">
      <c r="A28" s="153" t="s">
        <v>256</v>
      </c>
      <c r="B28" s="153"/>
      <c r="C28" s="153"/>
      <c r="D28" s="153"/>
      <c r="E28" s="110"/>
      <c r="F28" s="161"/>
      <c r="G28" s="161"/>
      <c r="H28" s="161"/>
    </row>
    <row r="29" customFormat="1" ht="162" customHeight="1" spans="1:8">
      <c r="A29" s="119">
        <f>SUBTOTAL(103,$D$5:D29)</f>
        <v>21</v>
      </c>
      <c r="B29" s="71" t="s">
        <v>257</v>
      </c>
      <c r="C29" s="73" t="str">
        <f>_xlfn.DISPIMG("ID_B07A932FA1AC4877AD0A9D67CB52A319",1)</f>
        <v>=DISPIMG("ID_B07A932FA1AC4877AD0A9D67CB52A319",1)</v>
      </c>
      <c r="D29" s="71" t="s">
        <v>258</v>
      </c>
      <c r="E29" s="20" t="s">
        <v>259</v>
      </c>
      <c r="F29" s="99">
        <v>1</v>
      </c>
      <c r="G29" s="71" t="s">
        <v>47</v>
      </c>
      <c r="H29" s="105"/>
    </row>
    <row r="30" customFormat="1" ht="196" customHeight="1" spans="1:8">
      <c r="A30" s="119">
        <f>SUBTOTAL(103,$D$5:D30)</f>
        <v>22</v>
      </c>
      <c r="B30" s="95" t="s">
        <v>69</v>
      </c>
      <c r="C30" s="120" t="str">
        <f>_xlfn.DISPIMG("ID_8CC70CFF2C1C48688EB2F46CB24F11CA",1)</f>
        <v>=DISPIMG("ID_8CC70CFF2C1C48688EB2F46CB24F11CA",1)</v>
      </c>
      <c r="D30" s="99" t="s">
        <v>118</v>
      </c>
      <c r="E30" s="20" t="s">
        <v>260</v>
      </c>
      <c r="F30" s="99">
        <v>1</v>
      </c>
      <c r="G30" s="99" t="s">
        <v>43</v>
      </c>
      <c r="H30" s="123"/>
    </row>
    <row r="31" customFormat="1" ht="149" customHeight="1" spans="1:8">
      <c r="A31" s="94">
        <f>SUBTOTAL(103,$D$4:D31)</f>
        <v>24</v>
      </c>
      <c r="B31" s="66" t="s">
        <v>261</v>
      </c>
      <c r="C31" s="66" t="str">
        <f>_xlfn.DISPIMG("ID_A512D2A6F46441F79E1F2E9D699562B2",1)</f>
        <v>=DISPIMG("ID_A512D2A6F46441F79E1F2E9D699562B2",1)</v>
      </c>
      <c r="D31" s="66" t="s">
        <v>262</v>
      </c>
      <c r="E31" s="22" t="s">
        <v>263</v>
      </c>
      <c r="F31" s="66">
        <v>72</v>
      </c>
      <c r="G31" s="66" t="s">
        <v>264</v>
      </c>
      <c r="H31" s="150"/>
    </row>
    <row r="32" customFormat="1" ht="138" customHeight="1" spans="1:8">
      <c r="A32" s="94">
        <f>SUBTOTAL(103,$D$4:D32)</f>
        <v>25</v>
      </c>
      <c r="B32" s="66" t="s">
        <v>265</v>
      </c>
      <c r="C32" s="66" t="str">
        <f>_xlfn.DISPIMG("ID_264E6C48776B46909285F32A3247B93D",1)</f>
        <v>=DISPIMG("ID_264E6C48776B46909285F32A3247B93D",1)</v>
      </c>
      <c r="D32" s="66" t="s">
        <v>266</v>
      </c>
      <c r="E32" s="22" t="s">
        <v>267</v>
      </c>
      <c r="F32" s="66">
        <v>8</v>
      </c>
      <c r="G32" s="66" t="s">
        <v>47</v>
      </c>
      <c r="H32" s="150"/>
    </row>
    <row r="33" customFormat="1" ht="135" customHeight="1" spans="1:8">
      <c r="A33" s="94">
        <f>SUBTOTAL(103,$D$4:D33)</f>
        <v>26</v>
      </c>
      <c r="B33" s="94" t="s">
        <v>268</v>
      </c>
      <c r="C33" s="66" t="str">
        <f>_xlfn.DISPIMG("ID_75935B10478F4AF48DAECA487EE69B8A",1)</f>
        <v>=DISPIMG("ID_75935B10478F4AF48DAECA487EE69B8A",1)</v>
      </c>
      <c r="D33" s="66" t="s">
        <v>269</v>
      </c>
      <c r="E33" s="22" t="s">
        <v>267</v>
      </c>
      <c r="F33" s="66">
        <v>6</v>
      </c>
      <c r="G33" s="66" t="s">
        <v>47</v>
      </c>
      <c r="H33" s="150"/>
    </row>
    <row r="34" customFormat="1" ht="150" customHeight="1" spans="1:8">
      <c r="A34" s="94">
        <f>SUBTOTAL(103,$D$4:D34)</f>
        <v>27</v>
      </c>
      <c r="B34" s="66" t="s">
        <v>270</v>
      </c>
      <c r="C34" s="66" t="str">
        <f>_xlfn.DISPIMG("ID_237401E8BC4446789DC2F0DBDFEF7CB5",1)</f>
        <v>=DISPIMG("ID_237401E8BC4446789DC2F0DBDFEF7CB5",1)</v>
      </c>
      <c r="D34" s="66" t="s">
        <v>271</v>
      </c>
      <c r="E34" s="22" t="s">
        <v>272</v>
      </c>
      <c r="F34" s="66">
        <v>7</v>
      </c>
      <c r="G34" s="66" t="s">
        <v>37</v>
      </c>
      <c r="H34" s="150"/>
    </row>
    <row r="35" customFormat="1" ht="178" customHeight="1" spans="1:8">
      <c r="A35" s="94">
        <f>SUBTOTAL(103,$D$4:D35)</f>
        <v>28</v>
      </c>
      <c r="B35" s="66" t="s">
        <v>273</v>
      </c>
      <c r="C35" s="160" t="str">
        <f>_xlfn.DISPIMG("ID_24860900D001479A97F826D7B20AFEB2",1)</f>
        <v>=DISPIMG("ID_24860900D001479A97F826D7B20AFEB2",1)</v>
      </c>
      <c r="D35" s="66" t="s">
        <v>274</v>
      </c>
      <c r="E35" s="22" t="s">
        <v>275</v>
      </c>
      <c r="F35" s="66">
        <v>42</v>
      </c>
      <c r="G35" s="66" t="s">
        <v>43</v>
      </c>
      <c r="H35" s="150"/>
    </row>
    <row r="36" customFormat="1" ht="136" customHeight="1" spans="1:8">
      <c r="A36" s="94">
        <f>SUBTOTAL(103,$D$4:D36)</f>
        <v>29</v>
      </c>
      <c r="B36" s="66" t="s">
        <v>276</v>
      </c>
      <c r="C36" s="160" t="str">
        <f>_xlfn.DISPIMG("ID_B2D04D869CB74874986AD70A55B47B4B",1)</f>
        <v>=DISPIMG("ID_B2D04D869CB74874986AD70A55B47B4B",1)</v>
      </c>
      <c r="D36" s="66" t="s">
        <v>277</v>
      </c>
      <c r="E36" s="22" t="s">
        <v>278</v>
      </c>
      <c r="F36" s="66">
        <v>11</v>
      </c>
      <c r="G36" s="66" t="s">
        <v>47</v>
      </c>
      <c r="H36" s="150"/>
    </row>
    <row r="37" customFormat="1" ht="137" customHeight="1" spans="1:8">
      <c r="A37" s="94">
        <f>SUBTOTAL(103,$D$4:D37)</f>
        <v>30</v>
      </c>
      <c r="B37" s="66" t="s">
        <v>279</v>
      </c>
      <c r="C37" s="160" t="str">
        <f>_xlfn.DISPIMG("ID_1DB11C6122DE44DA9BEDA5D3882FB0D2",1)</f>
        <v>=DISPIMG("ID_1DB11C6122DE44DA9BEDA5D3882FB0D2",1)</v>
      </c>
      <c r="D37" s="66" t="s">
        <v>280</v>
      </c>
      <c r="E37" s="22" t="s">
        <v>278</v>
      </c>
      <c r="F37" s="66">
        <v>16</v>
      </c>
      <c r="G37" s="66" t="s">
        <v>47</v>
      </c>
      <c r="H37" s="150"/>
    </row>
    <row r="38" s="86" customFormat="1" ht="41" customHeight="1" spans="1:8">
      <c r="A38" s="153" t="s">
        <v>281</v>
      </c>
      <c r="B38" s="153"/>
      <c r="C38" s="153"/>
      <c r="D38" s="153"/>
      <c r="E38" s="110"/>
      <c r="F38" s="161"/>
      <c r="G38" s="161"/>
      <c r="H38" s="161"/>
    </row>
    <row r="39" customFormat="1" ht="205" customHeight="1" spans="1:8">
      <c r="A39" s="94">
        <f>SUBTOTAL(103,$D$4:D39)</f>
        <v>31</v>
      </c>
      <c r="B39" s="99" t="s">
        <v>282</v>
      </c>
      <c r="C39" s="66" t="str">
        <f>_xlfn.DISPIMG("ID_C60CF4801CA24E5BADC2987741BC533B",1)</f>
        <v>=DISPIMG("ID_C60CF4801CA24E5BADC2987741BC533B",1)</v>
      </c>
      <c r="D39" s="94" t="s">
        <v>283</v>
      </c>
      <c r="E39" s="22" t="s">
        <v>284</v>
      </c>
      <c r="F39" s="66">
        <v>254</v>
      </c>
      <c r="G39" s="66" t="s">
        <v>37</v>
      </c>
      <c r="H39" s="150"/>
    </row>
    <row r="40" customFormat="1" ht="175" customHeight="1" spans="1:8">
      <c r="A40" s="94">
        <f>SUBTOTAL(103,$D$4:D40)</f>
        <v>32</v>
      </c>
      <c r="B40" s="95" t="s">
        <v>84</v>
      </c>
      <c r="C40" s="120" t="str">
        <f>_xlfn.DISPIMG("ID_2BCB95DA934043808FBBC46EF9E3FFDE",1)</f>
        <v>=DISPIMG("ID_2BCB95DA934043808FBBC46EF9E3FFDE",1)</v>
      </c>
      <c r="D40" s="99" t="s">
        <v>85</v>
      </c>
      <c r="E40" s="20" t="s">
        <v>285</v>
      </c>
      <c r="F40" s="66">
        <v>15</v>
      </c>
      <c r="G40" s="66" t="s">
        <v>43</v>
      </c>
      <c r="H40" s="123"/>
    </row>
    <row r="41" customFormat="1" ht="169" customHeight="1" spans="1:8">
      <c r="A41" s="94">
        <f>SUBTOTAL(103,$D$4:D41)</f>
        <v>33</v>
      </c>
      <c r="B41" s="95" t="s">
        <v>69</v>
      </c>
      <c r="C41" s="120" t="str">
        <f>_xlfn.DISPIMG("ID_B9578F2A47894F0EA272DEAF030F2F84",1)</f>
        <v>=DISPIMG("ID_B9578F2A47894F0EA272DEAF030F2F84",1)</v>
      </c>
      <c r="D41" s="99" t="s">
        <v>118</v>
      </c>
      <c r="E41" s="20" t="s">
        <v>260</v>
      </c>
      <c r="F41" s="66">
        <v>239</v>
      </c>
      <c r="G41" s="66" t="s">
        <v>43</v>
      </c>
      <c r="H41" s="123"/>
    </row>
    <row r="42" customFormat="1" ht="155" customHeight="1" spans="1:8">
      <c r="A42" s="94">
        <f>SUBTOTAL(103,$D$4:D42)</f>
        <v>34</v>
      </c>
      <c r="B42" s="97" t="s">
        <v>72</v>
      </c>
      <c r="C42" s="98" t="str">
        <f>_xlfn.DISPIMG("ID_D541B9A8CFB544AB9080277B620A2759",1)</f>
        <v>=DISPIMG("ID_D541B9A8CFB544AB9080277B620A2759",1)</v>
      </c>
      <c r="D42" s="96" t="s">
        <v>73</v>
      </c>
      <c r="E42" s="108" t="s">
        <v>74</v>
      </c>
      <c r="F42" s="96">
        <v>31</v>
      </c>
      <c r="G42" s="96" t="s">
        <v>47</v>
      </c>
      <c r="H42" s="151"/>
    </row>
    <row r="43" customFormat="1" ht="165" customHeight="1" spans="1:8">
      <c r="A43" s="94">
        <f>SUBTOTAL(103,$D$4:D43)</f>
        <v>35</v>
      </c>
      <c r="B43" s="97" t="s">
        <v>77</v>
      </c>
      <c r="C43" s="98" t="str">
        <f>_xlfn.DISPIMG("ID_2AFF487BE1BB440A87B48DC442811A94",1)</f>
        <v>=DISPIMG("ID_2AFF487BE1BB440A87B48DC442811A94",1)</v>
      </c>
      <c r="D43" s="96" t="s">
        <v>78</v>
      </c>
      <c r="E43" s="108" t="s">
        <v>79</v>
      </c>
      <c r="F43" s="96">
        <v>21</v>
      </c>
      <c r="G43" s="96" t="s">
        <v>47</v>
      </c>
      <c r="H43" s="125"/>
    </row>
    <row r="44" customFormat="1" ht="143" customHeight="1" spans="1:8">
      <c r="A44" s="94">
        <f>SUBTOTAL(103,$D$4:D44)</f>
        <v>36</v>
      </c>
      <c r="B44" s="96" t="s">
        <v>75</v>
      </c>
      <c r="C44" s="98" t="str">
        <f>_xlfn.DISPIMG("ID_DAF769370E9241BC85A7994C2A288440",1)</f>
        <v>=DISPIMG("ID_DAF769370E9241BC85A7994C2A288440",1)</v>
      </c>
      <c r="D44" s="96" t="s">
        <v>286</v>
      </c>
      <c r="E44" s="108" t="s">
        <v>74</v>
      </c>
      <c r="F44" s="96">
        <v>136</v>
      </c>
      <c r="G44" s="96" t="s">
        <v>47</v>
      </c>
      <c r="H44" s="125"/>
    </row>
    <row r="45" customFormat="1" ht="136" customHeight="1" spans="1:8">
      <c r="A45" s="94">
        <f>SUBTOTAL(103,$D$4:D45)</f>
        <v>37</v>
      </c>
      <c r="B45" s="66" t="s">
        <v>287</v>
      </c>
      <c r="C45" s="66" t="str">
        <f>_xlfn.DISPIMG("ID_C1D25659C9A9400D9E86B10539BC19F9",1)</f>
        <v>=DISPIMG("ID_C1D25659C9A9400D9E86B10539BC19F9",1)</v>
      </c>
      <c r="D45" s="66" t="s">
        <v>288</v>
      </c>
      <c r="E45" s="20" t="s">
        <v>289</v>
      </c>
      <c r="F45" s="66">
        <v>13</v>
      </c>
      <c r="G45" s="66" t="s">
        <v>37</v>
      </c>
      <c r="H45" s="94"/>
    </row>
    <row r="46" customFormat="1" ht="135" customHeight="1" spans="1:8">
      <c r="A46" s="94">
        <f>SUBTOTAL(103,$D$4:D46)</f>
        <v>38</v>
      </c>
      <c r="B46" s="66" t="s">
        <v>290</v>
      </c>
      <c r="C46" s="66" t="str">
        <f>_xlfn.DISPIMG("ID_96E02F5DAC8B44818F544649ABF8ADEF",1)</f>
        <v>=DISPIMG("ID_96E02F5DAC8B44818F544649ABF8ADEF",1)</v>
      </c>
      <c r="D46" s="66" t="s">
        <v>291</v>
      </c>
      <c r="E46" s="20" t="s">
        <v>292</v>
      </c>
      <c r="F46" s="66">
        <v>3</v>
      </c>
      <c r="G46" s="66" t="s">
        <v>37</v>
      </c>
      <c r="H46" s="94"/>
    </row>
    <row r="47" customFormat="1" ht="113" customHeight="1" spans="1:8">
      <c r="A47" s="94">
        <f>SUBTOTAL(103,$D$4:D47)</f>
        <v>39</v>
      </c>
      <c r="B47" s="66" t="s">
        <v>108</v>
      </c>
      <c r="C47" s="66" t="str">
        <f>_xlfn.DISPIMG("ID_185F0CC1FCA749DCAF5539E2796A344C",1)</f>
        <v>=DISPIMG("ID_185F0CC1FCA749DCAF5539E2796A344C",1)</v>
      </c>
      <c r="D47" s="66" t="s">
        <v>140</v>
      </c>
      <c r="E47" s="108" t="s">
        <v>293</v>
      </c>
      <c r="F47" s="66">
        <v>90</v>
      </c>
      <c r="G47" s="66" t="s">
        <v>43</v>
      </c>
      <c r="H47" s="66"/>
    </row>
    <row r="48" s="86" customFormat="1" ht="18" customHeight="1" spans="1:8">
      <c r="A48" s="153" t="s">
        <v>294</v>
      </c>
      <c r="B48" s="153"/>
      <c r="C48" s="153"/>
      <c r="D48" s="153"/>
      <c r="E48" s="110"/>
      <c r="F48" s="161"/>
      <c r="G48" s="161"/>
      <c r="H48" s="161"/>
    </row>
    <row r="49" customFormat="1" ht="140" customHeight="1" spans="1:8">
      <c r="A49" s="94">
        <f>SUBTOTAL(103,$D$4:D49)</f>
        <v>40</v>
      </c>
      <c r="B49" s="66" t="s">
        <v>295</v>
      </c>
      <c r="C49" s="66" t="str">
        <f>_xlfn.DISPIMG("ID_3EE444D40EA44B6A878CD4EA2F7EB118",1)</f>
        <v>=DISPIMG("ID_3EE444D40EA44B6A878CD4EA2F7EB118",1)</v>
      </c>
      <c r="D49" s="66" t="s">
        <v>296</v>
      </c>
      <c r="E49" s="20" t="s">
        <v>297</v>
      </c>
      <c r="F49" s="66">
        <v>3</v>
      </c>
      <c r="G49" s="66" t="s">
        <v>37</v>
      </c>
      <c r="H49" s="66"/>
    </row>
    <row r="50" customFormat="1" ht="113" customHeight="1" spans="1:8">
      <c r="A50" s="94">
        <f>SUBTOTAL(103,$D$4:D50)</f>
        <v>41</v>
      </c>
      <c r="B50" s="66" t="s">
        <v>108</v>
      </c>
      <c r="C50" s="66" t="str">
        <f>_xlfn.DISPIMG("ID_4E183D71299D42F3AC377D3AA385A16E",1)</f>
        <v>=DISPIMG("ID_4E183D71299D42F3AC377D3AA385A16E",1)</v>
      </c>
      <c r="D50" s="66" t="s">
        <v>140</v>
      </c>
      <c r="E50" s="108" t="s">
        <v>293</v>
      </c>
      <c r="F50" s="66">
        <v>60</v>
      </c>
      <c r="G50" s="66" t="s">
        <v>43</v>
      </c>
      <c r="H50" s="94"/>
    </row>
    <row r="51" customFormat="1" ht="141" customHeight="1" spans="1:8">
      <c r="A51" s="94">
        <f>SUBTOTAL(103,$D$4:D51)</f>
        <v>42</v>
      </c>
      <c r="B51" s="97" t="s">
        <v>77</v>
      </c>
      <c r="C51" s="98" t="str">
        <f>_xlfn.DISPIMG("ID_83FB4A0580EB44AFB6EB5E76F124B0FD",1)</f>
        <v>=DISPIMG("ID_83FB4A0580EB44AFB6EB5E76F124B0FD",1)</v>
      </c>
      <c r="D51" s="96" t="s">
        <v>78</v>
      </c>
      <c r="E51" s="108" t="s">
        <v>79</v>
      </c>
      <c r="F51" s="96">
        <v>3</v>
      </c>
      <c r="G51" s="96" t="s">
        <v>47</v>
      </c>
      <c r="H51" s="125"/>
    </row>
    <row r="52" s="86" customFormat="1" ht="18" customHeight="1" spans="1:8">
      <c r="A52" s="153" t="s">
        <v>298</v>
      </c>
      <c r="B52" s="153"/>
      <c r="C52" s="153"/>
      <c r="D52" s="153"/>
      <c r="E52" s="110"/>
      <c r="F52" s="161"/>
      <c r="G52" s="161"/>
      <c r="H52" s="161"/>
    </row>
    <row r="53" customFormat="1" ht="241" customHeight="1" spans="1:8">
      <c r="A53" s="94">
        <f>SUBTOTAL(103,$D$4:D53)</f>
        <v>43</v>
      </c>
      <c r="B53" s="99" t="s">
        <v>299</v>
      </c>
      <c r="C53" s="95" t="str">
        <f>_xlfn.DISPIMG("ID_8C5D7447EA5A4A55B49E8D28FFAD2DEC",1)</f>
        <v>=DISPIMG("ID_8C5D7447EA5A4A55B49E8D28FFAD2DEC",1)</v>
      </c>
      <c r="D53" s="95" t="s">
        <v>106</v>
      </c>
      <c r="E53" s="108" t="s">
        <v>300</v>
      </c>
      <c r="F53" s="99">
        <v>36</v>
      </c>
      <c r="G53" s="99" t="s">
        <v>37</v>
      </c>
      <c r="H53" s="95"/>
    </row>
    <row r="54" customFormat="1" ht="134" customHeight="1" spans="1:8">
      <c r="A54" s="94">
        <f>SUBTOTAL(103,$D$4:D54)</f>
        <v>44</v>
      </c>
      <c r="B54" s="99" t="s">
        <v>301</v>
      </c>
      <c r="C54" s="95" t="str">
        <f>_xlfn.DISPIMG("ID_2543A6939C7F4F8E82FD7613E20FBAFC",1)</f>
        <v>=DISPIMG("ID_2543A6939C7F4F8E82FD7613E20FBAFC",1)</v>
      </c>
      <c r="D54" s="95" t="s">
        <v>302</v>
      </c>
      <c r="E54" s="108" t="s">
        <v>303</v>
      </c>
      <c r="F54" s="99">
        <v>71</v>
      </c>
      <c r="G54" s="99" t="s">
        <v>43</v>
      </c>
      <c r="H54" s="95"/>
    </row>
    <row r="55" s="86" customFormat="1" ht="37" customHeight="1" spans="1:8">
      <c r="A55" s="153" t="s">
        <v>304</v>
      </c>
      <c r="B55" s="153"/>
      <c r="C55" s="153"/>
      <c r="D55" s="153"/>
      <c r="E55" s="110"/>
      <c r="F55" s="161"/>
      <c r="G55" s="161"/>
      <c r="H55" s="161"/>
    </row>
    <row r="56" customFormat="1" ht="129" customHeight="1" spans="1:8">
      <c r="A56" s="94">
        <f>SUBTOTAL(103,$D$4:D56)</f>
        <v>45</v>
      </c>
      <c r="B56" s="66" t="s">
        <v>125</v>
      </c>
      <c r="C56" s="66" t="str">
        <f>_xlfn.DISPIMG("ID_3C6660278C6F43D48B6B5A0EB218E885",1)</f>
        <v>=DISPIMG("ID_3C6660278C6F43D48B6B5A0EB218E885",1)</v>
      </c>
      <c r="D56" s="66" t="s">
        <v>126</v>
      </c>
      <c r="E56" s="20" t="s">
        <v>93</v>
      </c>
      <c r="F56" s="66">
        <v>30</v>
      </c>
      <c r="G56" s="66" t="s">
        <v>54</v>
      </c>
      <c r="H56" s="95"/>
    </row>
  </sheetData>
  <autoFilter xmlns:etc="http://www.wps.cn/officeDocument/2017/etCustomData" ref="A1:H55" etc:filterBottomFollowUsedRange="0">
    <extLst/>
  </autoFilter>
  <mergeCells count="12">
    <mergeCell ref="A1:H1"/>
    <mergeCell ref="A3:D3"/>
    <mergeCell ref="A9:D9"/>
    <mergeCell ref="A15:D15"/>
    <mergeCell ref="A22:D22"/>
    <mergeCell ref="A28:D28"/>
    <mergeCell ref="A38:D38"/>
    <mergeCell ref="A48:D48"/>
    <mergeCell ref="A52:D52"/>
    <mergeCell ref="A55:D55"/>
    <mergeCell ref="C19:C20"/>
    <mergeCell ref="E19:E20"/>
  </mergeCells>
  <printOptions horizontalCentered="1"/>
  <pageMargins left="0.393055555555556" right="0.393055555555556" top="0.786805555555556" bottom="0.786805555555556" header="0.5" footer="0.5"/>
  <pageSetup paperSize="9" scale="70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H51"/>
  <sheetViews>
    <sheetView view="pageBreakPreview" zoomScale="90" zoomScaleNormal="70" workbookViewId="0">
      <pane ySplit="2" topLeftCell="A46" activePane="bottomLeft" state="frozen"/>
      <selection/>
      <selection pane="bottomLeft" activeCell="E51" sqref="E51"/>
    </sheetView>
  </sheetViews>
  <sheetFormatPr defaultColWidth="9" defaultRowHeight="16.8" outlineLevelCol="7"/>
  <cols>
    <col min="1" max="1" width="5.25" customWidth="1"/>
    <col min="2" max="2" width="12.3846153846154" customWidth="1"/>
    <col min="3" max="3" width="25" customWidth="1"/>
    <col min="4" max="4" width="21.8846153846154" customWidth="1"/>
    <col min="5" max="5" width="74.25" customWidth="1"/>
    <col min="6" max="6" width="5.38461538461539" customWidth="1"/>
    <col min="7" max="7" width="4.57692307692308" customWidth="1"/>
    <col min="8" max="8" width="7.22115384615385" style="134" customWidth="1"/>
  </cols>
  <sheetData>
    <row r="1" ht="40" customHeight="1" spans="1:8">
      <c r="A1" s="135" t="s">
        <v>305</v>
      </c>
      <c r="B1" s="136"/>
      <c r="C1" s="136"/>
      <c r="D1" s="136"/>
      <c r="E1" s="136"/>
      <c r="F1" s="136"/>
      <c r="G1" s="136"/>
      <c r="H1" s="135"/>
    </row>
    <row r="2" s="86" customFormat="1" ht="59" customHeight="1" spans="1:8">
      <c r="A2" s="137" t="s">
        <v>1</v>
      </c>
      <c r="B2" s="137" t="s">
        <v>26</v>
      </c>
      <c r="C2" s="137" t="s">
        <v>27</v>
      </c>
      <c r="D2" s="137" t="s">
        <v>28</v>
      </c>
      <c r="E2" s="137" t="s">
        <v>29</v>
      </c>
      <c r="F2" s="137" t="s">
        <v>30</v>
      </c>
      <c r="G2" s="137" t="s">
        <v>31</v>
      </c>
      <c r="H2" s="137" t="s">
        <v>4</v>
      </c>
    </row>
    <row r="3" ht="22" customHeight="1" spans="1:8">
      <c r="A3" s="138" t="s">
        <v>306</v>
      </c>
      <c r="B3" s="138"/>
      <c r="C3" s="138"/>
      <c r="D3" s="139"/>
      <c r="E3" s="139"/>
      <c r="F3" s="139"/>
      <c r="G3" s="139"/>
      <c r="H3" s="145"/>
    </row>
    <row r="4" ht="27" customHeight="1" spans="1:8">
      <c r="A4" s="140" t="s">
        <v>307</v>
      </c>
      <c r="B4" s="140"/>
      <c r="C4" s="140"/>
      <c r="D4" s="141"/>
      <c r="E4" s="146"/>
      <c r="F4" s="141"/>
      <c r="G4" s="141"/>
      <c r="H4" s="147"/>
    </row>
    <row r="5" ht="290" customHeight="1" spans="1:8">
      <c r="A5" s="94">
        <f>SUBTOTAL(103,$D$4:D5)</f>
        <v>1</v>
      </c>
      <c r="B5" s="142" t="s">
        <v>308</v>
      </c>
      <c r="C5" s="143" t="str">
        <f>_xlfn.DISPIMG("ID_7D4FED95FD8D4F03B46E7BCF8FDED6C8",1)</f>
        <v>=DISPIMG("ID_7D4FED95FD8D4F03B46E7BCF8FDED6C8",1)</v>
      </c>
      <c r="D5" s="96" t="s">
        <v>309</v>
      </c>
      <c r="E5" s="107" t="s">
        <v>310</v>
      </c>
      <c r="F5" s="143">
        <v>318</v>
      </c>
      <c r="G5" s="143" t="s">
        <v>209</v>
      </c>
      <c r="H5" s="142"/>
    </row>
    <row r="6" customFormat="1" ht="134" customHeight="1" spans="1:8">
      <c r="A6" s="94">
        <f>SUBTOTAL(103,$D$4:D6)</f>
        <v>2</v>
      </c>
      <c r="B6" s="96" t="s">
        <v>311</v>
      </c>
      <c r="C6" s="98" t="str">
        <f>_xlfn.DISPIMG("ID_BD5129FEA5D142D78931BE813C3B17F2",1)</f>
        <v>=DISPIMG("ID_BD5129FEA5D142D78931BE813C3B17F2",1)</v>
      </c>
      <c r="D6" s="96" t="s">
        <v>312</v>
      </c>
      <c r="E6" s="148" t="s">
        <v>313</v>
      </c>
      <c r="F6" s="96">
        <v>24</v>
      </c>
      <c r="G6" s="96" t="s">
        <v>54</v>
      </c>
      <c r="H6" s="97"/>
    </row>
    <row r="7" customFormat="1" ht="25" customHeight="1" spans="1:8">
      <c r="A7" s="140" t="s">
        <v>314</v>
      </c>
      <c r="B7" s="140"/>
      <c r="C7" s="140"/>
      <c r="D7" s="141"/>
      <c r="E7" s="146"/>
      <c r="F7" s="141"/>
      <c r="G7" s="141"/>
      <c r="H7" s="147"/>
    </row>
    <row r="8" ht="145" customHeight="1" spans="1:8">
      <c r="A8" s="94">
        <f>SUBTOTAL(103,$D$4:D8)</f>
        <v>3</v>
      </c>
      <c r="B8" s="143" t="s">
        <v>315</v>
      </c>
      <c r="C8" s="120" t="str">
        <f>_xlfn.DISPIMG("ID_9B7853DDD4A64C0CA6C30B0A5A80D35C",1)</f>
        <v>=DISPIMG("ID_9B7853DDD4A64C0CA6C30B0A5A80D35C",1)</v>
      </c>
      <c r="D8" s="143" t="s">
        <v>211</v>
      </c>
      <c r="E8" s="108" t="s">
        <v>142</v>
      </c>
      <c r="F8" s="96">
        <v>5</v>
      </c>
      <c r="G8" s="143" t="s">
        <v>37</v>
      </c>
      <c r="H8" s="149"/>
    </row>
    <row r="9" ht="191" customHeight="1" spans="1:8">
      <c r="A9" s="94">
        <f>SUBTOTAL(103,$D$4:D9)</f>
        <v>4</v>
      </c>
      <c r="B9" s="95" t="s">
        <v>69</v>
      </c>
      <c r="C9" s="98" t="str">
        <f>_xlfn.DISPIMG("ID_5D44236CF8DB4A28980D9B87ADABB1A5",1)</f>
        <v>=DISPIMG("ID_5D44236CF8DB4A28980D9B87ADABB1A5",1)</v>
      </c>
      <c r="D9" s="96" t="s">
        <v>118</v>
      </c>
      <c r="E9" s="20" t="s">
        <v>316</v>
      </c>
      <c r="F9" s="96">
        <v>5</v>
      </c>
      <c r="G9" s="96" t="s">
        <v>43</v>
      </c>
      <c r="H9" s="150"/>
    </row>
    <row r="10" ht="168" customHeight="1" spans="1:8">
      <c r="A10" s="94">
        <f>SUBTOTAL(103,$D$4:D10)</f>
        <v>5</v>
      </c>
      <c r="B10" s="96" t="s">
        <v>72</v>
      </c>
      <c r="C10" s="98" t="str">
        <f>_xlfn.DISPIMG("ID_18E65CD3FFFA4D11B68F2136A90576C2",1)</f>
        <v>=DISPIMG("ID_18E65CD3FFFA4D11B68F2136A90576C2",1)</v>
      </c>
      <c r="D10" s="96" t="s">
        <v>73</v>
      </c>
      <c r="E10" s="108" t="s">
        <v>74</v>
      </c>
      <c r="F10" s="96">
        <v>2</v>
      </c>
      <c r="G10" s="96" t="s">
        <v>47</v>
      </c>
      <c r="H10" s="150"/>
    </row>
    <row r="11" customFormat="1" ht="18" customHeight="1" spans="1:8">
      <c r="A11" s="140" t="s">
        <v>317</v>
      </c>
      <c r="B11" s="140"/>
      <c r="C11" s="140"/>
      <c r="D11" s="141"/>
      <c r="E11" s="146"/>
      <c r="F11" s="141"/>
      <c r="G11" s="141"/>
      <c r="H11" s="147"/>
    </row>
    <row r="12" ht="194" customHeight="1" spans="1:8">
      <c r="A12" s="94">
        <f>SUBTOTAL(103,$D$4:D12)</f>
        <v>6</v>
      </c>
      <c r="B12" s="96" t="s">
        <v>318</v>
      </c>
      <c r="C12" s="143" t="str">
        <f>_xlfn.DISPIMG("ID_74201AD59B194C828AACBD78CE1AF740",1)</f>
        <v>=DISPIMG("ID_74201AD59B194C828AACBD78CE1AF740",1)</v>
      </c>
      <c r="D12" s="143" t="s">
        <v>319</v>
      </c>
      <c r="E12" s="132" t="s">
        <v>320</v>
      </c>
      <c r="F12" s="143">
        <v>42</v>
      </c>
      <c r="G12" s="143" t="s">
        <v>321</v>
      </c>
      <c r="H12" s="97"/>
    </row>
    <row r="13" ht="90" customHeight="1" spans="1:8">
      <c r="A13" s="94">
        <f>SUBTOTAL(103,$D$4:D13)</f>
        <v>7</v>
      </c>
      <c r="B13" s="96" t="s">
        <v>322</v>
      </c>
      <c r="C13" s="144" t="str">
        <f>_xlfn.DISPIMG("ID_599BC45C9C1545C9955FA90C966BE3E5",1)</f>
        <v>=DISPIMG("ID_599BC45C9C1545C9955FA90C966BE3E5",1)</v>
      </c>
      <c r="D13" s="96" t="s">
        <v>323</v>
      </c>
      <c r="E13" s="107" t="s">
        <v>324</v>
      </c>
      <c r="F13" s="96">
        <v>4</v>
      </c>
      <c r="G13" s="96" t="s">
        <v>37</v>
      </c>
      <c r="H13" s="97"/>
    </row>
    <row r="14" ht="26" customHeight="1" spans="1:8">
      <c r="A14" s="138" t="s">
        <v>325</v>
      </c>
      <c r="B14" s="138"/>
      <c r="C14" s="138"/>
      <c r="D14" s="139"/>
      <c r="E14" s="139"/>
      <c r="F14" s="139"/>
      <c r="G14" s="139"/>
      <c r="H14" s="145"/>
    </row>
    <row r="15" customFormat="1" ht="18" customHeight="1" spans="1:8">
      <c r="A15" s="140" t="s">
        <v>326</v>
      </c>
      <c r="B15" s="140"/>
      <c r="C15" s="140"/>
      <c r="D15" s="141"/>
      <c r="E15" s="146"/>
      <c r="F15" s="141"/>
      <c r="G15" s="141"/>
      <c r="H15" s="147"/>
    </row>
    <row r="16" ht="291" customHeight="1" spans="1:8">
      <c r="A16" s="94">
        <f>SUBTOTAL(103,$D$4:D16)</f>
        <v>8</v>
      </c>
      <c r="B16" s="97" t="s">
        <v>308</v>
      </c>
      <c r="C16" s="144" t="str">
        <f>_xlfn.DISPIMG("ID_720C7E594CFB4845B2CE4C482582621B",1)</f>
        <v>=DISPIMG("ID_720C7E594CFB4845B2CE4C482582621B",1)</v>
      </c>
      <c r="D16" s="96" t="s">
        <v>309</v>
      </c>
      <c r="E16" s="107" t="s">
        <v>310</v>
      </c>
      <c r="F16" s="96">
        <v>245</v>
      </c>
      <c r="G16" s="96" t="s">
        <v>209</v>
      </c>
      <c r="H16" s="97"/>
    </row>
    <row r="17" customFormat="1" ht="154" customHeight="1" spans="1:8">
      <c r="A17" s="94">
        <f>SUBTOTAL(103,$D$4:D17)</f>
        <v>9</v>
      </c>
      <c r="B17" s="96" t="s">
        <v>311</v>
      </c>
      <c r="C17" s="98" t="str">
        <f>_xlfn.DISPIMG("ID_E66AD2338E7A47F3AE2B9ACEEBB4CF20",1)</f>
        <v>=DISPIMG("ID_E66AD2338E7A47F3AE2B9ACEEBB4CF20",1)</v>
      </c>
      <c r="D17" s="96" t="s">
        <v>312</v>
      </c>
      <c r="E17" s="148" t="s">
        <v>313</v>
      </c>
      <c r="F17" s="96">
        <v>13</v>
      </c>
      <c r="G17" s="96" t="s">
        <v>54</v>
      </c>
      <c r="H17" s="97"/>
    </row>
    <row r="18" customFormat="1" ht="18" customHeight="1" spans="1:8">
      <c r="A18" s="140" t="s">
        <v>327</v>
      </c>
      <c r="B18" s="140"/>
      <c r="C18" s="140"/>
      <c r="D18" s="141"/>
      <c r="E18" s="146"/>
      <c r="F18" s="141"/>
      <c r="G18" s="141"/>
      <c r="H18" s="147"/>
    </row>
    <row r="19" ht="235" customHeight="1" spans="1:8">
      <c r="A19" s="94">
        <f>SUBTOTAL(103,$D$4:D19)</f>
        <v>10</v>
      </c>
      <c r="B19" s="97" t="s">
        <v>328</v>
      </c>
      <c r="C19" s="144" t="str">
        <f>_xlfn.DISPIMG("ID_29AA21CD3FE9496594678A8FABE465C9",1)</f>
        <v>=DISPIMG("ID_29AA21CD3FE9496594678A8FABE465C9",1)</v>
      </c>
      <c r="D19" s="96" t="s">
        <v>67</v>
      </c>
      <c r="E19" s="107" t="s">
        <v>329</v>
      </c>
      <c r="F19" s="96">
        <v>36</v>
      </c>
      <c r="G19" s="96" t="s">
        <v>209</v>
      </c>
      <c r="H19" s="97"/>
    </row>
    <row r="20" ht="205" customHeight="1" spans="1:8">
      <c r="A20" s="94">
        <f>SUBTOTAL(103,$D$4:D20)</f>
        <v>11</v>
      </c>
      <c r="B20" s="96" t="s">
        <v>330</v>
      </c>
      <c r="C20" s="144" t="str">
        <f>_xlfn.DISPIMG("ID_A90DD890876D4082B62B88469C19CA73",1)</f>
        <v>=DISPIMG("ID_A90DD890876D4082B62B88469C19CA73",1)</v>
      </c>
      <c r="D20" s="96" t="s">
        <v>331</v>
      </c>
      <c r="E20" s="107" t="s">
        <v>332</v>
      </c>
      <c r="F20" s="96">
        <v>234</v>
      </c>
      <c r="G20" s="96" t="s">
        <v>43</v>
      </c>
      <c r="H20" s="97"/>
    </row>
    <row r="21" ht="117" customHeight="1" spans="1:8">
      <c r="A21" s="94">
        <f>SUBTOTAL(103,$D$4:D21)</f>
        <v>12</v>
      </c>
      <c r="B21" s="97" t="s">
        <v>333</v>
      </c>
      <c r="C21" s="98" t="str">
        <f>_xlfn.DISPIMG("ID_A7DED97FC76B46A5A3477EBFC3EB831E",1)</f>
        <v>=DISPIMG("ID_A7DED97FC76B46A5A3477EBFC3EB831E",1)</v>
      </c>
      <c r="D21" s="96" t="s">
        <v>334</v>
      </c>
      <c r="E21" s="148" t="s">
        <v>335</v>
      </c>
      <c r="F21" s="96">
        <v>1</v>
      </c>
      <c r="G21" s="96" t="s">
        <v>209</v>
      </c>
      <c r="H21" s="97"/>
    </row>
    <row r="22" ht="87" customHeight="1" spans="1:8">
      <c r="A22" s="94">
        <f>SUBTOTAL(103,$D$4:D22)</f>
        <v>13</v>
      </c>
      <c r="B22" s="96" t="s">
        <v>336</v>
      </c>
      <c r="C22" s="98" t="str">
        <f>_xlfn.DISPIMG("ID_FB6D4554EBB8455B8D12C5FAFF11603B",1)</f>
        <v>=DISPIMG("ID_FB6D4554EBB8455B8D12C5FAFF11603B",1)</v>
      </c>
      <c r="D22" s="96" t="s">
        <v>337</v>
      </c>
      <c r="E22" s="148"/>
      <c r="F22" s="96">
        <v>4</v>
      </c>
      <c r="G22" s="96" t="s">
        <v>54</v>
      </c>
      <c r="H22" s="97"/>
    </row>
    <row r="23" ht="156" customHeight="1" spans="1:8">
      <c r="A23" s="94">
        <f>SUBTOTAL(103,$D$4:D23)</f>
        <v>14</v>
      </c>
      <c r="B23" s="96" t="s">
        <v>338</v>
      </c>
      <c r="C23" s="98" t="str">
        <f>_xlfn.DISPIMG("ID_A2E1E144472D4922B59E128136012806",1)</f>
        <v>=DISPIMG("ID_A2E1E144472D4922B59E128136012806",1)</v>
      </c>
      <c r="D23" s="96" t="s">
        <v>67</v>
      </c>
      <c r="E23" s="107" t="s">
        <v>339</v>
      </c>
      <c r="F23" s="96">
        <v>5</v>
      </c>
      <c r="G23" s="96" t="s">
        <v>37</v>
      </c>
      <c r="H23" s="97"/>
    </row>
    <row r="24" ht="68" customHeight="1" spans="1:8">
      <c r="A24" s="94">
        <f>SUBTOTAL(103,$D$4:D24)</f>
        <v>15</v>
      </c>
      <c r="B24" s="96" t="s">
        <v>311</v>
      </c>
      <c r="C24" s="96" t="str">
        <f>_xlfn.DISPIMG("ID_C96157DF785D4BEB98E7E5F40B78401B",1)</f>
        <v>=DISPIMG("ID_C96157DF785D4BEB98E7E5F40B78401B",1)</v>
      </c>
      <c r="D24" s="96" t="s">
        <v>340</v>
      </c>
      <c r="E24" s="148" t="s">
        <v>313</v>
      </c>
      <c r="F24" s="96">
        <v>4</v>
      </c>
      <c r="G24" s="96" t="s">
        <v>54</v>
      </c>
      <c r="H24" s="97"/>
    </row>
    <row r="25" ht="68" customHeight="1" spans="1:8">
      <c r="A25" s="94">
        <f>SUBTOTAL(103,$D$4:D25)</f>
        <v>16</v>
      </c>
      <c r="B25" s="96" t="s">
        <v>311</v>
      </c>
      <c r="C25" s="96"/>
      <c r="D25" s="96" t="s">
        <v>341</v>
      </c>
      <c r="E25" s="148"/>
      <c r="F25" s="96">
        <v>4</v>
      </c>
      <c r="G25" s="96" t="s">
        <v>54</v>
      </c>
      <c r="H25" s="97"/>
    </row>
    <row r="26" ht="216" customHeight="1" spans="1:8">
      <c r="A26" s="94">
        <f>SUBTOTAL(103,$D$4:D26)</f>
        <v>17</v>
      </c>
      <c r="B26" s="96" t="s">
        <v>342</v>
      </c>
      <c r="C26" s="98" t="str">
        <f>_xlfn.DISPIMG("ID_1E61FC0A8DA24147BEFD45D98243D38C",1)</f>
        <v>=DISPIMG("ID_1E61FC0A8DA24147BEFD45D98243D38C",1)</v>
      </c>
      <c r="D26" s="96" t="s">
        <v>343</v>
      </c>
      <c r="E26" s="107" t="s">
        <v>344</v>
      </c>
      <c r="F26" s="96">
        <v>21</v>
      </c>
      <c r="G26" s="96" t="s">
        <v>37</v>
      </c>
      <c r="H26" s="97"/>
    </row>
    <row r="27" customFormat="1" ht="18" customHeight="1" spans="1:8">
      <c r="A27" s="140" t="s">
        <v>345</v>
      </c>
      <c r="B27" s="140"/>
      <c r="C27" s="140"/>
      <c r="D27" s="141"/>
      <c r="E27" s="146"/>
      <c r="F27" s="141"/>
      <c r="G27" s="141"/>
      <c r="H27" s="147"/>
    </row>
    <row r="28" ht="155" customHeight="1" spans="1:8">
      <c r="A28" s="94">
        <f>SUBTOTAL(103,$D$4:D28)</f>
        <v>18</v>
      </c>
      <c r="B28" s="96" t="s">
        <v>315</v>
      </c>
      <c r="C28" s="120" t="str">
        <f>_xlfn.DISPIMG("ID_871DEE5AA8DA47A895337171F2B30AE9",1)</f>
        <v>=DISPIMG("ID_871DEE5AA8DA47A895337171F2B30AE9",1)</v>
      </c>
      <c r="D28" s="96" t="s">
        <v>211</v>
      </c>
      <c r="E28" s="108" t="s">
        <v>142</v>
      </c>
      <c r="F28" s="96">
        <v>2</v>
      </c>
      <c r="G28" s="96" t="s">
        <v>37</v>
      </c>
      <c r="H28" s="149"/>
    </row>
    <row r="29" ht="186" customHeight="1" spans="1:8">
      <c r="A29" s="94">
        <f>SUBTOTAL(103,$D$4:D29)</f>
        <v>19</v>
      </c>
      <c r="B29" s="95" t="s">
        <v>69</v>
      </c>
      <c r="C29" s="98" t="str">
        <f>_xlfn.DISPIMG("ID_4548B8BFC4EB4601A2CF54C4153FB31F",1)</f>
        <v>=DISPIMG("ID_4548B8BFC4EB4601A2CF54C4153FB31F",1)</v>
      </c>
      <c r="D29" s="96" t="s">
        <v>118</v>
      </c>
      <c r="E29" s="20" t="s">
        <v>260</v>
      </c>
      <c r="F29" s="96">
        <v>2</v>
      </c>
      <c r="G29" s="96" t="s">
        <v>43</v>
      </c>
      <c r="H29" s="150"/>
    </row>
    <row r="30" ht="173" customHeight="1" spans="1:8">
      <c r="A30" s="94">
        <f>SUBTOTAL(103,$D$4:D30)</f>
        <v>20</v>
      </c>
      <c r="B30" s="96" t="s">
        <v>346</v>
      </c>
      <c r="C30" s="98" t="str">
        <f>_xlfn.DISPIMG("ID_682670596C39421DBF45C961F094CB3B",1)</f>
        <v>=DISPIMG("ID_682670596C39421DBF45C961F094CB3B",1)</v>
      </c>
      <c r="D30" s="96" t="s">
        <v>73</v>
      </c>
      <c r="E30" s="108" t="s">
        <v>74</v>
      </c>
      <c r="F30" s="96">
        <v>2</v>
      </c>
      <c r="G30" s="96" t="s">
        <v>47</v>
      </c>
      <c r="H30" s="150"/>
    </row>
    <row r="31" customFormat="1" ht="18" customHeight="1" spans="1:8">
      <c r="A31" s="140" t="s">
        <v>347</v>
      </c>
      <c r="B31" s="140"/>
      <c r="C31" s="140"/>
      <c r="D31" s="141"/>
      <c r="E31" s="146"/>
      <c r="F31" s="141"/>
      <c r="G31" s="141"/>
      <c r="H31" s="147"/>
    </row>
    <row r="32" ht="61" customHeight="1" spans="1:8">
      <c r="A32" s="94">
        <f>SUBTOTAL(103,$D$4:D32)</f>
        <v>21</v>
      </c>
      <c r="B32" s="97" t="s">
        <v>348</v>
      </c>
      <c r="C32" s="96" t="str">
        <f>_xlfn.DISPIMG("ID_4CE814A91568495B99F34E9112ED188F",1)</f>
        <v>=DISPIMG("ID_4CE814A91568495B99F34E9112ED188F",1)</v>
      </c>
      <c r="D32" s="96" t="s">
        <v>349</v>
      </c>
      <c r="E32" s="148" t="s">
        <v>350</v>
      </c>
      <c r="F32" s="96">
        <v>1</v>
      </c>
      <c r="G32" s="96" t="s">
        <v>54</v>
      </c>
      <c r="H32" s="97"/>
    </row>
    <row r="33" ht="53" customHeight="1" spans="1:8">
      <c r="A33" s="94">
        <f>SUBTOTAL(103,$D$4:D33)</f>
        <v>22</v>
      </c>
      <c r="B33" s="97" t="s">
        <v>351</v>
      </c>
      <c r="C33" s="96"/>
      <c r="D33" s="96" t="s">
        <v>352</v>
      </c>
      <c r="E33" s="148"/>
      <c r="F33" s="96">
        <v>1</v>
      </c>
      <c r="G33" s="96" t="s">
        <v>54</v>
      </c>
      <c r="H33" s="97"/>
    </row>
    <row r="34" ht="192" customHeight="1" spans="1:8">
      <c r="A34" s="94">
        <f>SUBTOTAL(103,$D$4:D34)</f>
        <v>23</v>
      </c>
      <c r="B34" s="96" t="s">
        <v>330</v>
      </c>
      <c r="C34" s="98" t="str">
        <f>_xlfn.DISPIMG("ID_69C19E7B4DB34330B6CC08C8EFB6E150",1)</f>
        <v>=DISPIMG("ID_69C19E7B4DB34330B6CC08C8EFB6E150",1)</v>
      </c>
      <c r="D34" s="96" t="s">
        <v>353</v>
      </c>
      <c r="E34" s="107" t="s">
        <v>354</v>
      </c>
      <c r="F34" s="96">
        <v>22</v>
      </c>
      <c r="G34" s="96" t="s">
        <v>43</v>
      </c>
      <c r="H34" s="97"/>
    </row>
    <row r="35" ht="87" customHeight="1" spans="1:8">
      <c r="A35" s="94">
        <f>SUBTOTAL(103,$D$4:D35)</f>
        <v>24</v>
      </c>
      <c r="B35" s="96" t="s">
        <v>355</v>
      </c>
      <c r="C35" s="97" t="str">
        <f>_xlfn.DISPIMG("ID_3129945CFB674858B1BA6331A7BCA0CA",1)</f>
        <v>=DISPIMG("ID_3129945CFB674858B1BA6331A7BCA0CA",1)</v>
      </c>
      <c r="D35" s="96" t="s">
        <v>356</v>
      </c>
      <c r="E35" s="148" t="s">
        <v>357</v>
      </c>
      <c r="F35" s="96">
        <v>1</v>
      </c>
      <c r="G35" s="96" t="s">
        <v>54</v>
      </c>
      <c r="H35" s="97"/>
    </row>
    <row r="36" ht="87" customHeight="1" spans="1:8">
      <c r="A36" s="94">
        <f>SUBTOTAL(103,$D$4:D36)</f>
        <v>25</v>
      </c>
      <c r="B36" s="96" t="s">
        <v>358</v>
      </c>
      <c r="C36" s="97"/>
      <c r="D36" s="96" t="s">
        <v>359</v>
      </c>
      <c r="E36" s="148"/>
      <c r="F36" s="96">
        <v>1</v>
      </c>
      <c r="G36" s="96" t="s">
        <v>54</v>
      </c>
      <c r="H36" s="97"/>
    </row>
    <row r="37" ht="147" customHeight="1" spans="1:8">
      <c r="A37" s="94">
        <f>SUBTOTAL(103,$D$4:D37)</f>
        <v>26</v>
      </c>
      <c r="B37" s="96" t="s">
        <v>121</v>
      </c>
      <c r="C37" s="98" t="str">
        <f>_xlfn.DISPIMG("ID_0D745D05623F4B79AE3C3F67800BC391",1)</f>
        <v>=DISPIMG("ID_0D745D05623F4B79AE3C3F67800BC391",1)</v>
      </c>
      <c r="D37" s="96" t="s">
        <v>360</v>
      </c>
      <c r="E37" s="107" t="s">
        <v>361</v>
      </c>
      <c r="F37" s="96">
        <v>1</v>
      </c>
      <c r="G37" s="96" t="s">
        <v>47</v>
      </c>
      <c r="H37" s="97"/>
    </row>
    <row r="38" ht="76" customHeight="1" spans="1:8">
      <c r="A38" s="94">
        <f>SUBTOTAL(103,$D$4:D38)</f>
        <v>27</v>
      </c>
      <c r="B38" s="96" t="s">
        <v>362</v>
      </c>
      <c r="C38" s="98" t="str">
        <f>_xlfn.DISPIMG("ID_BAF91211A77E44C8BCB26DAD219DDC25",1)</f>
        <v>=DISPIMG("ID_BAF91211A77E44C8BCB26DAD219DDC25",1)</v>
      </c>
      <c r="D38" s="96" t="s">
        <v>363</v>
      </c>
      <c r="E38" s="20" t="s">
        <v>364</v>
      </c>
      <c r="F38" s="96">
        <v>1</v>
      </c>
      <c r="G38" s="96" t="s">
        <v>47</v>
      </c>
      <c r="H38" s="97"/>
    </row>
    <row r="39" ht="23" customHeight="1" spans="1:8">
      <c r="A39" s="138" t="s">
        <v>365</v>
      </c>
      <c r="B39" s="138"/>
      <c r="C39" s="138"/>
      <c r="D39" s="139"/>
      <c r="E39" s="139"/>
      <c r="F39" s="139"/>
      <c r="G39" s="139"/>
      <c r="H39" s="145"/>
    </row>
    <row r="40" customFormat="1" ht="18" customHeight="1" spans="1:8">
      <c r="A40" s="140" t="s">
        <v>366</v>
      </c>
      <c r="B40" s="140"/>
      <c r="C40" s="140"/>
      <c r="D40" s="141"/>
      <c r="E40" s="146"/>
      <c r="F40" s="141"/>
      <c r="G40" s="141"/>
      <c r="H40" s="147"/>
    </row>
    <row r="41" ht="153" customHeight="1" spans="1:8">
      <c r="A41" s="94">
        <f>SUBTOTAL(103,$D$4:D41)</f>
        <v>28</v>
      </c>
      <c r="B41" s="97" t="s">
        <v>367</v>
      </c>
      <c r="C41" s="120"/>
      <c r="D41" s="99" t="s">
        <v>82</v>
      </c>
      <c r="E41" s="108" t="s">
        <v>368</v>
      </c>
      <c r="F41" s="66">
        <v>12</v>
      </c>
      <c r="G41" s="66" t="s">
        <v>37</v>
      </c>
      <c r="H41" s="149"/>
    </row>
    <row r="42" ht="186" customHeight="1" spans="1:8">
      <c r="A42" s="94">
        <f>SUBTOTAL(103,$D$4:D42)</f>
        <v>29</v>
      </c>
      <c r="B42" s="95" t="s">
        <v>69</v>
      </c>
      <c r="C42" s="98" t="str">
        <f>_xlfn.DISPIMG("ID_06E34E1397254FD6B65939FEFFB9DB72",1)</f>
        <v>=DISPIMG("ID_06E34E1397254FD6B65939FEFFB9DB72",1)</v>
      </c>
      <c r="D42" s="96" t="s">
        <v>118</v>
      </c>
      <c r="E42" s="20" t="s">
        <v>260</v>
      </c>
      <c r="F42" s="96">
        <v>12</v>
      </c>
      <c r="G42" s="96" t="s">
        <v>43</v>
      </c>
      <c r="H42" s="123"/>
    </row>
    <row r="43" ht="155" customHeight="1" spans="1:8">
      <c r="A43" s="94">
        <f>SUBTOTAL(103,$D$4:D43)</f>
        <v>30</v>
      </c>
      <c r="B43" s="96" t="s">
        <v>72</v>
      </c>
      <c r="C43" s="98" t="str">
        <f>_xlfn.DISPIMG("ID_F3C5125BF8584954BDC475A898E5B8F2",1)</f>
        <v>=DISPIMG("ID_F3C5125BF8584954BDC475A898E5B8F2",1)</v>
      </c>
      <c r="D43" s="96" t="s">
        <v>73</v>
      </c>
      <c r="E43" s="108" t="s">
        <v>74</v>
      </c>
      <c r="F43" s="96">
        <v>12</v>
      </c>
      <c r="G43" s="96" t="s">
        <v>47</v>
      </c>
      <c r="H43" s="97"/>
    </row>
    <row r="44" ht="142" customHeight="1" spans="1:8">
      <c r="A44" s="94">
        <f>SUBTOTAL(103,$D$4:D44)</f>
        <v>31</v>
      </c>
      <c r="B44" s="96" t="s">
        <v>75</v>
      </c>
      <c r="C44" s="98" t="str">
        <f>_xlfn.DISPIMG("ID_A84DA9234E554EFAB5987252A8EE22CB",1)</f>
        <v>=DISPIMG("ID_A84DA9234E554EFAB5987252A8EE22CB",1)</v>
      </c>
      <c r="D44" s="96" t="s">
        <v>286</v>
      </c>
      <c r="E44" s="108" t="s">
        <v>74</v>
      </c>
      <c r="F44" s="96">
        <v>6</v>
      </c>
      <c r="G44" s="96" t="s">
        <v>47</v>
      </c>
      <c r="H44" s="97"/>
    </row>
    <row r="45" ht="142" customHeight="1" spans="1:8">
      <c r="A45" s="94">
        <f>SUBTOTAL(103,$D$4:D45)</f>
        <v>32</v>
      </c>
      <c r="B45" s="96" t="s">
        <v>160</v>
      </c>
      <c r="C45" s="98" t="str">
        <f>_xlfn.DISPIMG("ID_53ABE460851A4419AA33FB457B4D717E",1)</f>
        <v>=DISPIMG("ID_53ABE460851A4419AA33FB457B4D717E",1)</v>
      </c>
      <c r="D45" s="96" t="s">
        <v>78</v>
      </c>
      <c r="E45" s="108" t="s">
        <v>79</v>
      </c>
      <c r="F45" s="96">
        <v>4</v>
      </c>
      <c r="G45" s="96" t="s">
        <v>47</v>
      </c>
      <c r="H45" s="97"/>
    </row>
    <row r="46" s="133" customFormat="1" ht="164" customHeight="1" spans="1:8">
      <c r="A46" s="94">
        <f>SUBTOTAL(103,$D$4:D46)</f>
        <v>33</v>
      </c>
      <c r="B46" s="66" t="s">
        <v>295</v>
      </c>
      <c r="C46" s="66" t="str">
        <f>_xlfn.DISPIMG("ID_9FB5C2A46A104AAFA4B872B585FE0B45",1)</f>
        <v>=DISPIMG("ID_9FB5C2A46A104AAFA4B872B585FE0B45",1)</v>
      </c>
      <c r="D46" s="66" t="s">
        <v>369</v>
      </c>
      <c r="E46" s="20" t="s">
        <v>370</v>
      </c>
      <c r="F46" s="66">
        <v>1</v>
      </c>
      <c r="G46" s="66" t="s">
        <v>37</v>
      </c>
      <c r="H46" s="94"/>
    </row>
    <row r="47" s="133" customFormat="1" ht="96" customHeight="1" spans="1:8">
      <c r="A47" s="94">
        <f>SUBTOTAL(103,$D$4:D47)</f>
        <v>34</v>
      </c>
      <c r="B47" s="66" t="s">
        <v>108</v>
      </c>
      <c r="C47" s="66" t="str">
        <f>_xlfn.DISPIMG("ID_901B98455AFD424E9A8C8DE2C2BBC120",1)</f>
        <v>=DISPIMG("ID_901B98455AFD424E9A8C8DE2C2BBC120",1)</v>
      </c>
      <c r="D47" s="66" t="s">
        <v>140</v>
      </c>
      <c r="E47" s="108" t="s">
        <v>141</v>
      </c>
      <c r="F47" s="66">
        <v>12</v>
      </c>
      <c r="G47" s="66" t="s">
        <v>43</v>
      </c>
      <c r="H47" s="94"/>
    </row>
    <row r="48" customFormat="1" ht="18" customHeight="1" spans="1:8">
      <c r="A48" s="92" t="s">
        <v>371</v>
      </c>
      <c r="B48" s="92"/>
      <c r="C48" s="92"/>
      <c r="D48" s="93"/>
      <c r="E48" s="106"/>
      <c r="F48" s="93"/>
      <c r="G48" s="93"/>
      <c r="H48" s="93"/>
    </row>
    <row r="49" s="114" customFormat="1" ht="165" customHeight="1" spans="1:8">
      <c r="A49" s="94">
        <f>SUBTOTAL(103,$D$4:D49)</f>
        <v>35</v>
      </c>
      <c r="B49" s="94" t="s">
        <v>115</v>
      </c>
      <c r="C49" s="94" t="str">
        <f>_xlfn.DISPIMG("ID_8427496C14584BB197B7A033AB83A745",1)</f>
        <v>=DISPIMG("ID_8427496C14584BB197B7A033AB83A745",1)</v>
      </c>
      <c r="D49" s="94" t="s">
        <v>116</v>
      </c>
      <c r="E49" s="20" t="s">
        <v>370</v>
      </c>
      <c r="F49" s="94">
        <v>1</v>
      </c>
      <c r="G49" s="94" t="s">
        <v>37</v>
      </c>
      <c r="H49" s="94"/>
    </row>
    <row r="50" customFormat="1" ht="192" customHeight="1" spans="1:8">
      <c r="A50" s="94">
        <f>SUBTOTAL(103,$D$4:D50)</f>
        <v>36</v>
      </c>
      <c r="B50" s="95" t="s">
        <v>69</v>
      </c>
      <c r="C50" s="120" t="str">
        <f>_xlfn.DISPIMG("ID_F3017C6E4D5C444E9C0D6F81D1C4D612",1)</f>
        <v>=DISPIMG("ID_F3017C6E4D5C444E9C0D6F81D1C4D612",1)</v>
      </c>
      <c r="D50" s="99" t="s">
        <v>118</v>
      </c>
      <c r="E50" s="20" t="s">
        <v>260</v>
      </c>
      <c r="F50" s="66">
        <v>2</v>
      </c>
      <c r="G50" s="66" t="s">
        <v>43</v>
      </c>
      <c r="H50" s="123"/>
    </row>
    <row r="51" customFormat="1" ht="162" customHeight="1" spans="1:8">
      <c r="A51" s="94">
        <f>SUBTOTAL(103,$D$4:D51)</f>
        <v>37</v>
      </c>
      <c r="B51" s="96" t="s">
        <v>72</v>
      </c>
      <c r="C51" s="98" t="str">
        <f>_xlfn.DISPIMG("ID_06E6AE36827849FD98B852BF51521638",1)</f>
        <v>=DISPIMG("ID_06E6AE36827849FD98B852BF51521638",1)</v>
      </c>
      <c r="D51" s="96" t="s">
        <v>73</v>
      </c>
      <c r="E51" s="108" t="s">
        <v>74</v>
      </c>
      <c r="F51" s="96">
        <v>2</v>
      </c>
      <c r="G51" s="96" t="s">
        <v>47</v>
      </c>
      <c r="H51" s="151"/>
    </row>
  </sheetData>
  <autoFilter xmlns:etc="http://www.wps.cn/officeDocument/2017/etCustomData" ref="A1:H51" etc:filterBottomFollowUsedRange="0">
    <extLst/>
  </autoFilter>
  <mergeCells count="20">
    <mergeCell ref="A1:H1"/>
    <mergeCell ref="A3:C3"/>
    <mergeCell ref="A4:C4"/>
    <mergeCell ref="A7:C7"/>
    <mergeCell ref="A11:C11"/>
    <mergeCell ref="A14:C14"/>
    <mergeCell ref="A15:C15"/>
    <mergeCell ref="A18:C18"/>
    <mergeCell ref="A27:C27"/>
    <mergeCell ref="A31:C31"/>
    <mergeCell ref="A39:C39"/>
    <mergeCell ref="A40:C40"/>
    <mergeCell ref="A48:C48"/>
    <mergeCell ref="C24:C25"/>
    <mergeCell ref="C32:C33"/>
    <mergeCell ref="C35:C36"/>
    <mergeCell ref="E21:E22"/>
    <mergeCell ref="E24:E25"/>
    <mergeCell ref="E32:E33"/>
    <mergeCell ref="E35:E36"/>
  </mergeCells>
  <printOptions horizontalCentered="1"/>
  <pageMargins left="0.393055555555556" right="0.393055555555556" top="0.751388888888889" bottom="0.751388888888889" header="0.298611111111111" footer="0.298611111111111"/>
  <pageSetup paperSize="9" scale="62" fitToHeight="0" orientation="portrait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H8"/>
  <sheetViews>
    <sheetView view="pageBreakPreview" zoomScale="85" zoomScaleNormal="70" workbookViewId="0">
      <pane ySplit="2" topLeftCell="A3" activePane="bottomLeft" state="frozen"/>
      <selection/>
      <selection pane="bottomLeft" activeCell="E5" sqref="E5"/>
    </sheetView>
  </sheetViews>
  <sheetFormatPr defaultColWidth="9" defaultRowHeight="16.8" outlineLevelRow="7" outlineLevelCol="7"/>
  <cols>
    <col min="1" max="1" width="5.25" customWidth="1"/>
    <col min="2" max="2" width="12.3846153846154" customWidth="1"/>
    <col min="3" max="3" width="25" customWidth="1"/>
    <col min="4" max="4" width="21.8846153846154" customWidth="1"/>
    <col min="5" max="5" width="59.6442307692308" customWidth="1"/>
    <col min="6" max="6" width="5.38461538461539" customWidth="1"/>
    <col min="7" max="7" width="5.75" customWidth="1"/>
    <col min="8" max="8" width="7.25" customWidth="1"/>
  </cols>
  <sheetData>
    <row r="1" ht="40" customHeight="1" spans="1:8">
      <c r="A1" s="89" t="s">
        <v>372</v>
      </c>
      <c r="B1" s="90"/>
      <c r="C1" s="90"/>
      <c r="D1" s="90"/>
      <c r="E1" s="90"/>
      <c r="F1" s="90"/>
      <c r="G1" s="90"/>
      <c r="H1" s="90"/>
    </row>
    <row r="2" s="86" customFormat="1" ht="32" customHeight="1" spans="1:8">
      <c r="A2" s="91" t="s">
        <v>1</v>
      </c>
      <c r="B2" s="91" t="s">
        <v>26</v>
      </c>
      <c r="C2" s="91" t="s">
        <v>27</v>
      </c>
      <c r="D2" s="91" t="s">
        <v>28</v>
      </c>
      <c r="E2" s="91" t="s">
        <v>29</v>
      </c>
      <c r="F2" s="91" t="s">
        <v>30</v>
      </c>
      <c r="G2" s="91" t="s">
        <v>31</v>
      </c>
      <c r="H2" s="91" t="s">
        <v>4</v>
      </c>
    </row>
    <row r="3" ht="26" customHeight="1" spans="1:8">
      <c r="A3" s="129" t="s">
        <v>373</v>
      </c>
      <c r="B3" s="129"/>
      <c r="C3" s="129"/>
      <c r="D3" s="130"/>
      <c r="E3" s="130"/>
      <c r="F3" s="130"/>
      <c r="G3" s="130"/>
      <c r="H3" s="130"/>
    </row>
    <row r="4" ht="18" customHeight="1" spans="1:8">
      <c r="A4" s="126" t="s">
        <v>374</v>
      </c>
      <c r="B4" s="127"/>
      <c r="C4" s="127"/>
      <c r="D4" s="128"/>
      <c r="E4" s="106"/>
      <c r="F4" s="128"/>
      <c r="G4" s="128"/>
      <c r="H4" s="128"/>
    </row>
    <row r="5" ht="138" customHeight="1" spans="1:8">
      <c r="A5" s="131">
        <v>1</v>
      </c>
      <c r="B5" s="71" t="s">
        <v>375</v>
      </c>
      <c r="C5" s="71" t="str">
        <f>_xlfn.DISPIMG("ID_E8740356BF4C4C2F908EF1069B81D305",1)</f>
        <v>=DISPIMG("ID_E8740356BF4C4C2F908EF1069B81D305",1)</v>
      </c>
      <c r="D5" s="66" t="s">
        <v>92</v>
      </c>
      <c r="E5" s="20" t="s">
        <v>93</v>
      </c>
      <c r="F5" s="71">
        <v>109</v>
      </c>
      <c r="G5" s="71" t="s">
        <v>54</v>
      </c>
      <c r="H5" s="71"/>
    </row>
    <row r="6" customFormat="1" ht="18" customHeight="1" spans="1:8">
      <c r="A6" s="126" t="s">
        <v>317</v>
      </c>
      <c r="B6" s="127"/>
      <c r="C6" s="127"/>
      <c r="D6" s="128"/>
      <c r="E6" s="106"/>
      <c r="F6" s="128"/>
      <c r="G6" s="128"/>
      <c r="H6" s="128"/>
    </row>
    <row r="7" ht="241" customHeight="1" spans="1:8">
      <c r="A7" s="131">
        <v>2</v>
      </c>
      <c r="B7" s="99" t="s">
        <v>318</v>
      </c>
      <c r="C7" s="71" t="str">
        <f>_xlfn.DISPIMG("ID_5E07165414A24665A2AD0350EC79F2B3",1)</f>
        <v>=DISPIMG("ID_5E07165414A24665A2AD0350EC79F2B3",1)</v>
      </c>
      <c r="D7" s="71" t="s">
        <v>376</v>
      </c>
      <c r="E7" s="132" t="s">
        <v>377</v>
      </c>
      <c r="F7" s="71">
        <v>23</v>
      </c>
      <c r="G7" s="71" t="s">
        <v>321</v>
      </c>
      <c r="H7" s="105"/>
    </row>
    <row r="8" ht="121" customHeight="1" spans="1:8">
      <c r="A8" s="131">
        <v>3</v>
      </c>
      <c r="B8" s="99" t="s">
        <v>322</v>
      </c>
      <c r="C8" s="122" t="str">
        <f>_xlfn.DISPIMG("ID_CEF774685FDF4664BEC6E8A0E37B0E58",1)</f>
        <v>=DISPIMG("ID_CEF774685FDF4664BEC6E8A0E37B0E58",1)</v>
      </c>
      <c r="D8" s="99" t="s">
        <v>378</v>
      </c>
      <c r="E8" s="107" t="s">
        <v>379</v>
      </c>
      <c r="F8" s="99">
        <v>3</v>
      </c>
      <c r="G8" s="99" t="s">
        <v>37</v>
      </c>
      <c r="H8" s="105"/>
    </row>
  </sheetData>
  <mergeCells count="4">
    <mergeCell ref="A1:H1"/>
    <mergeCell ref="A3:C3"/>
    <mergeCell ref="A4:C4"/>
    <mergeCell ref="A6:C6"/>
  </mergeCells>
  <pageMargins left="0.393055555555556" right="0.393055555555556" top="0.751388888888889" bottom="0.751388888888889" header="0.298611111111111" footer="0.298611111111111"/>
  <pageSetup paperSize="9" scale="68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H11"/>
  <sheetViews>
    <sheetView view="pageBreakPreview" zoomScaleNormal="85" topLeftCell="A4" workbookViewId="0">
      <selection activeCell="E4" sqref="E4"/>
    </sheetView>
  </sheetViews>
  <sheetFormatPr defaultColWidth="9" defaultRowHeight="16.8" outlineLevelCol="7"/>
  <cols>
    <col min="3" max="3" width="24.8846153846154" customWidth="1"/>
    <col min="4" max="4" width="15.3846153846154" style="115" customWidth="1"/>
    <col min="5" max="5" width="73.75" customWidth="1"/>
    <col min="6" max="6" width="6.25" customWidth="1"/>
    <col min="7" max="7" width="6.5" customWidth="1"/>
    <col min="8" max="8" width="7" customWidth="1"/>
  </cols>
  <sheetData>
    <row r="1" ht="40" customHeight="1" spans="1:8">
      <c r="A1" s="89" t="s">
        <v>380</v>
      </c>
      <c r="B1" s="90"/>
      <c r="C1" s="90"/>
      <c r="D1" s="90"/>
      <c r="E1" s="90"/>
      <c r="F1" s="90"/>
      <c r="G1" s="90"/>
      <c r="H1" s="90"/>
    </row>
    <row r="2" s="86" customFormat="1" ht="32" customHeight="1" spans="1:8">
      <c r="A2" s="91" t="s">
        <v>1</v>
      </c>
      <c r="B2" s="91" t="s">
        <v>26</v>
      </c>
      <c r="C2" s="91" t="s">
        <v>27</v>
      </c>
      <c r="D2" s="91" t="s">
        <v>28</v>
      </c>
      <c r="E2" s="91" t="s">
        <v>29</v>
      </c>
      <c r="F2" s="91" t="s">
        <v>30</v>
      </c>
      <c r="G2" s="91" t="s">
        <v>31</v>
      </c>
      <c r="H2" s="91" t="s">
        <v>4</v>
      </c>
    </row>
    <row r="3" customFormat="1" ht="18" customHeight="1" spans="1:8">
      <c r="A3" s="126" t="s">
        <v>381</v>
      </c>
      <c r="B3" s="127"/>
      <c r="C3" s="127"/>
      <c r="D3" s="128"/>
      <c r="E3" s="106"/>
      <c r="F3" s="128"/>
      <c r="G3" s="128"/>
      <c r="H3" s="128"/>
    </row>
    <row r="4" ht="166" customHeight="1" spans="1:8">
      <c r="A4" s="94">
        <f>SUBTOTAL(103,$D4:D$4)</f>
        <v>1</v>
      </c>
      <c r="B4" s="66" t="s">
        <v>179</v>
      </c>
      <c r="C4" s="66" t="str">
        <f>_xlfn.DISPIMG("ID_E576AECB9A2A428BA7C280F797AA4B98",1)</f>
        <v>=DISPIMG("ID_E576AECB9A2A428BA7C280F797AA4B98",1)</v>
      </c>
      <c r="D4" s="66" t="s">
        <v>382</v>
      </c>
      <c r="E4" s="107" t="s">
        <v>142</v>
      </c>
      <c r="F4" s="66">
        <v>2</v>
      </c>
      <c r="G4" s="66" t="s">
        <v>37</v>
      </c>
      <c r="H4" s="66"/>
    </row>
    <row r="5" s="113" customFormat="1" ht="114" customHeight="1" spans="1:8">
      <c r="A5" s="94">
        <f>SUBTOTAL(103,$D$4:D5)</f>
        <v>2</v>
      </c>
      <c r="B5" s="94" t="s">
        <v>383</v>
      </c>
      <c r="C5" s="95" t="str">
        <f>_xlfn.DISPIMG("ID_85DA82B772E244208452084A8A9444F8",1)</f>
        <v>=DISPIMG("ID_85DA82B772E244208452084A8A9444F8",1)</v>
      </c>
      <c r="D5" s="95" t="s">
        <v>140</v>
      </c>
      <c r="E5" s="108" t="s">
        <v>303</v>
      </c>
      <c r="F5" s="95">
        <v>8</v>
      </c>
      <c r="G5" s="95" t="s">
        <v>43</v>
      </c>
      <c r="H5" s="95"/>
    </row>
    <row r="6" s="113" customFormat="1" ht="144" customHeight="1" spans="1:8">
      <c r="A6" s="94">
        <f>SUBTOTAL(103,$D$4:D6)</f>
        <v>3</v>
      </c>
      <c r="B6" s="66" t="s">
        <v>75</v>
      </c>
      <c r="C6" s="95" t="str">
        <f>_xlfn.DISPIMG("ID_002883EF4C774699ACD060987467AC85",1)</f>
        <v>=DISPIMG("ID_002883EF4C774699ACD060987467AC85",1)</v>
      </c>
      <c r="D6" s="95" t="s">
        <v>286</v>
      </c>
      <c r="E6" s="108" t="s">
        <v>74</v>
      </c>
      <c r="F6" s="95">
        <v>2</v>
      </c>
      <c r="G6" s="95" t="s">
        <v>47</v>
      </c>
      <c r="H6" s="95"/>
    </row>
    <row r="7" s="113" customFormat="1" ht="141" customHeight="1" spans="1:8">
      <c r="A7" s="94">
        <f>SUBTOTAL(103,$D$4:D7)</f>
        <v>4</v>
      </c>
      <c r="B7" s="95" t="s">
        <v>77</v>
      </c>
      <c r="C7" s="120" t="str">
        <f>_xlfn.DISPIMG("ID_59B1C48C8BBE407BB8657C11F9102263",1)</f>
        <v>=DISPIMG("ID_59B1C48C8BBE407BB8657C11F9102263",1)</v>
      </c>
      <c r="D7" s="99" t="s">
        <v>78</v>
      </c>
      <c r="E7" s="108" t="s">
        <v>79</v>
      </c>
      <c r="F7" s="95">
        <v>1</v>
      </c>
      <c r="G7" s="95" t="s">
        <v>47</v>
      </c>
      <c r="H7" s="95"/>
    </row>
    <row r="8" s="113" customFormat="1" ht="157" customHeight="1" spans="1:8">
      <c r="A8" s="95">
        <f>SUBTOTAL(103,$D$4:D8)</f>
        <v>5</v>
      </c>
      <c r="B8" s="99" t="s">
        <v>295</v>
      </c>
      <c r="C8" s="120" t="str">
        <f>_xlfn.DISPIMG("ID_EDCAAA509003441F882ECFED328157A7",1)</f>
        <v>=DISPIMG("ID_EDCAAA509003441F882ECFED328157A7",1)</v>
      </c>
      <c r="D8" s="99" t="s">
        <v>384</v>
      </c>
      <c r="E8" s="20" t="s">
        <v>370</v>
      </c>
      <c r="F8" s="95">
        <v>1</v>
      </c>
      <c r="G8" s="95" t="s">
        <v>37</v>
      </c>
      <c r="H8" s="95"/>
    </row>
    <row r="9" customFormat="1" ht="18" customHeight="1" spans="1:8">
      <c r="A9" s="126" t="s">
        <v>385</v>
      </c>
      <c r="B9" s="127"/>
      <c r="C9" s="127"/>
      <c r="D9" s="128"/>
      <c r="E9" s="106"/>
      <c r="F9" s="128"/>
      <c r="G9" s="128"/>
      <c r="H9" s="128"/>
    </row>
    <row r="10" customFormat="1" ht="133" customHeight="1" spans="1:8">
      <c r="A10" s="94">
        <f>SUBTOTAL(103,$D$4:D10)</f>
        <v>6</v>
      </c>
      <c r="B10" s="66" t="s">
        <v>386</v>
      </c>
      <c r="C10" s="66" t="str">
        <f>_xlfn.DISPIMG("ID_C95A86D111274D04879CE200F02AD3F4",1)</f>
        <v>=DISPIMG("ID_C95A86D111274D04879CE200F02AD3F4",1)</v>
      </c>
      <c r="D10" s="66" t="s">
        <v>387</v>
      </c>
      <c r="E10" s="108" t="s">
        <v>388</v>
      </c>
      <c r="F10" s="66">
        <v>2</v>
      </c>
      <c r="G10" s="66" t="s">
        <v>37</v>
      </c>
      <c r="H10" s="66"/>
    </row>
    <row r="11" s="113" customFormat="1" ht="123" customHeight="1" spans="1:8">
      <c r="A11" s="94">
        <f>SUBTOTAL(103,$D$4:D11)</f>
        <v>7</v>
      </c>
      <c r="B11" s="94" t="s">
        <v>383</v>
      </c>
      <c r="C11" s="95" t="str">
        <f>_xlfn.DISPIMG("ID_3F7ED1BEE47A497C8B113E2A703A7053",1)</f>
        <v>=DISPIMG("ID_3F7ED1BEE47A497C8B113E2A703A7053",1)</v>
      </c>
      <c r="D11" s="95" t="s">
        <v>140</v>
      </c>
      <c r="E11" s="108" t="s">
        <v>303</v>
      </c>
      <c r="F11" s="95">
        <v>4</v>
      </c>
      <c r="G11" s="95" t="s">
        <v>43</v>
      </c>
      <c r="H11" s="95"/>
    </row>
  </sheetData>
  <autoFilter xmlns:etc="http://www.wps.cn/officeDocument/2017/etCustomData" ref="A1:H11" etc:filterBottomFollowUsedRange="0">
    <extLst/>
  </autoFilter>
  <mergeCells count="3">
    <mergeCell ref="A1:H1"/>
    <mergeCell ref="A3:C3"/>
    <mergeCell ref="A9:C9"/>
  </mergeCells>
  <printOptions horizontalCentered="1"/>
  <pageMargins left="0.393055555555556" right="0.393055555555556" top="0.472222222222222" bottom="0.472222222222222" header="0.5" footer="0.5"/>
  <pageSetup paperSize="9" scale="64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H32"/>
  <sheetViews>
    <sheetView view="pageBreakPreview" zoomScaleNormal="55" topLeftCell="A25" workbookViewId="0">
      <selection activeCell="E30" sqref="E30"/>
    </sheetView>
  </sheetViews>
  <sheetFormatPr defaultColWidth="9" defaultRowHeight="16.8" outlineLevelCol="7"/>
  <cols>
    <col min="3" max="3" width="27.6346153846154" customWidth="1"/>
    <col min="4" max="4" width="18" style="115" customWidth="1"/>
    <col min="5" max="5" width="68.2307692307692" customWidth="1"/>
    <col min="6" max="6" width="6.5" style="115" customWidth="1"/>
    <col min="7" max="7" width="6.63461538461539" style="115" customWidth="1"/>
    <col min="8" max="8" width="7.25" customWidth="1"/>
  </cols>
  <sheetData>
    <row r="1" ht="40" customHeight="1" spans="1:8">
      <c r="A1" s="116" t="s">
        <v>389</v>
      </c>
      <c r="B1" s="117"/>
      <c r="C1" s="117"/>
      <c r="D1" s="117"/>
      <c r="E1" s="117"/>
      <c r="F1" s="117"/>
      <c r="G1" s="117"/>
      <c r="H1" s="117"/>
    </row>
    <row r="2" s="86" customFormat="1" ht="32" customHeight="1" spans="1:8">
      <c r="A2" s="91" t="s">
        <v>1</v>
      </c>
      <c r="B2" s="91" t="s">
        <v>26</v>
      </c>
      <c r="C2" s="91" t="s">
        <v>27</v>
      </c>
      <c r="D2" s="91" t="s">
        <v>28</v>
      </c>
      <c r="E2" s="91" t="s">
        <v>29</v>
      </c>
      <c r="F2" s="91" t="s">
        <v>30</v>
      </c>
      <c r="G2" s="91" t="s">
        <v>31</v>
      </c>
      <c r="H2" s="91" t="s">
        <v>4</v>
      </c>
    </row>
    <row r="3" ht="18" customHeight="1" spans="1:8">
      <c r="A3" s="92" t="s">
        <v>390</v>
      </c>
      <c r="B3" s="92"/>
      <c r="C3" s="92"/>
      <c r="D3" s="93"/>
      <c r="E3" s="106"/>
      <c r="F3" s="93"/>
      <c r="G3" s="93"/>
      <c r="H3" s="93"/>
    </row>
    <row r="4" ht="189" customHeight="1" spans="1:8">
      <c r="A4" s="94">
        <f>SUBTOTAL(103,$D4:D$4)</f>
        <v>1</v>
      </c>
      <c r="B4" s="95" t="s">
        <v>99</v>
      </c>
      <c r="C4" s="118" t="str">
        <f>_xlfn.DISPIMG("ID_ABA3544B926E47129952EF01D1037407",1)</f>
        <v>=DISPIMG("ID_ABA3544B926E47129952EF01D1037407",1)</v>
      </c>
      <c r="D4" s="99" t="s">
        <v>100</v>
      </c>
      <c r="E4" s="20" t="s">
        <v>391</v>
      </c>
      <c r="F4" s="99">
        <v>5</v>
      </c>
      <c r="G4" s="99" t="s">
        <v>37</v>
      </c>
      <c r="H4" s="99"/>
    </row>
    <row r="5" customFormat="1" ht="129" customHeight="1" spans="1:8">
      <c r="A5" s="94">
        <f>SUBTOTAL(103,$D$4:D5)</f>
        <v>2</v>
      </c>
      <c r="B5" s="99" t="s">
        <v>102</v>
      </c>
      <c r="C5" s="95" t="str">
        <f>_xlfn.DISPIMG("ID_4FAB21CED80947859B7A85722F1BD2A8",1)</f>
        <v>=DISPIMG("ID_4FAB21CED80947859B7A85722F1BD2A8",1)</v>
      </c>
      <c r="D5" s="95" t="s">
        <v>392</v>
      </c>
      <c r="E5" s="109" t="s">
        <v>393</v>
      </c>
      <c r="F5" s="99">
        <v>15</v>
      </c>
      <c r="G5" s="99" t="s">
        <v>43</v>
      </c>
      <c r="H5" s="99"/>
    </row>
    <row r="6" customFormat="1" ht="172" customHeight="1" spans="1:8">
      <c r="A6" s="94">
        <f>SUBTOTAL(103,$D$4:D6)</f>
        <v>3</v>
      </c>
      <c r="B6" s="99" t="s">
        <v>96</v>
      </c>
      <c r="C6" s="118" t="str">
        <f>_xlfn.DISPIMG("ID_6FD3BBF8EE9D483D8FEF55B0DD161D1B",1)</f>
        <v>=DISPIMG("ID_6FD3BBF8EE9D483D8FEF55B0DD161D1B",1)</v>
      </c>
      <c r="D6" s="99" t="s">
        <v>97</v>
      </c>
      <c r="E6" s="20" t="s">
        <v>394</v>
      </c>
      <c r="F6" s="99">
        <v>1</v>
      </c>
      <c r="G6" s="99" t="s">
        <v>37</v>
      </c>
      <c r="H6" s="99"/>
    </row>
    <row r="7" s="113" customFormat="1" ht="360" customHeight="1" spans="1:8">
      <c r="A7" s="94">
        <f>SUBTOTAL(103,$D$4:D7)</f>
        <v>4</v>
      </c>
      <c r="B7" s="95" t="s">
        <v>111</v>
      </c>
      <c r="C7" s="99" t="str">
        <f>_xlfn.DISPIMG("ID_704FA6F49D454F27A62405FDCEFB5906",1)</f>
        <v>=DISPIMG("ID_704FA6F49D454F27A62405FDCEFB5906",1)</v>
      </c>
      <c r="D7" s="94" t="s">
        <v>112</v>
      </c>
      <c r="E7" s="108" t="s">
        <v>113</v>
      </c>
      <c r="F7" s="95">
        <v>1104</v>
      </c>
      <c r="G7" s="99" t="s">
        <v>37</v>
      </c>
      <c r="H7" s="95"/>
    </row>
    <row r="8" customFormat="1" ht="18" customHeight="1" spans="1:8">
      <c r="A8" s="92" t="s">
        <v>395</v>
      </c>
      <c r="B8" s="92"/>
      <c r="C8" s="92"/>
      <c r="D8" s="93"/>
      <c r="E8" s="106"/>
      <c r="F8" s="93"/>
      <c r="G8" s="93"/>
      <c r="H8" s="93"/>
    </row>
    <row r="9" s="114" customFormat="1" ht="175" customHeight="1" spans="1:8">
      <c r="A9" s="119">
        <f>SUBTOTAL(103,$D$4:D9)</f>
        <v>5</v>
      </c>
      <c r="B9" s="94" t="s">
        <v>115</v>
      </c>
      <c r="C9" s="94" t="str">
        <f>_xlfn.DISPIMG("ID_0F0864B4D8C24F3AAFF14A413A9D1175",1)</f>
        <v>=DISPIMG("ID_0F0864B4D8C24F3AAFF14A413A9D1175",1)</v>
      </c>
      <c r="D9" s="94" t="s">
        <v>116</v>
      </c>
      <c r="E9" s="20" t="s">
        <v>396</v>
      </c>
      <c r="F9" s="94">
        <v>1</v>
      </c>
      <c r="G9" s="94" t="s">
        <v>37</v>
      </c>
      <c r="H9" s="94"/>
    </row>
    <row r="10" customFormat="1" ht="199" customHeight="1" spans="1:8">
      <c r="A10" s="94">
        <f>SUBTOTAL(103,$D$4:D10)</f>
        <v>6</v>
      </c>
      <c r="B10" s="95" t="s">
        <v>69</v>
      </c>
      <c r="C10" s="120" t="str">
        <f>_xlfn.DISPIMG("ID_C5D07301192D41CC86DC379A030B11D8",1)</f>
        <v>=DISPIMG("ID_C5D07301192D41CC86DC379A030B11D8",1)</v>
      </c>
      <c r="D10" s="99" t="s">
        <v>118</v>
      </c>
      <c r="E10" s="20" t="s">
        <v>260</v>
      </c>
      <c r="F10" s="66">
        <v>2</v>
      </c>
      <c r="G10" s="66" t="s">
        <v>43</v>
      </c>
      <c r="H10" s="123"/>
    </row>
    <row r="11" customFormat="1" ht="180" customHeight="1" spans="1:8">
      <c r="A11" s="94">
        <f>SUBTOTAL(103,$D$4:D11)</f>
        <v>7</v>
      </c>
      <c r="B11" s="97" t="s">
        <v>72</v>
      </c>
      <c r="C11" s="98" t="str">
        <f>_xlfn.DISPIMG("ID_23A1DAA869EE463FA42E3D0B02CF46C9",1)</f>
        <v>=DISPIMG("ID_23A1DAA869EE463FA42E3D0B02CF46C9",1)</v>
      </c>
      <c r="D11" s="96" t="s">
        <v>73</v>
      </c>
      <c r="E11" s="108" t="s">
        <v>74</v>
      </c>
      <c r="F11" s="96">
        <v>2</v>
      </c>
      <c r="G11" s="96" t="s">
        <v>47</v>
      </c>
      <c r="H11" s="124"/>
    </row>
    <row r="12" customFormat="1" ht="18" customHeight="1" spans="1:8">
      <c r="A12" s="92" t="s">
        <v>397</v>
      </c>
      <c r="B12" s="92"/>
      <c r="C12" s="92"/>
      <c r="D12" s="93"/>
      <c r="E12" s="106"/>
      <c r="F12" s="93"/>
      <c r="G12" s="93"/>
      <c r="H12" s="93"/>
    </row>
    <row r="13" s="114" customFormat="1" ht="192" customHeight="1" spans="1:8">
      <c r="A13" s="95">
        <f>SUBTOTAL(103,$D$4:D13)</f>
        <v>8</v>
      </c>
      <c r="B13" s="95" t="s">
        <v>398</v>
      </c>
      <c r="C13" s="20" t="str">
        <f>_xlfn.DISPIMG("ID_853C6C80D2D249239BFFFD23D8EC9100",1)</f>
        <v>=DISPIMG("ID_853C6C80D2D249239BFFFD23D8EC9100",1)</v>
      </c>
      <c r="D13" s="95" t="s">
        <v>399</v>
      </c>
      <c r="E13" s="20" t="s">
        <v>400</v>
      </c>
      <c r="F13" s="94">
        <v>6</v>
      </c>
      <c r="G13" s="94" t="s">
        <v>37</v>
      </c>
      <c r="H13" s="94"/>
    </row>
    <row r="14" s="114" customFormat="1" ht="142" customHeight="1" spans="1:8">
      <c r="A14" s="95">
        <f>SUBTOTAL(103,$D$4:D14)</f>
        <v>9</v>
      </c>
      <c r="B14" s="94" t="s">
        <v>401</v>
      </c>
      <c r="C14" s="109" t="str">
        <f>_xlfn.DISPIMG("ID_756DD0BB2FB242DC9FB161861B924179",1)</f>
        <v>=DISPIMG("ID_756DD0BB2FB242DC9FB161861B924179",1)</v>
      </c>
      <c r="D14" s="94" t="s">
        <v>402</v>
      </c>
      <c r="E14" s="109" t="s">
        <v>403</v>
      </c>
      <c r="F14" s="94">
        <v>12</v>
      </c>
      <c r="G14" s="94" t="s">
        <v>43</v>
      </c>
      <c r="H14" s="109"/>
    </row>
    <row r="15" s="114" customFormat="1" ht="133" customHeight="1" spans="1:8">
      <c r="A15" s="95">
        <f>SUBTOTAL(103,$D$4:D15)</f>
        <v>10</v>
      </c>
      <c r="B15" s="94" t="s">
        <v>404</v>
      </c>
      <c r="C15" s="109" t="str">
        <f>_xlfn.DISPIMG("ID_8B876DA71AFD4010B6AB82E36572190C",1)</f>
        <v>=DISPIMG("ID_8B876DA71AFD4010B6AB82E36572190C",1)</v>
      </c>
      <c r="D15" s="94" t="s">
        <v>405</v>
      </c>
      <c r="E15" s="109" t="s">
        <v>406</v>
      </c>
      <c r="F15" s="94">
        <v>5</v>
      </c>
      <c r="G15" s="94" t="s">
        <v>37</v>
      </c>
      <c r="H15" s="109"/>
    </row>
    <row r="16" customFormat="1" ht="18" customHeight="1" spans="1:8">
      <c r="A16" s="92" t="s">
        <v>407</v>
      </c>
      <c r="B16" s="92"/>
      <c r="C16" s="92"/>
      <c r="D16" s="93"/>
      <c r="E16" s="106"/>
      <c r="F16" s="93"/>
      <c r="G16" s="93"/>
      <c r="H16" s="93"/>
    </row>
    <row r="17" s="114" customFormat="1" ht="163" customHeight="1" spans="1:8">
      <c r="A17" s="94">
        <f>SUBTOTAL(103,$D$4:D17)</f>
        <v>11</v>
      </c>
      <c r="B17" s="20" t="s">
        <v>408</v>
      </c>
      <c r="C17" s="20" t="str">
        <f>_xlfn.DISPIMG("ID_504790ABFCC24FE19516DF333FDD9C15",1)</f>
        <v>=DISPIMG("ID_504790ABFCC24FE19516DF333FDD9C15",1)</v>
      </c>
      <c r="D17" s="95" t="s">
        <v>409</v>
      </c>
      <c r="E17" s="20" t="s">
        <v>410</v>
      </c>
      <c r="F17" s="95">
        <v>1</v>
      </c>
      <c r="G17" s="95" t="s">
        <v>54</v>
      </c>
      <c r="H17" s="20"/>
    </row>
    <row r="18" ht="162" customHeight="1" spans="1:8">
      <c r="A18" s="94">
        <f>SUBTOTAL(103,$D$4:D18)</f>
        <v>12</v>
      </c>
      <c r="B18" s="20" t="s">
        <v>163</v>
      </c>
      <c r="C18" s="20" t="str">
        <f>_xlfn.DISPIMG("ID_E83E86CAC30445979A6100E3129EF7EF",1)</f>
        <v>=DISPIMG("ID_E83E86CAC30445979A6100E3129EF7EF",1)</v>
      </c>
      <c r="D18" s="95" t="s">
        <v>411</v>
      </c>
      <c r="E18" s="20" t="s">
        <v>410</v>
      </c>
      <c r="F18" s="95">
        <v>1</v>
      </c>
      <c r="G18" s="95" t="s">
        <v>37</v>
      </c>
      <c r="H18" s="20"/>
    </row>
    <row r="19" ht="132" customHeight="1" spans="1:8">
      <c r="A19" s="94">
        <f>SUBTOTAL(103,$D$4:D19)</f>
        <v>13</v>
      </c>
      <c r="B19" s="20" t="s">
        <v>412</v>
      </c>
      <c r="C19" s="20" t="str">
        <f>_xlfn.DISPIMG("ID_B844BC0AEC2A43E3A932DA624454B8E9",1)</f>
        <v>=DISPIMG("ID_B844BC0AEC2A43E3A932DA624454B8E9",1)</v>
      </c>
      <c r="D19" s="95" t="s">
        <v>413</v>
      </c>
      <c r="E19" s="109" t="s">
        <v>406</v>
      </c>
      <c r="F19" s="95">
        <v>1</v>
      </c>
      <c r="G19" s="95" t="s">
        <v>37</v>
      </c>
      <c r="H19" s="20"/>
    </row>
    <row r="20" ht="97" customHeight="1" spans="1:8">
      <c r="A20" s="94">
        <f>SUBTOTAL(103,$D$4:D20)</f>
        <v>14</v>
      </c>
      <c r="B20" s="20" t="s">
        <v>414</v>
      </c>
      <c r="C20" s="20" t="str">
        <f>_xlfn.DISPIMG("ID_31EA63F879EE4A54B55BFD4FE4254540",1)</f>
        <v>=DISPIMG("ID_31EA63F879EE4A54B55BFD4FE4254540",1)</v>
      </c>
      <c r="D20" s="95" t="s">
        <v>415</v>
      </c>
      <c r="E20" s="111" t="s">
        <v>416</v>
      </c>
      <c r="F20" s="95">
        <v>1</v>
      </c>
      <c r="G20" s="95" t="s">
        <v>54</v>
      </c>
      <c r="H20" s="20"/>
    </row>
    <row r="21" ht="114" customHeight="1" spans="1:8">
      <c r="A21" s="94">
        <f>SUBTOTAL(103,$D$4:D21)</f>
        <v>15</v>
      </c>
      <c r="B21" s="20" t="s">
        <v>417</v>
      </c>
      <c r="C21" s="20" t="str">
        <f>_xlfn.DISPIMG("ID_E4CF845611774FE9B7159E050CB97709",1)</f>
        <v>=DISPIMG("ID_E4CF845611774FE9B7159E050CB97709",1)</v>
      </c>
      <c r="D21" s="95" t="s">
        <v>418</v>
      </c>
      <c r="E21" s="111" t="s">
        <v>419</v>
      </c>
      <c r="F21" s="95">
        <v>2</v>
      </c>
      <c r="G21" s="95" t="s">
        <v>37</v>
      </c>
      <c r="H21" s="20"/>
    </row>
    <row r="22" ht="168" customHeight="1" spans="1:8">
      <c r="A22" s="94">
        <f>SUBTOTAL(103,$D$4:D22)</f>
        <v>16</v>
      </c>
      <c r="B22" s="20" t="s">
        <v>420</v>
      </c>
      <c r="C22" s="20" t="str">
        <f>_xlfn.DISPIMG("ID_A1A5765563D843F28E789DFAE7B5582C",1)</f>
        <v>=DISPIMG("ID_A1A5765563D843F28E789DFAE7B5582C",1)</v>
      </c>
      <c r="D22" s="95" t="s">
        <v>421</v>
      </c>
      <c r="E22" s="20" t="s">
        <v>410</v>
      </c>
      <c r="F22" s="95">
        <v>4</v>
      </c>
      <c r="G22" s="95" t="s">
        <v>37</v>
      </c>
      <c r="H22" s="20"/>
    </row>
    <row r="23" customFormat="1" ht="18" customHeight="1" spans="1:8">
      <c r="A23" s="121" t="s">
        <v>422</v>
      </c>
      <c r="B23" s="121"/>
      <c r="C23" s="121"/>
      <c r="D23" s="102"/>
      <c r="E23" s="106"/>
      <c r="F23" s="93"/>
      <c r="G23" s="93"/>
      <c r="H23" s="93"/>
    </row>
    <row r="24" ht="97" customHeight="1" spans="1:8">
      <c r="A24" s="94">
        <f>SUBTOTAL(103,$D$4:D24)</f>
        <v>17</v>
      </c>
      <c r="B24" s="99" t="s">
        <v>423</v>
      </c>
      <c r="C24" s="122" t="str">
        <f>_xlfn.DISPIMG("ID_E1E5DFE5E74F4F2394274D53DBCB8AB3",1)</f>
        <v>=DISPIMG("ID_E1E5DFE5E74F4F2394274D53DBCB8AB3",1)</v>
      </c>
      <c r="D24" s="99" t="s">
        <v>194</v>
      </c>
      <c r="E24" s="20" t="s">
        <v>424</v>
      </c>
      <c r="F24" s="99">
        <v>9</v>
      </c>
      <c r="G24" s="99" t="s">
        <v>37</v>
      </c>
      <c r="H24" s="99"/>
    </row>
    <row r="25" ht="139" customHeight="1" spans="1:8">
      <c r="A25" s="94">
        <f>SUBTOTAL(103,$D$4:D25)</f>
        <v>18</v>
      </c>
      <c r="B25" s="99" t="s">
        <v>121</v>
      </c>
      <c r="C25" s="66" t="str">
        <f>_xlfn.DISPIMG("ID_6C8FC7F4F64E49C6BC34A9E524ADC62C",1)</f>
        <v>=DISPIMG("ID_6C8FC7F4F64E49C6BC34A9E524ADC62C",1)</v>
      </c>
      <c r="D25" s="66" t="s">
        <v>197</v>
      </c>
      <c r="E25" s="20" t="s">
        <v>186</v>
      </c>
      <c r="F25" s="66">
        <v>6</v>
      </c>
      <c r="G25" s="66" t="s">
        <v>37</v>
      </c>
      <c r="H25" s="66"/>
    </row>
    <row r="26" ht="169" customHeight="1" spans="1:8">
      <c r="A26" s="94">
        <f>SUBTOTAL(103,$D$4:D26)</f>
        <v>19</v>
      </c>
      <c r="B26" s="99" t="s">
        <v>160</v>
      </c>
      <c r="C26" s="80" t="str">
        <f>_xlfn.DISPIMG("ID_B3BAA4AEFAE74B6D9009A566AE8AA1C3",1)</f>
        <v>=DISPIMG("ID_B3BAA4AEFAE74B6D9009A566AE8AA1C3",1)</v>
      </c>
      <c r="D26" s="66" t="s">
        <v>161</v>
      </c>
      <c r="E26" s="20" t="s">
        <v>156</v>
      </c>
      <c r="F26" s="99">
        <v>1</v>
      </c>
      <c r="G26" s="99" t="s">
        <v>47</v>
      </c>
      <c r="H26" s="99"/>
    </row>
    <row r="27" customFormat="1" ht="18" customHeight="1" spans="1:8">
      <c r="A27" s="92" t="s">
        <v>425</v>
      </c>
      <c r="B27" s="92"/>
      <c r="C27" s="92"/>
      <c r="D27" s="93"/>
      <c r="E27" s="106"/>
      <c r="F27" s="93"/>
      <c r="G27" s="93"/>
      <c r="H27" s="93"/>
    </row>
    <row r="28" s="61" customFormat="1" ht="158" customHeight="1" spans="1:8">
      <c r="A28" s="94">
        <f>SUBTOTAL(103,$D$4:D28)</f>
        <v>20</v>
      </c>
      <c r="B28" s="66" t="s">
        <v>179</v>
      </c>
      <c r="C28" s="66" t="str">
        <f>_xlfn.DISPIMG("ID_48A1D9DBF5ED43138E408447885CF82B",1)</f>
        <v>=DISPIMG("ID_48A1D9DBF5ED43138E408447885CF82B",1)</v>
      </c>
      <c r="D28" s="66" t="s">
        <v>426</v>
      </c>
      <c r="E28" s="107" t="s">
        <v>142</v>
      </c>
      <c r="F28" s="66">
        <v>1</v>
      </c>
      <c r="G28" s="66" t="s">
        <v>37</v>
      </c>
      <c r="H28" s="66"/>
    </row>
    <row r="29" s="61" customFormat="1" ht="141" customHeight="1" spans="1:8">
      <c r="A29" s="94">
        <f>SUBTOTAL(103,$D$4:D29)</f>
        <v>21</v>
      </c>
      <c r="B29" s="94" t="s">
        <v>383</v>
      </c>
      <c r="C29" s="95" t="str">
        <f>_xlfn.DISPIMG("ID_7ABFA472FA8F4FC2B74E9DA9EA3A9D60",1)</f>
        <v>=DISPIMG("ID_7ABFA472FA8F4FC2B74E9DA9EA3A9D60",1)</v>
      </c>
      <c r="D29" s="95" t="s">
        <v>140</v>
      </c>
      <c r="E29" s="108" t="s">
        <v>303</v>
      </c>
      <c r="F29" s="66">
        <v>5</v>
      </c>
      <c r="G29" s="66" t="s">
        <v>43</v>
      </c>
      <c r="H29" s="94"/>
    </row>
    <row r="30" ht="159" customHeight="1" spans="1:8">
      <c r="A30" s="94">
        <f>SUBTOTAL(103,$D$4:D30)</f>
        <v>22</v>
      </c>
      <c r="B30" s="99" t="s">
        <v>295</v>
      </c>
      <c r="C30" s="122" t="str">
        <f>_xlfn.DISPIMG("ID_026EEC05751840B7AF7A2825684AA0E6",1)</f>
        <v>=DISPIMG("ID_026EEC05751840B7AF7A2825684AA0E6",1)</v>
      </c>
      <c r="D30" s="99" t="s">
        <v>137</v>
      </c>
      <c r="E30" s="20" t="s">
        <v>370</v>
      </c>
      <c r="F30" s="99">
        <v>1</v>
      </c>
      <c r="G30" s="99" t="s">
        <v>37</v>
      </c>
      <c r="H30" s="99"/>
    </row>
    <row r="31" customFormat="1" ht="154" customHeight="1" spans="1:8">
      <c r="A31" s="94">
        <f>SUBTOTAL(103,$D$4:D31)</f>
        <v>23</v>
      </c>
      <c r="B31" s="97" t="s">
        <v>77</v>
      </c>
      <c r="C31" s="98" t="str">
        <f>_xlfn.DISPIMG("ID_1456E708D5984C3B985D5252629B8556",1)</f>
        <v>=DISPIMG("ID_1456E708D5984C3B985D5252629B8556",1)</v>
      </c>
      <c r="D31" s="96" t="s">
        <v>78</v>
      </c>
      <c r="E31" s="108" t="s">
        <v>79</v>
      </c>
      <c r="F31" s="96">
        <v>1</v>
      </c>
      <c r="G31" s="96" t="s">
        <v>47</v>
      </c>
      <c r="H31" s="125"/>
    </row>
    <row r="32" customFormat="1" ht="165" customHeight="1" spans="1:8">
      <c r="A32" s="94">
        <f>SUBTOTAL(103,$D$4:D32)</f>
        <v>24</v>
      </c>
      <c r="B32" s="96" t="s">
        <v>75</v>
      </c>
      <c r="C32" s="98" t="str">
        <f>_xlfn.DISPIMG("ID_FE1D02956AC1467E8EC7679E4D6CCE7A",1)</f>
        <v>=DISPIMG("ID_FE1D02956AC1467E8EC7679E4D6CCE7A",1)</v>
      </c>
      <c r="D32" s="96" t="s">
        <v>286</v>
      </c>
      <c r="E32" s="108" t="s">
        <v>74</v>
      </c>
      <c r="F32" s="96">
        <v>3</v>
      </c>
      <c r="G32" s="96" t="s">
        <v>47</v>
      </c>
      <c r="H32" s="125"/>
    </row>
  </sheetData>
  <autoFilter xmlns:etc="http://www.wps.cn/officeDocument/2017/etCustomData" ref="A1:H32" etc:filterBottomFollowUsedRange="0">
    <extLst/>
  </autoFilter>
  <mergeCells count="6">
    <mergeCell ref="A1:H1"/>
    <mergeCell ref="A3:C3"/>
    <mergeCell ref="A8:C8"/>
    <mergeCell ref="A12:C12"/>
    <mergeCell ref="A16:C16"/>
    <mergeCell ref="A27:C27"/>
  </mergeCells>
  <pageMargins left="0.393055555555556" right="0.393055555555556" top="0.786805555555556" bottom="0.786805555555556" header="0.5" footer="0.5"/>
  <pageSetup paperSize="9" scale="63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H63"/>
  <sheetViews>
    <sheetView view="pageBreakPreview" zoomScale="85" zoomScaleNormal="85" topLeftCell="A4" workbookViewId="0">
      <selection activeCell="E4" sqref="E4"/>
    </sheetView>
  </sheetViews>
  <sheetFormatPr defaultColWidth="9" defaultRowHeight="16.8" outlineLevelCol="7"/>
  <cols>
    <col min="1" max="1" width="6.75" customWidth="1"/>
    <col min="3" max="3" width="20.5288461538462" customWidth="1"/>
    <col min="4" max="4" width="15.5" customWidth="1"/>
    <col min="5" max="5" width="73.25" customWidth="1"/>
    <col min="6" max="6" width="6.77884615384615" customWidth="1"/>
    <col min="7" max="7" width="5.72115384615385" customWidth="1"/>
    <col min="8" max="8" width="6.77884615384615" customWidth="1"/>
  </cols>
  <sheetData>
    <row r="1" ht="40" customHeight="1" spans="1:8">
      <c r="A1" s="89" t="s">
        <v>427</v>
      </c>
      <c r="B1" s="90"/>
      <c r="C1" s="90"/>
      <c r="D1" s="90"/>
      <c r="E1" s="90"/>
      <c r="F1" s="90"/>
      <c r="G1" s="90"/>
      <c r="H1" s="90"/>
    </row>
    <row r="2" s="86" customFormat="1" ht="32" customHeight="1" spans="1:8">
      <c r="A2" s="91" t="s">
        <v>1</v>
      </c>
      <c r="B2" s="91" t="s">
        <v>26</v>
      </c>
      <c r="C2" s="91" t="s">
        <v>27</v>
      </c>
      <c r="D2" s="91" t="s">
        <v>28</v>
      </c>
      <c r="E2" s="91" t="s">
        <v>29</v>
      </c>
      <c r="F2" s="91" t="s">
        <v>30</v>
      </c>
      <c r="G2" s="91" t="s">
        <v>31</v>
      </c>
      <c r="H2" s="91" t="s">
        <v>4</v>
      </c>
    </row>
    <row r="3" customFormat="1" ht="18" customHeight="1" spans="1:8">
      <c r="A3" s="92" t="s">
        <v>428</v>
      </c>
      <c r="B3" s="92"/>
      <c r="C3" s="92"/>
      <c r="D3" s="93"/>
      <c r="E3" s="106"/>
      <c r="F3" s="93"/>
      <c r="G3" s="93"/>
      <c r="H3" s="93"/>
    </row>
    <row r="4" s="61" customFormat="1" ht="144" customHeight="1" spans="1:8">
      <c r="A4" s="94">
        <f>SUBTOTAL(103,$D4:D$4)</f>
        <v>1</v>
      </c>
      <c r="B4" s="66" t="s">
        <v>179</v>
      </c>
      <c r="C4" s="66" t="str">
        <f>_xlfn.DISPIMG("ID_E46DD2A61BF54040BFCC4236CAF4F2C1",1)</f>
        <v>=DISPIMG("ID_E46DD2A61BF54040BFCC4236CAF4F2C1",1)</v>
      </c>
      <c r="D4" s="66" t="s">
        <v>426</v>
      </c>
      <c r="E4" s="107" t="s">
        <v>142</v>
      </c>
      <c r="F4" s="66">
        <v>5</v>
      </c>
      <c r="G4" s="66" t="s">
        <v>37</v>
      </c>
      <c r="H4" s="66"/>
    </row>
    <row r="5" s="61" customFormat="1" ht="120" customHeight="1" spans="1:8">
      <c r="A5" s="94">
        <f>SUBTOTAL(103,$D$4:D5)</f>
        <v>2</v>
      </c>
      <c r="B5" s="94" t="s">
        <v>383</v>
      </c>
      <c r="C5" s="95" t="str">
        <f>_xlfn.DISPIMG("ID_81EAE5A3AC81400381DC0B059315A469",1)</f>
        <v>=DISPIMG("ID_81EAE5A3AC81400381DC0B059315A469",1)</v>
      </c>
      <c r="D5" s="95" t="s">
        <v>140</v>
      </c>
      <c r="E5" s="108" t="s">
        <v>303</v>
      </c>
      <c r="F5" s="66">
        <v>5</v>
      </c>
      <c r="G5" s="66" t="s">
        <v>43</v>
      </c>
      <c r="H5" s="66"/>
    </row>
    <row r="6" s="61" customFormat="1" ht="167" customHeight="1" spans="1:8">
      <c r="A6" s="94">
        <f>SUBTOTAL(103,$D$4:D6)</f>
        <v>3</v>
      </c>
      <c r="B6" s="94" t="s">
        <v>72</v>
      </c>
      <c r="C6" s="95" t="str">
        <f>_xlfn.DISPIMG("ID_FBB297D1CCB1410F96118C21B73DA971",1)</f>
        <v>=DISPIMG("ID_FBB297D1CCB1410F96118C21B73DA971",1)</v>
      </c>
      <c r="D6" s="96" t="s">
        <v>73</v>
      </c>
      <c r="E6" s="108" t="s">
        <v>74</v>
      </c>
      <c r="F6" s="66">
        <v>2</v>
      </c>
      <c r="G6" s="66" t="s">
        <v>37</v>
      </c>
      <c r="H6" s="94"/>
    </row>
    <row r="7" customFormat="1" ht="134" customHeight="1" spans="1:8">
      <c r="A7" s="94">
        <f>SUBTOTAL(103,$D$4:D7)</f>
        <v>4</v>
      </c>
      <c r="B7" s="97" t="s">
        <v>77</v>
      </c>
      <c r="C7" s="98" t="str">
        <f>_xlfn.DISPIMG("ID_F6E986AB658448BCAA885E28A1F76846",1)</f>
        <v>=DISPIMG("ID_F6E986AB658448BCAA885E28A1F76846",1)</v>
      </c>
      <c r="D7" s="96" t="s">
        <v>78</v>
      </c>
      <c r="E7" s="108" t="s">
        <v>79</v>
      </c>
      <c r="F7" s="96">
        <v>2</v>
      </c>
      <c r="G7" s="96" t="s">
        <v>47</v>
      </c>
      <c r="H7" s="94"/>
    </row>
    <row r="8" s="61" customFormat="1" ht="148" customHeight="1" spans="1:8">
      <c r="A8" s="94">
        <f>SUBTOTAL(103,$D$4:D8)</f>
        <v>5</v>
      </c>
      <c r="B8" s="99" t="s">
        <v>429</v>
      </c>
      <c r="C8" s="100" t="str">
        <f>_xlfn.DISPIMG("ID_688ACD1C971F4C34B4BED893DC23F949",1)</f>
        <v>=DISPIMG("ID_688ACD1C971F4C34B4BED893DC23F949",1)</v>
      </c>
      <c r="D8" s="95" t="s">
        <v>430</v>
      </c>
      <c r="E8" s="107" t="s">
        <v>431</v>
      </c>
      <c r="F8" s="66">
        <v>5</v>
      </c>
      <c r="G8" s="66" t="s">
        <v>37</v>
      </c>
      <c r="H8" s="66"/>
    </row>
    <row r="9" s="61" customFormat="1" ht="96" customHeight="1" spans="1:8">
      <c r="A9" s="94">
        <f>SUBTOTAL(103,$D$4:D9)</f>
        <v>6</v>
      </c>
      <c r="B9" s="99" t="s">
        <v>432</v>
      </c>
      <c r="C9" s="100" t="str">
        <f>_xlfn.DISPIMG("ID_B2DDE2F2BE5744538B135BFD37C28701",1)</f>
        <v>=DISPIMG("ID_B2DDE2F2BE5744538B135BFD37C28701",1)</v>
      </c>
      <c r="D9" s="66" t="s">
        <v>433</v>
      </c>
      <c r="E9" s="22" t="s">
        <v>434</v>
      </c>
      <c r="F9" s="66">
        <v>5</v>
      </c>
      <c r="G9" s="66" t="s">
        <v>37</v>
      </c>
      <c r="H9" s="66"/>
    </row>
    <row r="10" s="61" customFormat="1" ht="137" customHeight="1" spans="1:8">
      <c r="A10" s="95">
        <f>SUBTOTAL(103,$D$4:D10)</f>
        <v>7</v>
      </c>
      <c r="B10" s="99" t="s">
        <v>435</v>
      </c>
      <c r="C10" s="100" t="str">
        <f>_xlfn.DISPIMG("ID_B0A82DFF91FC45EE8BF89CB683BDFBDD",1)</f>
        <v>=DISPIMG("ID_B0A82DFF91FC45EE8BF89CB683BDFBDD",1)</v>
      </c>
      <c r="D10" s="95" t="s">
        <v>436</v>
      </c>
      <c r="E10" s="107" t="s">
        <v>437</v>
      </c>
      <c r="F10" s="66">
        <v>5</v>
      </c>
      <c r="G10" s="66" t="s">
        <v>47</v>
      </c>
      <c r="H10" s="66"/>
    </row>
    <row r="11" s="61" customFormat="1" ht="185" customHeight="1" spans="1:8">
      <c r="A11" s="94">
        <f>SUBTOTAL(103,$D$4:D11)</f>
        <v>8</v>
      </c>
      <c r="B11" s="99" t="s">
        <v>438</v>
      </c>
      <c r="C11" s="100" t="str">
        <f>_xlfn.DISPIMG("ID_6913D5EA730A47769DDAD7787FDF10F3",1)</f>
        <v>=DISPIMG("ID_6913D5EA730A47769DDAD7787FDF10F3",1)</v>
      </c>
      <c r="D11" s="66" t="s">
        <v>439</v>
      </c>
      <c r="E11" s="107" t="s">
        <v>79</v>
      </c>
      <c r="F11" s="66">
        <v>5</v>
      </c>
      <c r="G11" s="66" t="s">
        <v>54</v>
      </c>
      <c r="H11" s="66"/>
    </row>
    <row r="12" customFormat="1" ht="18" customHeight="1" spans="1:8">
      <c r="A12" s="92" t="s">
        <v>440</v>
      </c>
      <c r="B12" s="92"/>
      <c r="C12" s="92"/>
      <c r="D12" s="93"/>
      <c r="E12" s="106"/>
      <c r="F12" s="93"/>
      <c r="G12" s="93"/>
      <c r="H12" s="93"/>
    </row>
    <row r="13" customFormat="1" ht="183" customHeight="1" spans="1:8">
      <c r="A13" s="94">
        <f>SUBTOTAL(103,$D$4:D13)</f>
        <v>9</v>
      </c>
      <c r="B13" s="94" t="s">
        <v>441</v>
      </c>
      <c r="C13" s="66" t="str">
        <f>_xlfn.DISPIMG("ID_C259DE3C1C434A0AB0039C68D3F58760",1)</f>
        <v>=DISPIMG("ID_C259DE3C1C434A0AB0039C68D3F58760",1)</v>
      </c>
      <c r="D13" s="66" t="s">
        <v>442</v>
      </c>
      <c r="E13" s="22" t="s">
        <v>443</v>
      </c>
      <c r="F13" s="66">
        <v>4</v>
      </c>
      <c r="G13" s="66" t="s">
        <v>37</v>
      </c>
      <c r="H13" s="94"/>
    </row>
    <row r="14" customFormat="1" ht="165" customHeight="1" spans="1:8">
      <c r="A14" s="94">
        <f>SUBTOTAL(103,$D$4:D14)</f>
        <v>10</v>
      </c>
      <c r="B14" s="94" t="s">
        <v>444</v>
      </c>
      <c r="C14" s="66" t="str">
        <f>_xlfn.DISPIMG("ID_A28847CFD24B4E70A36866F7F1DB7ED7",1)</f>
        <v>=DISPIMG("ID_A28847CFD24B4E70A36866F7F1DB7ED7",1)</v>
      </c>
      <c r="D14" s="66" t="s">
        <v>445</v>
      </c>
      <c r="E14" s="109" t="s">
        <v>446</v>
      </c>
      <c r="F14" s="66">
        <v>8</v>
      </c>
      <c r="G14" s="66" t="s">
        <v>37</v>
      </c>
      <c r="H14" s="94"/>
    </row>
    <row r="15" customFormat="1" ht="120" customHeight="1" spans="1:8">
      <c r="A15" s="94">
        <f>SUBTOTAL(103,$D$4:D15)</f>
        <v>11</v>
      </c>
      <c r="B15" s="66" t="s">
        <v>417</v>
      </c>
      <c r="C15" s="66" t="str">
        <f>_xlfn.DISPIMG("ID_24B4610785244A14BB7F599DF0E51BC6",1)</f>
        <v>=DISPIMG("ID_24B4610785244A14BB7F599DF0E51BC6",1)</v>
      </c>
      <c r="D15" s="66" t="s">
        <v>447</v>
      </c>
      <c r="E15" s="108" t="s">
        <v>448</v>
      </c>
      <c r="F15" s="66">
        <v>4</v>
      </c>
      <c r="G15" s="66" t="s">
        <v>37</v>
      </c>
      <c r="H15" s="94"/>
    </row>
    <row r="16" ht="18" customHeight="1" spans="1:8">
      <c r="A16" s="101" t="s">
        <v>449</v>
      </c>
      <c r="B16" s="101"/>
      <c r="C16" s="101"/>
      <c r="D16" s="102"/>
      <c r="E16" s="110"/>
      <c r="F16" s="93"/>
      <c r="G16" s="93"/>
      <c r="H16" s="93"/>
    </row>
    <row r="17" s="61" customFormat="1" ht="235" customHeight="1" spans="1:8">
      <c r="A17" s="95">
        <f>SUBTOTAL(103,$D$4:D17)</f>
        <v>12</v>
      </c>
      <c r="B17" s="95" t="s">
        <v>450</v>
      </c>
      <c r="C17" s="99" t="str">
        <f>_xlfn.DISPIMG("ID_D2EA08B186C94F6A9692A538009D9B85",1)</f>
        <v>=DISPIMG("ID_D2EA08B186C94F6A9692A538009D9B85",1)</v>
      </c>
      <c r="D17" s="99" t="s">
        <v>451</v>
      </c>
      <c r="E17" s="108" t="s">
        <v>452</v>
      </c>
      <c r="F17" s="99">
        <v>445</v>
      </c>
      <c r="G17" s="99" t="s">
        <v>47</v>
      </c>
      <c r="H17" s="99"/>
    </row>
    <row r="18" s="61" customFormat="1" ht="207" customHeight="1" spans="1:8">
      <c r="A18" s="95">
        <f>SUBTOTAL(103,$D$4:D18)</f>
        <v>13</v>
      </c>
      <c r="B18" s="99" t="s">
        <v>453</v>
      </c>
      <c r="C18" s="103" t="str">
        <f>_xlfn.DISPIMG("ID_B60D3CA3CF044E0989A5660FB72A523D",1)</f>
        <v>=DISPIMG("ID_B60D3CA3CF044E0989A5660FB72A523D",1)</v>
      </c>
      <c r="D18" s="99" t="s">
        <v>451</v>
      </c>
      <c r="E18" s="108" t="s">
        <v>454</v>
      </c>
      <c r="F18" s="99">
        <v>890</v>
      </c>
      <c r="G18" s="99" t="s">
        <v>54</v>
      </c>
      <c r="H18" s="99"/>
    </row>
    <row r="19" s="61" customFormat="1" ht="69" customHeight="1" spans="1:8">
      <c r="A19" s="95">
        <f>SUBTOTAL(103,$D$4:D19)</f>
        <v>14</v>
      </c>
      <c r="B19" s="99" t="s">
        <v>455</v>
      </c>
      <c r="C19" s="104"/>
      <c r="D19" s="95" t="s">
        <v>456</v>
      </c>
      <c r="E19" s="108" t="s">
        <v>457</v>
      </c>
      <c r="F19" s="99">
        <v>1335</v>
      </c>
      <c r="G19" s="99" t="s">
        <v>47</v>
      </c>
      <c r="H19" s="95"/>
    </row>
    <row r="20" s="61" customFormat="1" ht="102" customHeight="1" spans="1:8">
      <c r="A20" s="95">
        <f>SUBTOTAL(103,$D$4:D20)</f>
        <v>15</v>
      </c>
      <c r="B20" s="99" t="s">
        <v>458</v>
      </c>
      <c r="C20" s="99" t="str">
        <f>_xlfn.DISPIMG("ID_A40C50E4AF0A487DBB1FCE9D55AE038C",1)</f>
        <v>=DISPIMG("ID_A40C50E4AF0A487DBB1FCE9D55AE038C",1)</v>
      </c>
      <c r="D20" s="99" t="s">
        <v>459</v>
      </c>
      <c r="E20" s="108" t="s">
        <v>460</v>
      </c>
      <c r="F20" s="99">
        <v>445</v>
      </c>
      <c r="G20" s="99" t="s">
        <v>47</v>
      </c>
      <c r="H20" s="99"/>
    </row>
    <row r="21" s="87" customFormat="1" ht="129" customHeight="1" spans="1:8">
      <c r="A21" s="95">
        <f>SUBTOTAL(103,$D$4:D21)</f>
        <v>16</v>
      </c>
      <c r="B21" s="95" t="s">
        <v>461</v>
      </c>
      <c r="C21" s="99" t="str">
        <f>_xlfn.DISPIMG("ID_2910B98C7106496FBD1DF07A2ADF6621",1)</f>
        <v>=DISPIMG("ID_2910B98C7106496FBD1DF07A2ADF6621",1)</v>
      </c>
      <c r="D21" s="99" t="s">
        <v>462</v>
      </c>
      <c r="E21" s="108" t="s">
        <v>463</v>
      </c>
      <c r="F21" s="99">
        <v>445</v>
      </c>
      <c r="G21" s="99" t="s">
        <v>54</v>
      </c>
      <c r="H21" s="95"/>
    </row>
    <row r="22" s="87" customFormat="1" ht="129" customHeight="1" spans="1:8">
      <c r="A22" s="95">
        <f>SUBTOTAL(103,$D$4:D22)</f>
        <v>17</v>
      </c>
      <c r="B22" s="95" t="s">
        <v>464</v>
      </c>
      <c r="C22" s="99" t="str">
        <f>_xlfn.DISPIMG("ID_77775A1747EE4630820D923CE399A1FF",1)</f>
        <v>=DISPIMG("ID_77775A1747EE4630820D923CE399A1FF",1)</v>
      </c>
      <c r="D22" s="99" t="s">
        <v>465</v>
      </c>
      <c r="E22" s="108" t="s">
        <v>463</v>
      </c>
      <c r="F22" s="99">
        <v>445</v>
      </c>
      <c r="G22" s="99" t="s">
        <v>54</v>
      </c>
      <c r="H22" s="95"/>
    </row>
    <row r="23" s="87" customFormat="1" ht="164" customHeight="1" spans="1:8">
      <c r="A23" s="95">
        <f>SUBTOTAL(103,$D$4:D23)</f>
        <v>18</v>
      </c>
      <c r="B23" s="99" t="s">
        <v>466</v>
      </c>
      <c r="C23" s="99" t="str">
        <f>_xlfn.DISPIMG("ID_4CA845B415C14AF6BA38F097DCF41A0C",1)</f>
        <v>=DISPIMG("ID_4CA845B415C14AF6BA38F097DCF41A0C",1)</v>
      </c>
      <c r="D23" s="99" t="s">
        <v>211</v>
      </c>
      <c r="E23" s="20" t="s">
        <v>227</v>
      </c>
      <c r="F23" s="99">
        <v>445</v>
      </c>
      <c r="G23" s="99" t="s">
        <v>37</v>
      </c>
      <c r="H23" s="95"/>
    </row>
    <row r="24" s="87" customFormat="1" ht="179" customHeight="1" spans="1:8">
      <c r="A24" s="95">
        <f>SUBTOTAL(103,$D$4:D24)</f>
        <v>19</v>
      </c>
      <c r="B24" s="99" t="s">
        <v>467</v>
      </c>
      <c r="C24" s="99" t="str">
        <f>_xlfn.DISPIMG("ID_45755FB97BD54BAE94FC66D6D6B3D57F",1)</f>
        <v>=DISPIMG("ID_45755FB97BD54BAE94FC66D6D6B3D57F",1)</v>
      </c>
      <c r="D24" s="99" t="s">
        <v>229</v>
      </c>
      <c r="E24" s="20" t="s">
        <v>468</v>
      </c>
      <c r="F24" s="99">
        <v>890</v>
      </c>
      <c r="G24" s="99" t="s">
        <v>37</v>
      </c>
      <c r="H24" s="95"/>
    </row>
    <row r="25" ht="18" customHeight="1" spans="1:8">
      <c r="A25" s="101" t="s">
        <v>469</v>
      </c>
      <c r="B25" s="101"/>
      <c r="C25" s="101"/>
      <c r="D25" s="102"/>
      <c r="E25" s="110"/>
      <c r="F25" s="93"/>
      <c r="G25" s="93"/>
      <c r="H25" s="93"/>
    </row>
    <row r="26" s="61" customFormat="1" ht="170" customHeight="1" spans="1:8">
      <c r="A26" s="94">
        <f>SUBTOTAL(103,$D$4:D26)</f>
        <v>20</v>
      </c>
      <c r="B26" s="95" t="s">
        <v>429</v>
      </c>
      <c r="C26" s="100" t="str">
        <f>_xlfn.DISPIMG("ID_1D9C6B7BD473474FBA8076983F8784D8",1)</f>
        <v>=DISPIMG("ID_1D9C6B7BD473474FBA8076983F8784D8",1)</v>
      </c>
      <c r="D26" s="95" t="s">
        <v>470</v>
      </c>
      <c r="E26" s="111" t="s">
        <v>471</v>
      </c>
      <c r="F26" s="66">
        <v>16</v>
      </c>
      <c r="G26" s="66" t="s">
        <v>37</v>
      </c>
      <c r="H26" s="66"/>
    </row>
    <row r="27" s="61" customFormat="1" ht="151" customHeight="1" spans="1:8">
      <c r="A27" s="94">
        <f>SUBTOTAL(103,$D$4:D27)</f>
        <v>21</v>
      </c>
      <c r="B27" s="99" t="s">
        <v>435</v>
      </c>
      <c r="C27" s="100" t="str">
        <f>_xlfn.DISPIMG("ID_33091141D52548E7AD5EC0DE66696C73",1)</f>
        <v>=DISPIMG("ID_33091141D52548E7AD5EC0DE66696C73",1)</v>
      </c>
      <c r="D27" s="95" t="s">
        <v>472</v>
      </c>
      <c r="E27" s="107" t="s">
        <v>473</v>
      </c>
      <c r="F27" s="66">
        <v>16</v>
      </c>
      <c r="G27" s="66" t="s">
        <v>37</v>
      </c>
      <c r="H27" s="66"/>
    </row>
    <row r="28" s="61" customFormat="1" ht="122" customHeight="1" spans="1:8">
      <c r="A28" s="94">
        <f>SUBTOTAL(103,$D$4:D28)</f>
        <v>22</v>
      </c>
      <c r="B28" s="99" t="s">
        <v>474</v>
      </c>
      <c r="C28" s="100" t="str">
        <f>_xlfn.DISPIMG("ID_66C4FAB1686D44C188C94763E8009569",1)</f>
        <v>=DISPIMG("ID_66C4FAB1686D44C188C94763E8009569",1)</v>
      </c>
      <c r="D28" s="99" t="s">
        <v>475</v>
      </c>
      <c r="E28" s="108" t="s">
        <v>476</v>
      </c>
      <c r="F28" s="66">
        <v>8</v>
      </c>
      <c r="G28" s="66" t="s">
        <v>54</v>
      </c>
      <c r="H28" s="66"/>
    </row>
    <row r="29" customFormat="1" ht="18" customHeight="1" spans="1:8">
      <c r="A29" s="101" t="s">
        <v>477</v>
      </c>
      <c r="B29" s="101"/>
      <c r="C29" s="101"/>
      <c r="D29" s="102"/>
      <c r="E29" s="110"/>
      <c r="F29" s="93"/>
      <c r="G29" s="93"/>
      <c r="H29" s="93"/>
    </row>
    <row r="30" s="61" customFormat="1" ht="184" customHeight="1" spans="1:8">
      <c r="A30" s="95">
        <f>SUBTOTAL(103,$D$4:D30)</f>
        <v>23</v>
      </c>
      <c r="B30" s="99" t="s">
        <v>429</v>
      </c>
      <c r="C30" s="100" t="str">
        <f>_xlfn.DISPIMG("ID_472BAF5E1259461CBF94E4FF656CCAAB",1)</f>
        <v>=DISPIMG("ID_472BAF5E1259461CBF94E4FF656CCAAB",1)</v>
      </c>
      <c r="D30" s="95" t="s">
        <v>430</v>
      </c>
      <c r="E30" s="107" t="s">
        <v>478</v>
      </c>
      <c r="F30" s="99">
        <v>198</v>
      </c>
      <c r="G30" s="99" t="s">
        <v>37</v>
      </c>
      <c r="H30" s="99"/>
    </row>
    <row r="31" s="61" customFormat="1" ht="83" customHeight="1" spans="1:8">
      <c r="A31" s="95">
        <f>SUBTOTAL(103,$D$4:D31)</f>
        <v>24</v>
      </c>
      <c r="B31" s="99" t="s">
        <v>432</v>
      </c>
      <c r="C31" s="100" t="str">
        <f>_xlfn.DISPIMG("ID_A86DB6E59A8F4E85B014ACE38B583579",1)</f>
        <v>=DISPIMG("ID_A86DB6E59A8F4E85B014ACE38B583579",1)</v>
      </c>
      <c r="D31" s="99" t="s">
        <v>433</v>
      </c>
      <c r="E31" s="108" t="s">
        <v>434</v>
      </c>
      <c r="F31" s="99">
        <v>198</v>
      </c>
      <c r="G31" s="99" t="s">
        <v>37</v>
      </c>
      <c r="H31" s="99"/>
    </row>
    <row r="32" s="61" customFormat="1" ht="140" customHeight="1" spans="1:8">
      <c r="A32" s="95">
        <f>SUBTOTAL(103,$D$4:D32)</f>
        <v>25</v>
      </c>
      <c r="B32" s="99" t="s">
        <v>435</v>
      </c>
      <c r="C32" s="100" t="str">
        <f>_xlfn.DISPIMG("ID_ABFCEBDDCF7C446C8C9F30547ABAF955",1)</f>
        <v>=DISPIMG("ID_ABFCEBDDCF7C446C8C9F30547ABAF955",1)</v>
      </c>
      <c r="D32" s="95" t="s">
        <v>436</v>
      </c>
      <c r="E32" s="107" t="s">
        <v>437</v>
      </c>
      <c r="F32" s="99">
        <v>198</v>
      </c>
      <c r="G32" s="99" t="s">
        <v>47</v>
      </c>
      <c r="H32" s="99"/>
    </row>
    <row r="33" s="61" customFormat="1" ht="136" customHeight="1" spans="1:8">
      <c r="A33" s="95">
        <f>SUBTOTAL(103,$D$4:D33)</f>
        <v>26</v>
      </c>
      <c r="B33" s="99" t="s">
        <v>479</v>
      </c>
      <c r="C33" s="100" t="str">
        <f>_xlfn.DISPIMG("ID_9A43A17E01A04197BA86A842A3046691",1)</f>
        <v>=DISPIMG("ID_9A43A17E01A04197BA86A842A3046691",1)</v>
      </c>
      <c r="D33" s="95" t="s">
        <v>480</v>
      </c>
      <c r="E33" s="107" t="s">
        <v>79</v>
      </c>
      <c r="F33" s="99">
        <v>71</v>
      </c>
      <c r="G33" s="99" t="s">
        <v>54</v>
      </c>
      <c r="H33" s="99"/>
    </row>
    <row r="34" s="61" customFormat="1" ht="177" customHeight="1" spans="1:8">
      <c r="A34" s="95">
        <f>SUBTOTAL(103,$D$4:D34)</f>
        <v>27</v>
      </c>
      <c r="B34" s="99" t="s">
        <v>481</v>
      </c>
      <c r="C34" s="100" t="str">
        <f>_xlfn.DISPIMG("ID_5ECBE361A6E3468680B1879CF96A8824",1)</f>
        <v>=DISPIMG("ID_5ECBE361A6E3468680B1879CF96A8824",1)</v>
      </c>
      <c r="D34" s="95" t="s">
        <v>482</v>
      </c>
      <c r="E34" s="107" t="s">
        <v>79</v>
      </c>
      <c r="F34" s="99">
        <v>28</v>
      </c>
      <c r="G34" s="99" t="s">
        <v>54</v>
      </c>
      <c r="H34" s="99"/>
    </row>
    <row r="35" s="61" customFormat="1" ht="167" customHeight="1" spans="1:8">
      <c r="A35" s="95">
        <f>SUBTOTAL(103,$D$4:D35)</f>
        <v>28</v>
      </c>
      <c r="B35" s="99" t="s">
        <v>466</v>
      </c>
      <c r="C35" s="100" t="str">
        <f>_xlfn.DISPIMG("ID_04159CB6BBD34DD78BE4C2B539511DF1",1)</f>
        <v>=DISPIMG("ID_04159CB6BBD34DD78BE4C2B539511DF1",1)</v>
      </c>
      <c r="D35" s="95" t="s">
        <v>483</v>
      </c>
      <c r="E35" s="107" t="s">
        <v>484</v>
      </c>
      <c r="F35" s="99">
        <v>198</v>
      </c>
      <c r="G35" s="99" t="s">
        <v>37</v>
      </c>
      <c r="H35" s="99"/>
    </row>
    <row r="36" s="61" customFormat="1" ht="172" customHeight="1" spans="1:8">
      <c r="A36" s="95">
        <f>SUBTOTAL(103,$D$4:D36)</f>
        <v>29</v>
      </c>
      <c r="B36" s="99" t="s">
        <v>485</v>
      </c>
      <c r="C36" s="100" t="str">
        <f>_xlfn.DISPIMG("ID_2A7568CF9851489EA0E51CBB2DCE7073",1)</f>
        <v>=DISPIMG("ID_2A7568CF9851489EA0E51CBB2DCE7073",1)</v>
      </c>
      <c r="D36" s="95" t="s">
        <v>486</v>
      </c>
      <c r="E36" s="111" t="s">
        <v>487</v>
      </c>
      <c r="F36" s="99">
        <v>198</v>
      </c>
      <c r="G36" s="99" t="s">
        <v>43</v>
      </c>
      <c r="H36" s="99"/>
    </row>
    <row r="37" customFormat="1" ht="18" customHeight="1" spans="1:8">
      <c r="A37" s="101" t="s">
        <v>488</v>
      </c>
      <c r="B37" s="101"/>
      <c r="C37" s="101"/>
      <c r="D37" s="102"/>
      <c r="E37" s="110"/>
      <c r="F37" s="93"/>
      <c r="G37" s="93"/>
      <c r="H37" s="93"/>
    </row>
    <row r="38" s="61" customFormat="1" ht="180" customHeight="1" spans="1:8">
      <c r="A38" s="94">
        <f>SUBTOTAL(103,$D$4:D38)</f>
        <v>30</v>
      </c>
      <c r="B38" s="99" t="s">
        <v>489</v>
      </c>
      <c r="C38" s="100" t="str">
        <f>_xlfn.DISPIMG("ID_03208B8176604ED6810C5A6BC501E627",1)</f>
        <v>=DISPIMG("ID_03208B8176604ED6810C5A6BC501E627",1)</v>
      </c>
      <c r="D38" s="95" t="s">
        <v>490</v>
      </c>
      <c r="E38" s="107" t="s">
        <v>478</v>
      </c>
      <c r="F38" s="66">
        <v>12</v>
      </c>
      <c r="G38" s="66" t="s">
        <v>37</v>
      </c>
      <c r="H38" s="66"/>
    </row>
    <row r="39" s="61" customFormat="1" ht="95" customHeight="1" spans="1:8">
      <c r="A39" s="94">
        <f>SUBTOTAL(103,$D$4:D39)</f>
        <v>31</v>
      </c>
      <c r="B39" s="99" t="s">
        <v>432</v>
      </c>
      <c r="C39" s="100" t="str">
        <f>_xlfn.DISPIMG("ID_F71D049E904E441EB21818815552978C",1)</f>
        <v>=DISPIMG("ID_F71D049E904E441EB21818815552978C",1)</v>
      </c>
      <c r="D39" s="95" t="s">
        <v>491</v>
      </c>
      <c r="E39" s="22" t="s">
        <v>434</v>
      </c>
      <c r="F39" s="66">
        <v>12</v>
      </c>
      <c r="G39" s="66" t="s">
        <v>37</v>
      </c>
      <c r="H39" s="66"/>
    </row>
    <row r="40" s="61" customFormat="1" ht="171" customHeight="1" spans="1:8">
      <c r="A40" s="94">
        <f>SUBTOTAL(103,$D$4:D40)</f>
        <v>32</v>
      </c>
      <c r="B40" s="99" t="s">
        <v>435</v>
      </c>
      <c r="C40" s="100" t="str">
        <f>_xlfn.DISPIMG("ID_10908B0B51C0497FB4B2070A88C49D88",1)</f>
        <v>=DISPIMG("ID_10908B0B51C0497FB4B2070A88C49D88",1)</v>
      </c>
      <c r="D40" s="94" t="s">
        <v>436</v>
      </c>
      <c r="E40" s="107" t="s">
        <v>437</v>
      </c>
      <c r="F40" s="66">
        <v>24</v>
      </c>
      <c r="G40" s="66" t="s">
        <v>37</v>
      </c>
      <c r="H40" s="66"/>
    </row>
    <row r="41" s="61" customFormat="1" ht="165" customHeight="1" spans="1:8">
      <c r="A41" s="94">
        <f>SUBTOTAL(103,$D$4:D41)</f>
        <v>33</v>
      </c>
      <c r="B41" s="99" t="s">
        <v>438</v>
      </c>
      <c r="C41" s="100" t="str">
        <f>_xlfn.DISPIMG("ID_C9DF65B699E040D19C67F3C7E257C91F",1)</f>
        <v>=DISPIMG("ID_C9DF65B699E040D19C67F3C7E257C91F",1)</v>
      </c>
      <c r="D41" s="95" t="s">
        <v>492</v>
      </c>
      <c r="E41" s="107" t="s">
        <v>79</v>
      </c>
      <c r="F41" s="66">
        <v>12</v>
      </c>
      <c r="G41" s="66" t="s">
        <v>54</v>
      </c>
      <c r="H41" s="66"/>
    </row>
    <row r="42" s="61" customFormat="1" ht="66" customHeight="1" spans="1:8">
      <c r="A42" s="94">
        <f>SUBTOTAL(103,$D$4:D42)</f>
        <v>34</v>
      </c>
      <c r="B42" s="99" t="s">
        <v>493</v>
      </c>
      <c r="C42" s="100" t="str">
        <f>_xlfn.DISPIMG("ID_C1AB0B3F67824D0A8FA49307FBE7A238",1)</f>
        <v>=DISPIMG("ID_C1AB0B3F67824D0A8FA49307FBE7A238",1)</v>
      </c>
      <c r="D42" s="95" t="s">
        <v>494</v>
      </c>
      <c r="E42" s="111" t="s">
        <v>364</v>
      </c>
      <c r="F42" s="66">
        <v>12</v>
      </c>
      <c r="G42" s="66" t="s">
        <v>37</v>
      </c>
      <c r="H42" s="94"/>
    </row>
    <row r="43" s="61" customFormat="1" ht="80" customHeight="1" spans="1:8">
      <c r="A43" s="94">
        <f>SUBTOTAL(103,$D$4:D43)</f>
        <v>35</v>
      </c>
      <c r="B43" s="99" t="s">
        <v>330</v>
      </c>
      <c r="C43" s="100" t="str">
        <f>_xlfn.DISPIMG("ID_BE0B4132A74540668F8F6FBDA1B2550F",1)</f>
        <v>=DISPIMG("ID_BE0B4132A74540668F8F6FBDA1B2550F",1)</v>
      </c>
      <c r="D43" s="95" t="s">
        <v>495</v>
      </c>
      <c r="E43" s="111" t="s">
        <v>496</v>
      </c>
      <c r="F43" s="66">
        <v>48</v>
      </c>
      <c r="G43" s="66" t="s">
        <v>43</v>
      </c>
      <c r="H43" s="66"/>
    </row>
    <row r="44" s="61" customFormat="1" ht="167" customHeight="1" spans="1:8">
      <c r="A44" s="94">
        <f>SUBTOTAL(103,$D$4:D44)</f>
        <v>36</v>
      </c>
      <c r="B44" s="99" t="s">
        <v>466</v>
      </c>
      <c r="C44" s="100" t="str">
        <f>_xlfn.DISPIMG("ID_785B59F95FA245A7ADBD64981EAA948C",1)</f>
        <v>=DISPIMG("ID_785B59F95FA245A7ADBD64981EAA948C",1)</v>
      </c>
      <c r="D44" s="95" t="s">
        <v>483</v>
      </c>
      <c r="E44" s="107" t="s">
        <v>497</v>
      </c>
      <c r="F44" s="66">
        <v>12</v>
      </c>
      <c r="G44" s="66" t="s">
        <v>37</v>
      </c>
      <c r="H44" s="66"/>
    </row>
    <row r="45" s="61" customFormat="1" ht="100" customHeight="1" spans="1:8">
      <c r="A45" s="94">
        <f>SUBTOTAL(103,$D$4:D45)</f>
        <v>37</v>
      </c>
      <c r="B45" s="99" t="s">
        <v>485</v>
      </c>
      <c r="C45" s="100" t="str">
        <f>_xlfn.DISPIMG("ID_217B48EBB3A54A9CBD10CEB6C163E380",1)</f>
        <v>=DISPIMG("ID_217B48EBB3A54A9CBD10CEB6C163E380",1)</v>
      </c>
      <c r="D45" s="95" t="s">
        <v>498</v>
      </c>
      <c r="E45" s="111" t="s">
        <v>499</v>
      </c>
      <c r="F45" s="66">
        <v>12</v>
      </c>
      <c r="G45" s="66" t="s">
        <v>43</v>
      </c>
      <c r="H45" s="66"/>
    </row>
    <row r="46" customFormat="1" ht="18" customHeight="1" spans="1:8">
      <c r="A46" s="101" t="s">
        <v>500</v>
      </c>
      <c r="B46" s="101"/>
      <c r="C46" s="101"/>
      <c r="D46" s="102"/>
      <c r="E46" s="110"/>
      <c r="F46" s="93"/>
      <c r="G46" s="93"/>
      <c r="H46" s="93"/>
    </row>
    <row r="47" s="61" customFormat="1" ht="92" customHeight="1" spans="1:8">
      <c r="A47" s="94">
        <f>SUBTOTAL(103,$D$4:D47)</f>
        <v>38</v>
      </c>
      <c r="B47" s="95" t="s">
        <v>441</v>
      </c>
      <c r="C47" s="100" t="str">
        <f>_xlfn.DISPIMG("ID_B0DB97F27ED44782B59EA9522A6FD695",1)</f>
        <v>=DISPIMG("ID_B0DB97F27ED44782B59EA9522A6FD695",1)</v>
      </c>
      <c r="D47" s="95" t="s">
        <v>501</v>
      </c>
      <c r="E47" s="112" t="s">
        <v>443</v>
      </c>
      <c r="F47" s="66">
        <v>2</v>
      </c>
      <c r="G47" s="66" t="s">
        <v>37</v>
      </c>
      <c r="H47" s="66"/>
    </row>
    <row r="48" s="61" customFormat="1" ht="81" customHeight="1" spans="1:8">
      <c r="A48" s="94">
        <f>SUBTOTAL(103,$D$4:D48)</f>
        <v>39</v>
      </c>
      <c r="B48" s="95" t="s">
        <v>502</v>
      </c>
      <c r="C48" s="100"/>
      <c r="D48" s="95" t="s">
        <v>503</v>
      </c>
      <c r="E48" s="112"/>
      <c r="F48" s="66">
        <v>2</v>
      </c>
      <c r="G48" s="66" t="s">
        <v>37</v>
      </c>
      <c r="H48" s="66"/>
    </row>
    <row r="49" s="61" customFormat="1" ht="96" customHeight="1" spans="1:8">
      <c r="A49" s="94">
        <f>SUBTOTAL(103,$D$4:D49)</f>
        <v>40</v>
      </c>
      <c r="B49" s="95" t="s">
        <v>504</v>
      </c>
      <c r="C49" s="105" t="str">
        <f>_xlfn.DISPIMG("ID_76A33096171B4D70832561AF0899D35A",1)</f>
        <v>=DISPIMG("ID_76A33096171B4D70832561AF0899D35A",1)</v>
      </c>
      <c r="D49" s="66" t="s">
        <v>505</v>
      </c>
      <c r="E49" s="20" t="s">
        <v>506</v>
      </c>
      <c r="F49" s="66">
        <v>2</v>
      </c>
      <c r="G49" s="66" t="s">
        <v>37</v>
      </c>
      <c r="H49" s="66"/>
    </row>
    <row r="50" s="61" customFormat="1" ht="170" customHeight="1" spans="1:8">
      <c r="A50" s="94">
        <f>SUBTOTAL(103,$D$4:D50)</f>
        <v>41</v>
      </c>
      <c r="B50" s="99" t="s">
        <v>507</v>
      </c>
      <c r="C50" s="100" t="str">
        <f>_xlfn.DISPIMG("ID_7BF8B81D82B148C690B9A68C9ED7EB9B",1)</f>
        <v>=DISPIMG("ID_7BF8B81D82B148C690B9A68C9ED7EB9B",1)</v>
      </c>
      <c r="D50" s="95" t="s">
        <v>508</v>
      </c>
      <c r="E50" s="107" t="s">
        <v>509</v>
      </c>
      <c r="F50" s="66">
        <v>2</v>
      </c>
      <c r="G50" s="66" t="s">
        <v>37</v>
      </c>
      <c r="H50" s="66"/>
    </row>
    <row r="51" s="61" customFormat="1" ht="171" customHeight="1" spans="1:8">
      <c r="A51" s="94">
        <f>SUBTOTAL(103,$D$4:D51)</f>
        <v>42</v>
      </c>
      <c r="B51" s="95" t="s">
        <v>510</v>
      </c>
      <c r="C51" s="100" t="str">
        <f>_xlfn.DISPIMG("ID_C9F19D5E71164DE19429B7D89C992760",1)</f>
        <v>=DISPIMG("ID_C9F19D5E71164DE19429B7D89C992760",1)</v>
      </c>
      <c r="D51" s="95" t="s">
        <v>511</v>
      </c>
      <c r="E51" s="107" t="s">
        <v>497</v>
      </c>
      <c r="F51" s="66">
        <v>2</v>
      </c>
      <c r="G51" s="66" t="s">
        <v>37</v>
      </c>
      <c r="H51" s="66"/>
    </row>
    <row r="52" s="61" customFormat="1" ht="164" customHeight="1" spans="1:8">
      <c r="A52" s="94">
        <f>SUBTOTAL(103,$D$4:D52)</f>
        <v>43</v>
      </c>
      <c r="B52" s="95" t="s">
        <v>512</v>
      </c>
      <c r="C52" s="100" t="str">
        <f>_xlfn.DISPIMG("ID_1B5C44ECFB2A4307A22552A2585E7777",1)</f>
        <v>=DISPIMG("ID_1B5C44ECFB2A4307A22552A2585E7777",1)</v>
      </c>
      <c r="D52" s="95" t="s">
        <v>513</v>
      </c>
      <c r="E52" s="107" t="s">
        <v>514</v>
      </c>
      <c r="F52" s="66">
        <v>2</v>
      </c>
      <c r="G52" s="66" t="s">
        <v>47</v>
      </c>
      <c r="H52" s="66"/>
    </row>
    <row r="53" s="61" customFormat="1" ht="135" customHeight="1" spans="1:8">
      <c r="A53" s="94">
        <f>SUBTOTAL(103,$D$4:D53)</f>
        <v>44</v>
      </c>
      <c r="B53" s="99" t="s">
        <v>493</v>
      </c>
      <c r="C53" s="100" t="str">
        <f>_xlfn.DISPIMG("ID_CF329A96F8BF4CA790C49767EEA004E2",1)</f>
        <v>=DISPIMG("ID_CF329A96F8BF4CA790C49767EEA004E2",1)</v>
      </c>
      <c r="D53" s="95" t="s">
        <v>515</v>
      </c>
      <c r="E53" s="111" t="s">
        <v>516</v>
      </c>
      <c r="F53" s="66">
        <v>2</v>
      </c>
      <c r="G53" s="66" t="s">
        <v>37</v>
      </c>
      <c r="H53" s="94"/>
    </row>
    <row r="54" s="61" customFormat="1" ht="135" customHeight="1" spans="1:8">
      <c r="A54" s="94">
        <f>SUBTOTAL(103,$D$4:D54)</f>
        <v>45</v>
      </c>
      <c r="B54" s="99" t="s">
        <v>330</v>
      </c>
      <c r="C54" s="100" t="str">
        <f>_xlfn.DISPIMG("ID_1F342128D38B4552A958AA4AA1FD02F0",1)</f>
        <v>=DISPIMG("ID_1F342128D38B4552A958AA4AA1FD02F0",1)</v>
      </c>
      <c r="D54" s="95" t="s">
        <v>517</v>
      </c>
      <c r="E54" s="111" t="s">
        <v>518</v>
      </c>
      <c r="F54" s="66">
        <v>8</v>
      </c>
      <c r="G54" s="66" t="s">
        <v>43</v>
      </c>
      <c r="H54" s="66"/>
    </row>
    <row r="55" s="61" customFormat="1" ht="170" customHeight="1" spans="1:8">
      <c r="A55" s="94">
        <f>SUBTOTAL(103,$D$4:D55)</f>
        <v>46</v>
      </c>
      <c r="B55" s="99" t="s">
        <v>519</v>
      </c>
      <c r="C55" s="100" t="str">
        <f>_xlfn.DISPIMG("ID_73DBEF1E665844E1B677AEF79282FEEC",1)</f>
        <v>=DISPIMG("ID_73DBEF1E665844E1B677AEF79282FEEC",1)</v>
      </c>
      <c r="D55" s="95" t="s">
        <v>520</v>
      </c>
      <c r="E55" s="107" t="s">
        <v>79</v>
      </c>
      <c r="F55" s="66">
        <v>2</v>
      </c>
      <c r="G55" s="66" t="s">
        <v>54</v>
      </c>
      <c r="H55" s="66"/>
    </row>
    <row r="56" s="61" customFormat="1" ht="168" customHeight="1" spans="1:8">
      <c r="A56" s="94">
        <f>SUBTOTAL(103,$D$4:D56)</f>
        <v>47</v>
      </c>
      <c r="B56" s="99" t="s">
        <v>521</v>
      </c>
      <c r="C56" s="100" t="str">
        <f>_xlfn.DISPIMG("ID_F84E97D9786E41E2912A10AE5CE42B2B",1)</f>
        <v>=DISPIMG("ID_F84E97D9786E41E2912A10AE5CE42B2B",1)</v>
      </c>
      <c r="D56" s="95" t="s">
        <v>522</v>
      </c>
      <c r="E56" s="107" t="s">
        <v>79</v>
      </c>
      <c r="F56" s="66">
        <v>2</v>
      </c>
      <c r="G56" s="66" t="s">
        <v>54</v>
      </c>
      <c r="H56" s="66"/>
    </row>
    <row r="57" s="61" customFormat="1" ht="166" customHeight="1" spans="1:8">
      <c r="A57" s="94">
        <f>SUBTOTAL(103,$D$4:D57)</f>
        <v>48</v>
      </c>
      <c r="B57" s="99" t="s">
        <v>523</v>
      </c>
      <c r="C57" s="100" t="str">
        <f>_xlfn.DISPIMG("ID_E9D285B2F8EA497D95A846B2688A496A",1)</f>
        <v>=DISPIMG("ID_E9D285B2F8EA497D95A846B2688A496A",1)</v>
      </c>
      <c r="D57" s="95" t="s">
        <v>524</v>
      </c>
      <c r="E57" s="107" t="s">
        <v>525</v>
      </c>
      <c r="F57" s="66">
        <v>2</v>
      </c>
      <c r="G57" s="66" t="s">
        <v>47</v>
      </c>
      <c r="H57" s="66"/>
    </row>
    <row r="58" s="61" customFormat="1" ht="119" customHeight="1" spans="1:8">
      <c r="A58" s="94">
        <f>SUBTOTAL(103,$D$4:D58)</f>
        <v>49</v>
      </c>
      <c r="B58" s="99" t="s">
        <v>526</v>
      </c>
      <c r="C58" s="100" t="str">
        <f>_xlfn.DISPIMG("ID_56EB0E29DAC44BA5A8606DE0351505AF",1)</f>
        <v>=DISPIMG("ID_56EB0E29DAC44BA5A8606DE0351505AF",1)</v>
      </c>
      <c r="D58" s="95" t="s">
        <v>527</v>
      </c>
      <c r="E58" s="111" t="s">
        <v>528</v>
      </c>
      <c r="F58" s="66">
        <v>2</v>
      </c>
      <c r="G58" s="66" t="s">
        <v>54</v>
      </c>
      <c r="H58" s="66"/>
    </row>
    <row r="59" s="61" customFormat="1" ht="104" customHeight="1" spans="1:8">
      <c r="A59" s="94">
        <f>SUBTOTAL(103,$D$4:D59)</f>
        <v>50</v>
      </c>
      <c r="B59" s="99" t="s">
        <v>435</v>
      </c>
      <c r="C59" s="100" t="str">
        <f>_xlfn.DISPIMG("ID_A02A1A17D0C14C9A9A0AE3EC5E1A71D3",1)</f>
        <v>=DISPIMG("ID_A02A1A17D0C14C9A9A0AE3EC5E1A71D3",1)</v>
      </c>
      <c r="D59" s="95" t="s">
        <v>529</v>
      </c>
      <c r="E59" s="111" t="s">
        <v>530</v>
      </c>
      <c r="F59" s="66">
        <v>4</v>
      </c>
      <c r="G59" s="66" t="s">
        <v>47</v>
      </c>
      <c r="H59" s="66"/>
    </row>
    <row r="60" s="61" customFormat="1" ht="94" customHeight="1" spans="1:8">
      <c r="A60" s="94">
        <f>SUBTOTAL(103,$D$4:D60)</f>
        <v>51</v>
      </c>
      <c r="B60" s="99" t="s">
        <v>432</v>
      </c>
      <c r="C60" s="100" t="str">
        <f>_xlfn.DISPIMG("ID_457F6F3C16CD46A282445AE95F889CE3",1)</f>
        <v>=DISPIMG("ID_457F6F3C16CD46A282445AE95F889CE3",1)</v>
      </c>
      <c r="D60" s="95" t="s">
        <v>531</v>
      </c>
      <c r="E60" s="22" t="s">
        <v>434</v>
      </c>
      <c r="F60" s="66">
        <v>2</v>
      </c>
      <c r="G60" s="66" t="s">
        <v>37</v>
      </c>
      <c r="H60" s="66"/>
    </row>
    <row r="61" s="61" customFormat="1" ht="164" customHeight="1" spans="1:8">
      <c r="A61" s="94">
        <f>SUBTOTAL(103,$D$4:D61)</f>
        <v>52</v>
      </c>
      <c r="B61" s="95" t="s">
        <v>532</v>
      </c>
      <c r="C61" s="100" t="str">
        <f>_xlfn.DISPIMG("ID_6B01EDEF500240D090FD256DF2B0BCEA",1)</f>
        <v>=DISPIMG("ID_6B01EDEF500240D090FD256DF2B0BCEA",1)</v>
      </c>
      <c r="D61" s="95" t="s">
        <v>211</v>
      </c>
      <c r="E61" s="107" t="s">
        <v>484</v>
      </c>
      <c r="F61" s="66">
        <v>2</v>
      </c>
      <c r="G61" s="66" t="s">
        <v>37</v>
      </c>
      <c r="H61" s="66"/>
    </row>
    <row r="62" s="61" customFormat="1" ht="102" customHeight="1" spans="1:8">
      <c r="A62" s="94">
        <f>SUBTOTAL(103,$D$4:D62)</f>
        <v>53</v>
      </c>
      <c r="B62" s="99" t="s">
        <v>485</v>
      </c>
      <c r="C62" s="100" t="str">
        <f>_xlfn.DISPIMG("ID_7B948B9EF63347FD9C33A83A92B02A15",1)</f>
        <v>=DISPIMG("ID_7B948B9EF63347FD9C33A83A92B02A15",1)</v>
      </c>
      <c r="D62" s="95" t="s">
        <v>498</v>
      </c>
      <c r="E62" s="111" t="s">
        <v>499</v>
      </c>
      <c r="F62" s="66">
        <v>2</v>
      </c>
      <c r="G62" s="66" t="s">
        <v>43</v>
      </c>
      <c r="H62" s="66"/>
    </row>
    <row r="63" s="88" customFormat="1" ht="141" customHeight="1" spans="1:8">
      <c r="A63" s="95">
        <f>SUBTOTAL(103,$D$4:D63)</f>
        <v>54</v>
      </c>
      <c r="B63" s="95" t="s">
        <v>533</v>
      </c>
      <c r="C63" s="100" t="str">
        <f>_xlfn.DISPIMG("ID_C00353B000B14C23BBB54B2C95408395",1)</f>
        <v>=DISPIMG("ID_C00353B000B14C23BBB54B2C95408395",1)</v>
      </c>
      <c r="D63" s="95" t="s">
        <v>534</v>
      </c>
      <c r="E63" s="111" t="s">
        <v>535</v>
      </c>
      <c r="F63" s="99">
        <v>2</v>
      </c>
      <c r="G63" s="99" t="s">
        <v>37</v>
      </c>
      <c r="H63" s="99"/>
    </row>
  </sheetData>
  <mergeCells count="6">
    <mergeCell ref="A1:H1"/>
    <mergeCell ref="A3:C3"/>
    <mergeCell ref="A12:C12"/>
    <mergeCell ref="C18:C19"/>
    <mergeCell ref="C47:C48"/>
    <mergeCell ref="E47:E48"/>
  </mergeCells>
  <pageMargins left="0.393055555555556" right="0.393055555555556" top="0.786805555555556" bottom="0.786805555555556" header="0.5" footer="0.5"/>
  <pageSetup paperSize="9" scale="67" fitToHeight="0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view="pageBreakPreview" zoomScale="130" zoomScaleNormal="100" topLeftCell="A5" workbookViewId="0">
      <selection activeCell="E5" sqref="E5"/>
    </sheetView>
  </sheetViews>
  <sheetFormatPr defaultColWidth="9.16346153846154" defaultRowHeight="16.8" outlineLevelCol="7"/>
  <cols>
    <col min="1" max="1" width="6.10576923076923" style="61" customWidth="1"/>
    <col min="2" max="2" width="11.125" style="61" customWidth="1"/>
    <col min="3" max="3" width="24.3365384615385" style="62" customWidth="1"/>
    <col min="4" max="4" width="18.75" style="62" customWidth="1"/>
    <col min="5" max="5" width="49.5576923076923" style="61" customWidth="1"/>
    <col min="6" max="8" width="9.16346153846154" style="61"/>
  </cols>
  <sheetData>
    <row r="1" ht="38" customHeight="1" spans="1:8">
      <c r="A1" s="63" t="s">
        <v>536</v>
      </c>
      <c r="B1" s="63"/>
      <c r="C1" s="64"/>
      <c r="D1" s="64"/>
      <c r="E1" s="63"/>
      <c r="F1" s="63"/>
      <c r="G1" s="63"/>
      <c r="H1" s="63"/>
    </row>
    <row r="2" s="60" customFormat="1" ht="27" customHeight="1" spans="1:8">
      <c r="A2" s="65" t="s">
        <v>1</v>
      </c>
      <c r="B2" s="8" t="s">
        <v>26</v>
      </c>
      <c r="C2" s="65" t="s">
        <v>537</v>
      </c>
      <c r="D2" s="65" t="s">
        <v>28</v>
      </c>
      <c r="E2" s="8" t="s">
        <v>29</v>
      </c>
      <c r="F2" s="77" t="s">
        <v>30</v>
      </c>
      <c r="G2" s="77" t="s">
        <v>31</v>
      </c>
      <c r="H2" s="65" t="s">
        <v>4</v>
      </c>
    </row>
    <row r="3" ht="151" customHeight="1" spans="1:8">
      <c r="A3" s="66">
        <v>1</v>
      </c>
      <c r="B3" s="67" t="s">
        <v>538</v>
      </c>
      <c r="C3" s="68" t="str">
        <f>_xlfn.DISPIMG("ID_C069293B06184079BEB72FDF16048E54",1)</f>
        <v>=DISPIMG("ID_C069293B06184079BEB72FDF16048E54",1)</v>
      </c>
      <c r="D3" s="69" t="s">
        <v>539</v>
      </c>
      <c r="E3" s="78" t="s">
        <v>540</v>
      </c>
      <c r="F3" s="79">
        <v>6</v>
      </c>
      <c r="G3" s="79" t="s">
        <v>54</v>
      </c>
      <c r="H3" s="80"/>
    </row>
    <row r="4" ht="136" customHeight="1" spans="1:8">
      <c r="A4" s="66">
        <v>2</v>
      </c>
      <c r="B4" s="67" t="s">
        <v>541</v>
      </c>
      <c r="C4" s="70" t="str">
        <f>_xlfn.DISPIMG("ID_A478C1BBA6834F1CB88440BD4BE6B201",1)</f>
        <v>=DISPIMG("ID_A478C1BBA6834F1CB88440BD4BE6B201",1)</v>
      </c>
      <c r="D4" s="71" t="s">
        <v>542</v>
      </c>
      <c r="E4" s="81" t="s">
        <v>543</v>
      </c>
      <c r="F4" s="67">
        <v>20</v>
      </c>
      <c r="G4" s="67" t="s">
        <v>54</v>
      </c>
      <c r="H4" s="80"/>
    </row>
    <row r="5" ht="126" customHeight="1" spans="1:8">
      <c r="A5" s="66">
        <v>3</v>
      </c>
      <c r="B5" s="67" t="s">
        <v>544</v>
      </c>
      <c r="C5" s="71" t="str">
        <f>_xlfn.DISPIMG("ID_4AC2F05933F84CC5B95827CCBA1DDE04",1)</f>
        <v>=DISPIMG("ID_4AC2F05933F84CC5B95827CCBA1DDE04",1)</v>
      </c>
      <c r="D5" s="71" t="s">
        <v>545</v>
      </c>
      <c r="E5" s="81" t="s">
        <v>546</v>
      </c>
      <c r="F5" s="72">
        <v>24</v>
      </c>
      <c r="G5" s="72" t="s">
        <v>37</v>
      </c>
      <c r="H5" s="80"/>
    </row>
    <row r="6" ht="409.5" spans="1:8">
      <c r="A6" s="66">
        <v>4</v>
      </c>
      <c r="B6" s="67" t="s">
        <v>547</v>
      </c>
      <c r="C6" s="71"/>
      <c r="D6" s="71" t="s">
        <v>353</v>
      </c>
      <c r="E6" s="81" t="s">
        <v>548</v>
      </c>
      <c r="F6" s="72">
        <v>116</v>
      </c>
      <c r="G6" s="72" t="s">
        <v>43</v>
      </c>
      <c r="H6" s="80"/>
    </row>
    <row r="7" ht="96" customHeight="1" spans="1:8">
      <c r="A7" s="66">
        <v>5</v>
      </c>
      <c r="B7" s="67" t="s">
        <v>549</v>
      </c>
      <c r="C7" s="70" t="str">
        <f>_xlfn.DISPIMG("ID_B394DAB3E5FB4544A6C2FEA204919BD5",1)</f>
        <v>=DISPIMG("ID_B394DAB3E5FB4544A6C2FEA204919BD5",1)</v>
      </c>
      <c r="D7" s="71" t="s">
        <v>550</v>
      </c>
      <c r="E7" s="81" t="s">
        <v>551</v>
      </c>
      <c r="F7" s="72">
        <v>24</v>
      </c>
      <c r="G7" s="72" t="s">
        <v>54</v>
      </c>
      <c r="H7" s="80"/>
    </row>
    <row r="8" ht="119" customHeight="1" spans="1:8">
      <c r="A8" s="66">
        <v>6</v>
      </c>
      <c r="B8" s="72" t="s">
        <v>552</v>
      </c>
      <c r="C8" s="73" t="str">
        <f>_xlfn.DISPIMG("ID_4AC2F05933F84CC5B95827CCBA1DDE04",1)</f>
        <v>=DISPIMG("ID_4AC2F05933F84CC5B95827CCBA1DDE04",1)</v>
      </c>
      <c r="D8" s="71" t="s">
        <v>545</v>
      </c>
      <c r="E8" s="81" t="s">
        <v>546</v>
      </c>
      <c r="F8" s="72">
        <v>4</v>
      </c>
      <c r="G8" s="72" t="s">
        <v>37</v>
      </c>
      <c r="H8" s="80"/>
    </row>
    <row r="9" ht="72" customHeight="1" spans="1:8">
      <c r="A9" s="66">
        <v>7</v>
      </c>
      <c r="B9" s="72" t="s">
        <v>553</v>
      </c>
      <c r="C9" s="70" t="str">
        <f>_xlfn.DISPIMG("ID_212A6FF402464127B418F6B84A73DACE",1)</f>
        <v>=DISPIMG("ID_212A6FF402464127B418F6B84A73DACE",1)</v>
      </c>
      <c r="D9" s="74" t="s">
        <v>554</v>
      </c>
      <c r="E9" s="82" t="s">
        <v>555</v>
      </c>
      <c r="F9" s="83">
        <v>2</v>
      </c>
      <c r="G9" s="83" t="s">
        <v>54</v>
      </c>
      <c r="H9" s="80"/>
    </row>
    <row r="10" ht="97" customHeight="1" spans="1:8">
      <c r="A10" s="66">
        <v>8</v>
      </c>
      <c r="B10" s="72" t="s">
        <v>556</v>
      </c>
      <c r="C10" s="70" t="str">
        <f>_xlfn.DISPIMG("ID_2DE15D6C262D4EA1B78AD42964D255F5",1)</f>
        <v>=DISPIMG("ID_2DE15D6C262D4EA1B78AD42964D255F5",1)</v>
      </c>
      <c r="D10" s="74" t="s">
        <v>557</v>
      </c>
      <c r="E10" s="82" t="s">
        <v>555</v>
      </c>
      <c r="F10" s="83">
        <v>1</v>
      </c>
      <c r="G10" s="83" t="s">
        <v>54</v>
      </c>
      <c r="H10" s="80"/>
    </row>
    <row r="11" ht="87" customHeight="1" spans="1:8">
      <c r="A11" s="66">
        <v>9</v>
      </c>
      <c r="B11" s="72" t="s">
        <v>553</v>
      </c>
      <c r="C11" s="70" t="str">
        <f>_xlfn.DISPIMG("ID_212A6FF402464127B418F6B84A73DACE",1)</f>
        <v>=DISPIMG("ID_212A6FF402464127B418F6B84A73DACE",1)</v>
      </c>
      <c r="D11" s="71" t="s">
        <v>558</v>
      </c>
      <c r="E11" s="81" t="s">
        <v>555</v>
      </c>
      <c r="F11" s="72">
        <v>1</v>
      </c>
      <c r="G11" s="72" t="s">
        <v>54</v>
      </c>
      <c r="H11" s="80"/>
    </row>
    <row r="12" ht="87" customHeight="1" spans="1:8">
      <c r="A12" s="66">
        <v>10</v>
      </c>
      <c r="B12" s="72" t="s">
        <v>556</v>
      </c>
      <c r="C12" s="70" t="str">
        <f>_xlfn.DISPIMG("ID_C8CDCA20F7914E86B852C0EA02217670",1)</f>
        <v>=DISPIMG("ID_C8CDCA20F7914E86B852C0EA02217670",1)</v>
      </c>
      <c r="D12" s="71" t="s">
        <v>559</v>
      </c>
      <c r="E12" s="81" t="s">
        <v>555</v>
      </c>
      <c r="F12" s="72">
        <v>1</v>
      </c>
      <c r="G12" s="72" t="s">
        <v>54</v>
      </c>
      <c r="H12" s="80"/>
    </row>
    <row r="13" ht="83" customHeight="1" spans="1:8">
      <c r="A13" s="66">
        <v>11</v>
      </c>
      <c r="B13" s="67" t="s">
        <v>560</v>
      </c>
      <c r="C13" s="75" t="str">
        <f>_xlfn.DISPIMG("ID_D4CAC2707D3746A1BEBA2546B0C79308",1)</f>
        <v>=DISPIMG("ID_D4CAC2707D3746A1BEBA2546B0C79308",1)</v>
      </c>
      <c r="D13" s="75" t="s">
        <v>561</v>
      </c>
      <c r="E13" s="84" t="s">
        <v>562</v>
      </c>
      <c r="F13" s="79">
        <v>2</v>
      </c>
      <c r="G13" s="79" t="s">
        <v>54</v>
      </c>
      <c r="H13" s="80"/>
    </row>
    <row r="14" ht="42" customHeight="1" spans="1:8">
      <c r="A14" s="66">
        <v>12</v>
      </c>
      <c r="B14" s="67" t="s">
        <v>121</v>
      </c>
      <c r="C14" s="74"/>
      <c r="D14" s="71" t="s">
        <v>563</v>
      </c>
      <c r="E14" s="84" t="s">
        <v>564</v>
      </c>
      <c r="F14" s="79">
        <v>5</v>
      </c>
      <c r="G14" s="79" t="s">
        <v>47</v>
      </c>
      <c r="H14" s="80"/>
    </row>
    <row r="15" ht="195" customHeight="1" spans="1:8">
      <c r="A15" s="66">
        <v>13</v>
      </c>
      <c r="B15" s="67" t="s">
        <v>565</v>
      </c>
      <c r="C15" s="70"/>
      <c r="D15" s="75" t="s">
        <v>137</v>
      </c>
      <c r="E15" s="84" t="s">
        <v>566</v>
      </c>
      <c r="F15" s="79">
        <v>2</v>
      </c>
      <c r="G15" s="79" t="s">
        <v>37</v>
      </c>
      <c r="H15" s="80"/>
    </row>
    <row r="16" ht="119" customHeight="1" spans="1:8">
      <c r="A16" s="66">
        <v>14</v>
      </c>
      <c r="B16" s="67" t="s">
        <v>567</v>
      </c>
      <c r="C16" s="70" t="str">
        <f>_xlfn.DISPIMG("ID_7720B76E02024C59B402AA040AD07685",1)</f>
        <v>=DISPIMG("ID_7720B76E02024C59B402AA040AD07685",1)</v>
      </c>
      <c r="D16" s="75" t="s">
        <v>568</v>
      </c>
      <c r="E16" s="85" t="s">
        <v>569</v>
      </c>
      <c r="F16" s="79">
        <v>2</v>
      </c>
      <c r="G16" s="79" t="s">
        <v>43</v>
      </c>
      <c r="H16" s="80"/>
    </row>
    <row r="17" ht="114" customHeight="1" spans="1:8">
      <c r="A17" s="66">
        <v>15</v>
      </c>
      <c r="B17" s="67" t="s">
        <v>153</v>
      </c>
      <c r="C17" s="76"/>
      <c r="D17" s="75" t="s">
        <v>570</v>
      </c>
      <c r="E17" s="85" t="s">
        <v>571</v>
      </c>
      <c r="F17" s="79">
        <v>4</v>
      </c>
      <c r="G17" s="79" t="s">
        <v>43</v>
      </c>
      <c r="H17" s="80"/>
    </row>
    <row r="18" ht="75" customHeight="1" spans="1:8">
      <c r="A18" s="66">
        <v>16</v>
      </c>
      <c r="B18" s="67" t="s">
        <v>420</v>
      </c>
      <c r="C18" s="76" t="str">
        <f>_xlfn.DISPIMG("ID_28181BBDB09945578393CC1E03AD1639",1)</f>
        <v>=DISPIMG("ID_28181BBDB09945578393CC1E03AD1639",1)</v>
      </c>
      <c r="D18" s="75" t="s">
        <v>572</v>
      </c>
      <c r="E18" s="84" t="s">
        <v>564</v>
      </c>
      <c r="F18" s="79">
        <v>9</v>
      </c>
      <c r="G18" s="79" t="s">
        <v>43</v>
      </c>
      <c r="H18" s="80"/>
    </row>
    <row r="19" ht="141" customHeight="1" spans="1:8">
      <c r="A19" s="66">
        <v>17</v>
      </c>
      <c r="B19" s="72" t="s">
        <v>573</v>
      </c>
      <c r="C19" s="70" t="str">
        <f>_xlfn.DISPIMG("ID_11041FC9D17C4A44BB9B3ADB4AD818D2",1)</f>
        <v>=DISPIMG("ID_11041FC9D17C4A44BB9B3ADB4AD818D2",1)</v>
      </c>
      <c r="D19" s="71" t="s">
        <v>574</v>
      </c>
      <c r="E19" s="81" t="s">
        <v>575</v>
      </c>
      <c r="F19" s="72">
        <v>56</v>
      </c>
      <c r="G19" s="72" t="s">
        <v>43</v>
      </c>
      <c r="H19" s="80"/>
    </row>
  </sheetData>
  <mergeCells count="3">
    <mergeCell ref="A1:H1"/>
    <mergeCell ref="C5:C6"/>
    <mergeCell ref="C13:C14"/>
  </mergeCells>
  <pageMargins left="0.251388888888889" right="0.251388888888889" top="0.751388888888889" bottom="0.751388888888889" header="0.298611111111111" footer="0.298611111111111"/>
  <pageSetup paperSize="9" scale="73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1号楼</vt:lpstr>
      <vt:lpstr>3-5号楼普通教学楼</vt:lpstr>
      <vt:lpstr>7号楼</vt:lpstr>
      <vt:lpstr>8号楼</vt:lpstr>
      <vt:lpstr>9号楼门卫</vt:lpstr>
      <vt:lpstr>10号楼礼堂</vt:lpstr>
      <vt:lpstr>11号楼男女生宿舍、教师公寓</vt:lpstr>
      <vt:lpstr>工程教育中心</vt:lpstr>
      <vt:lpstr>生涯教育和心理健康</vt:lpstr>
      <vt:lpstr>校园文化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AcTor1421913617</cp:lastModifiedBy>
  <dcterms:created xsi:type="dcterms:W3CDTF">2025-02-07T14:02:00Z</dcterms:created>
  <dcterms:modified xsi:type="dcterms:W3CDTF">2026-04-19T13:30:16Z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1627ABE357BE47728A6A6FA321CC10DE_13</vt:lpwstr>
  </property>
  <property fmtid="{D5CDD505-2E9C-101B-9397-08002B2CF9AE}" pid="3" name="KSOProductBuildVer">
    <vt:lpwstr>2052-7.4.1.8983</vt:lpwstr>
  </property>
  <property fmtid="{D5CDD505-2E9C-101B-9397-08002B2CF9AE}" pid="4" name="CalculationRule">
    <vt:i4>0</vt:i4>
  </property>
</Properties>
</file>