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 firstSheet="2" activeTab="5"/>
  </bookViews>
  <sheets>
    <sheet name="道路（设施量内）" sheetId="1" r:id="rId1"/>
    <sheet name="街巷（设施量内）" sheetId="2" r:id="rId2"/>
    <sheet name="街巷（设施量内拓宽或延长）" sheetId="3" r:id="rId3"/>
    <sheet name="公厕（设施量内）" sheetId="4" r:id="rId4"/>
    <sheet name="设施量外街巷" sheetId="5" r:id="rId5"/>
    <sheet name="设施量外公厕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<sst xmlns="http://schemas.openxmlformats.org/spreadsheetml/2006/main" count="1743" uniqueCount="678">
  <si>
    <t>序号</t>
  </si>
  <si>
    <t>道路名称</t>
  </si>
  <si>
    <t>道路起点</t>
  </si>
  <si>
    <t>道路止点</t>
  </si>
  <si>
    <t>保洁级别</t>
  </si>
  <si>
    <t>道路全长（m）</t>
  </si>
  <si>
    <t>道路幅宽（m）</t>
  </si>
  <si>
    <t>道路面积(万㎡)</t>
  </si>
  <si>
    <t>车行道面积(万㎡)</t>
  </si>
  <si>
    <t>人行道面积(万㎡)</t>
  </si>
  <si>
    <t>路外保洁面积(万㎡)</t>
  </si>
  <si>
    <t>道路保洁面积(万㎡)</t>
  </si>
  <si>
    <t>分隔带绿岛面积(万㎡)</t>
  </si>
  <si>
    <t>人行天桥个数</t>
  </si>
  <si>
    <t>垃圾箱个数</t>
  </si>
  <si>
    <t>是否晚间保洁</t>
  </si>
  <si>
    <t>车行道含桥梁面积(万㎡)</t>
  </si>
  <si>
    <t>管家桥</t>
  </si>
  <si>
    <t>华侨路</t>
  </si>
  <si>
    <t>汉中路</t>
  </si>
  <si>
    <t>一级</t>
  </si>
  <si>
    <t>是</t>
  </si>
  <si>
    <t>新街口广场</t>
  </si>
  <si>
    <t>石城桥</t>
  </si>
  <si>
    <t>中山路</t>
  </si>
  <si>
    <t>鼓楼广场</t>
  </si>
  <si>
    <t>金陵中学</t>
  </si>
  <si>
    <t>中南国际大厦</t>
  </si>
  <si>
    <t>汉口路</t>
  </si>
  <si>
    <t>鼓楼医院东门</t>
  </si>
  <si>
    <t>汉中门大街</t>
  </si>
  <si>
    <t>虎踞路（虎踞南路1/2）</t>
  </si>
  <si>
    <t>凤凰街(北圩路1/2)</t>
  </si>
  <si>
    <t>汉中门大桥</t>
  </si>
  <si>
    <t>江东北路（江东中路）</t>
  </si>
  <si>
    <t>江东北路</t>
  </si>
  <si>
    <t>扬子江大道</t>
  </si>
  <si>
    <t>上海路</t>
  </si>
  <si>
    <t>宁海路</t>
  </si>
  <si>
    <t>宁海路广场</t>
  </si>
  <si>
    <t>苏州路广场</t>
  </si>
  <si>
    <t>北京西路</t>
  </si>
  <si>
    <t>广州路</t>
  </si>
  <si>
    <t>西康路</t>
  </si>
  <si>
    <t>汉口西路</t>
  </si>
  <si>
    <t>虎踞路</t>
  </si>
  <si>
    <t>银城花园广场江东北路297-293号</t>
  </si>
  <si>
    <t xml:space="preserve"> </t>
  </si>
  <si>
    <t>定淮门大街</t>
  </si>
  <si>
    <t>裕盛路天桥</t>
  </si>
  <si>
    <t>龙园南路天桥</t>
  </si>
  <si>
    <t>龙园北路天桥</t>
  </si>
  <si>
    <t>银城街天桥</t>
  </si>
  <si>
    <t>小计</t>
  </si>
  <si>
    <t>清江路</t>
  </si>
  <si>
    <t>汉中门大街西延</t>
  </si>
  <si>
    <t>江东门西街</t>
  </si>
  <si>
    <t>二级</t>
  </si>
  <si>
    <t>清凉门大街</t>
  </si>
  <si>
    <t>汇文学校</t>
  </si>
  <si>
    <t>汉中门大街488号</t>
  </si>
  <si>
    <t>北圩路</t>
  </si>
  <si>
    <t>凤凰东街</t>
  </si>
  <si>
    <t>永庆巷</t>
  </si>
  <si>
    <t>牌楼巷</t>
  </si>
  <si>
    <t>拉萨路</t>
  </si>
  <si>
    <t>高架</t>
  </si>
  <si>
    <t>草场门广场</t>
  </si>
  <si>
    <t>草场门大街</t>
  </si>
  <si>
    <t>草场门大桥</t>
  </si>
  <si>
    <t>虎踞关</t>
  </si>
  <si>
    <t>湛江路</t>
  </si>
  <si>
    <t>凤凰西街</t>
  </si>
  <si>
    <t>龙园南路</t>
  </si>
  <si>
    <t>龙园北路（川江路）</t>
  </si>
  <si>
    <t>龙园西路</t>
  </si>
  <si>
    <t>龙园东路</t>
  </si>
  <si>
    <t>湛江路（恒生路）</t>
  </si>
  <si>
    <t>清凉门桥西</t>
  </si>
  <si>
    <t>清凉门大桥(清凉门桥东)</t>
  </si>
  <si>
    <t>草场门大街（草场门大街-LM）</t>
  </si>
  <si>
    <t>凤凰街</t>
  </si>
  <si>
    <t>天津路</t>
  </si>
  <si>
    <t>龙蟠里</t>
  </si>
  <si>
    <t>三级</t>
  </si>
  <si>
    <t>龙园南路（龙园东路）</t>
  </si>
  <si>
    <t>清河路</t>
  </si>
  <si>
    <t>集庆门大街</t>
  </si>
  <si>
    <t>东宝路</t>
  </si>
  <si>
    <t>闽江路</t>
  </si>
  <si>
    <t>银城小广场</t>
  </si>
  <si>
    <t>湘江路</t>
  </si>
  <si>
    <t>漓江路</t>
  </si>
  <si>
    <t>锦江路南延南段（润江路）</t>
  </si>
  <si>
    <t>科技二路</t>
  </si>
  <si>
    <t>燕山路</t>
  </si>
  <si>
    <t>水西门大街</t>
  </si>
  <si>
    <t>嫩江路</t>
  </si>
  <si>
    <t>汉江路</t>
  </si>
  <si>
    <t>辰龙紫苑门前</t>
  </si>
  <si>
    <t>汉江路（东江路）</t>
  </si>
  <si>
    <t>浦江路</t>
  </si>
  <si>
    <t>汉中路西延</t>
  </si>
  <si>
    <t>科技二路（集贤路）</t>
  </si>
  <si>
    <t>集庆门大街（清江路5号5幢北侧）</t>
  </si>
  <si>
    <t>银城街匝道（扬子江大道匝道）</t>
  </si>
  <si>
    <t>北河口水厂叉道</t>
  </si>
  <si>
    <t>涵洞出口匝道</t>
  </si>
  <si>
    <t>扬子江大道高架</t>
  </si>
  <si>
    <t>石头城</t>
  </si>
  <si>
    <t>石头城公园</t>
  </si>
  <si>
    <t>合    计</t>
  </si>
  <si>
    <t>街巷名称</t>
  </si>
  <si>
    <t>街巷起点</t>
  </si>
  <si>
    <t>街巷止点</t>
  </si>
  <si>
    <t>街巷全长（m）</t>
  </si>
  <si>
    <t>街巷幅宽（m）</t>
  </si>
  <si>
    <t>街巷面积(万㎡)</t>
  </si>
  <si>
    <t>保洁面积(万㎡)</t>
  </si>
  <si>
    <t>慈悲社</t>
  </si>
  <si>
    <t>繁华</t>
  </si>
  <si>
    <t>慈悲社7-9号</t>
  </si>
  <si>
    <t>慈悲社5号-1</t>
  </si>
  <si>
    <t>大锏银巷</t>
  </si>
  <si>
    <t>慈悲社3号</t>
  </si>
  <si>
    <t>沈举人巷</t>
  </si>
  <si>
    <t>沈举人巷16号对面</t>
  </si>
  <si>
    <t>华辰大厦</t>
  </si>
  <si>
    <t>清凉山</t>
  </si>
  <si>
    <t>高家酒馆</t>
  </si>
  <si>
    <t>中山路口</t>
  </si>
  <si>
    <t>华侨路口</t>
  </si>
  <si>
    <t>豆菜桥</t>
  </si>
  <si>
    <t>豆菜桥20号</t>
  </si>
  <si>
    <t>上海路（上海路口）</t>
  </si>
  <si>
    <t>华侨路（华侨路口）</t>
  </si>
  <si>
    <t>麻家巷</t>
  </si>
  <si>
    <t>豆菜桥（中转站口）</t>
  </si>
  <si>
    <t>五台山北大门</t>
  </si>
  <si>
    <t>五台山票房</t>
  </si>
  <si>
    <t>苏州路</t>
  </si>
  <si>
    <t>宁海路（宁海路口）</t>
  </si>
  <si>
    <t>苏州路小广场</t>
  </si>
  <si>
    <t>扬州路</t>
  </si>
  <si>
    <t>西康路（西康路口）</t>
  </si>
  <si>
    <t>玉泉路</t>
  </si>
  <si>
    <t>北京西路（北京西路口）</t>
  </si>
  <si>
    <t>扬州路（扬州路口）</t>
  </si>
  <si>
    <t>天目路</t>
  </si>
  <si>
    <t>钱塘路</t>
  </si>
  <si>
    <t>南阴阳营</t>
  </si>
  <si>
    <t>筐芦路</t>
  </si>
  <si>
    <t>筐芦新村</t>
  </si>
  <si>
    <t>剑阁路</t>
  </si>
  <si>
    <t>青岛路</t>
  </si>
  <si>
    <t>陶谷新村</t>
  </si>
  <si>
    <t>平仓巷</t>
  </si>
  <si>
    <t>裕盛路</t>
  </si>
  <si>
    <t>汉北街</t>
  </si>
  <si>
    <t>凤凰幼儿园</t>
  </si>
  <si>
    <t>郁金街</t>
  </si>
  <si>
    <t>胜棋街</t>
  </si>
  <si>
    <t>迎春街</t>
  </si>
  <si>
    <t>锦江路</t>
  </si>
  <si>
    <t>沅江路</t>
  </si>
  <si>
    <t>银城街</t>
  </si>
  <si>
    <t>中保街62号-12</t>
  </si>
  <si>
    <t>辰龙雅苑</t>
  </si>
  <si>
    <t>滨江大道</t>
  </si>
  <si>
    <t>行建路</t>
  </si>
  <si>
    <t>龙园中路</t>
  </si>
  <si>
    <t>龙云路</t>
  </si>
  <si>
    <t>龙云路（龙江菜场）</t>
  </si>
  <si>
    <t>中保街</t>
  </si>
  <si>
    <t>中保绿苑大门（漓江路48号)</t>
  </si>
  <si>
    <t>沅江路北段</t>
  </si>
  <si>
    <t>汉中门外大街（凤凰桥边）</t>
  </si>
  <si>
    <t xml:space="preserve"> 虎踞路</t>
  </si>
  <si>
    <t>红土山</t>
  </si>
  <si>
    <t>汉中门外大街</t>
  </si>
  <si>
    <t>惠宁旅社</t>
  </si>
  <si>
    <t>武夷路</t>
  </si>
  <si>
    <t>三省里</t>
  </si>
  <si>
    <t>华新巷（华新巷口）</t>
  </si>
  <si>
    <t>华新巷</t>
  </si>
  <si>
    <t>华新新村</t>
  </si>
  <si>
    <t>山阴路</t>
  </si>
  <si>
    <t>仙霞路</t>
  </si>
  <si>
    <t>虎丘路</t>
  </si>
  <si>
    <t>石钟路（石钟路口）</t>
  </si>
  <si>
    <t>筐芦路（筐芦路口）</t>
  </si>
  <si>
    <t>石钟路</t>
  </si>
  <si>
    <t>南京中院东边路</t>
  </si>
  <si>
    <t>干河沿</t>
  </si>
  <si>
    <t>君临国际东边路（干河沿北街）</t>
  </si>
  <si>
    <t>江汊路（茶西街）</t>
  </si>
  <si>
    <t>凤凰街支巷</t>
  </si>
  <si>
    <t>凤凰庄小区（凤凰庄凤凰街72号）</t>
  </si>
  <si>
    <t>凤凰桥路</t>
  </si>
  <si>
    <t>凤凰街（凤凰街支巷）</t>
  </si>
  <si>
    <t>凤凰桥（凤凰街支巷-1）</t>
  </si>
  <si>
    <t>凤熙路</t>
  </si>
  <si>
    <t>风羽路</t>
  </si>
  <si>
    <t>龙腾街</t>
  </si>
  <si>
    <t>龙园北路</t>
  </si>
  <si>
    <t>龙江菜场旁小路（龙园中路支巷）</t>
  </si>
  <si>
    <t>龙江菜场</t>
  </si>
  <si>
    <t>阳光广场旁小路（行健路支巷）</t>
  </si>
  <si>
    <t>行健路</t>
  </si>
  <si>
    <t>阳光广场</t>
  </si>
  <si>
    <t>明华新村</t>
  </si>
  <si>
    <t>服务中心</t>
  </si>
  <si>
    <t>普通</t>
  </si>
  <si>
    <t>沈举人巷20号</t>
  </si>
  <si>
    <t>平家巷13号</t>
  </si>
  <si>
    <t>沈后街15号</t>
  </si>
  <si>
    <t>平家巷</t>
  </si>
  <si>
    <t>干河沿前街后街</t>
  </si>
  <si>
    <t>华侨路派出所</t>
  </si>
  <si>
    <t>合群新村（北东瓜市）</t>
  </si>
  <si>
    <t>合群新村</t>
  </si>
  <si>
    <t>培德里</t>
  </si>
  <si>
    <t>北东瓜市（培德里）</t>
  </si>
  <si>
    <t>培德里小区</t>
  </si>
  <si>
    <t>南东瓜市</t>
  </si>
  <si>
    <t>峨嵋岭</t>
  </si>
  <si>
    <t>峨嵋岭19号</t>
  </si>
  <si>
    <t>百步坡</t>
  </si>
  <si>
    <t>拉萨路20号</t>
  </si>
  <si>
    <t>场门口（画苑巷）</t>
  </si>
  <si>
    <t>虎踞路（虎踞路口）</t>
  </si>
  <si>
    <t>环保门口</t>
  </si>
  <si>
    <t>清凉门</t>
  </si>
  <si>
    <t>水泥厂宿舍门口</t>
  </si>
  <si>
    <t>清凉新村</t>
  </si>
  <si>
    <t>体彩中心</t>
  </si>
  <si>
    <t>五台山南大门（体育馆路）</t>
  </si>
  <si>
    <t>五台山大门</t>
  </si>
  <si>
    <t>九九公寓（石城巷）</t>
  </si>
  <si>
    <t>九九公寓门口</t>
  </si>
  <si>
    <t>小粉桥</t>
  </si>
  <si>
    <t>南秀村</t>
  </si>
  <si>
    <t>北京里（金银街）</t>
  </si>
  <si>
    <t>金银街</t>
  </si>
  <si>
    <t>北京里</t>
  </si>
  <si>
    <t>南秀村支路</t>
  </si>
  <si>
    <t>凤凰三村21号路</t>
  </si>
  <si>
    <t>5幢门口</t>
  </si>
  <si>
    <t>凤凰三村人防路</t>
  </si>
  <si>
    <t>凤凰三村门口（三村门口）</t>
  </si>
  <si>
    <t>凤凰街29中门口路</t>
  </si>
  <si>
    <t>上庄小区门口</t>
  </si>
  <si>
    <t>凤凰街派出所门口路</t>
  </si>
  <si>
    <t>凤凰街39号</t>
  </si>
  <si>
    <t>凤凰街11号</t>
  </si>
  <si>
    <t>凤凰庄下庄路</t>
  </si>
  <si>
    <t>下庄小区门口</t>
  </si>
  <si>
    <t>莫愁新寓荷花街</t>
  </si>
  <si>
    <t>胜棋里（文化馆路）</t>
  </si>
  <si>
    <t>汉中门大街（汉中门大街46号）</t>
  </si>
  <si>
    <t>郁金东街</t>
  </si>
  <si>
    <t>涌泉北街</t>
  </si>
  <si>
    <t>北圩路（郁金街）</t>
  </si>
  <si>
    <t>涌泉街</t>
  </si>
  <si>
    <t>胜棋街（汉北街）</t>
  </si>
  <si>
    <t>汉中门大街（金陵大厦后面）</t>
  </si>
  <si>
    <t>汉北街（郁金里13幢门口）</t>
  </si>
  <si>
    <t>川江路（横三路）</t>
  </si>
  <si>
    <t>龙园南路（横七路）</t>
  </si>
  <si>
    <t>横六路（丽江街）</t>
  </si>
  <si>
    <t>龙树路</t>
  </si>
  <si>
    <t>龙园中路（龙园西路）</t>
  </si>
  <si>
    <t>龙翔街</t>
  </si>
  <si>
    <t>龙飞街</t>
  </si>
  <si>
    <t>法院门前北路</t>
  </si>
  <si>
    <t>龙腾路</t>
  </si>
  <si>
    <t>法院门前南路</t>
  </si>
  <si>
    <t>横一路</t>
  </si>
  <si>
    <t>清江路南延（艾志集团门前）</t>
  </si>
  <si>
    <t>清河路（清河路与汉中门大街交界处）</t>
  </si>
  <si>
    <r>
      <rPr>
        <sz val="8"/>
        <rFont val="方正仿宋简体"/>
        <charset val="134"/>
      </rPr>
      <t>龙津路</t>
    </r>
    <r>
      <rPr>
        <sz val="8"/>
        <rFont val="微软雅黑"/>
        <charset val="134"/>
      </rPr>
      <t>（龙津街）</t>
    </r>
  </si>
  <si>
    <t>龙腾路灯杆006</t>
  </si>
  <si>
    <t>腾飞园门前路</t>
  </si>
  <si>
    <t>铁门</t>
  </si>
  <si>
    <t>江东所门前路</t>
  </si>
  <si>
    <t>渔港路</t>
  </si>
  <si>
    <t>雅瑰园小区</t>
  </si>
  <si>
    <t>鼓教新村小区门前路</t>
  </si>
  <si>
    <t>鼓教新村小区</t>
  </si>
  <si>
    <t>宝苑新寓小区门前路</t>
  </si>
  <si>
    <t>宝苑新寓小区</t>
  </si>
  <si>
    <t>长阳花园与雅瑰园（馨瑰园）间的路</t>
  </si>
  <si>
    <t>小区</t>
  </si>
  <si>
    <t>腾飞园计生长廊</t>
  </si>
  <si>
    <t>绿地小游园</t>
  </si>
  <si>
    <t>龙江小学与朗晴名居间的路</t>
  </si>
  <si>
    <t>龙鼎街</t>
  </si>
  <si>
    <t>江东北路109号</t>
  </si>
  <si>
    <t>江东街道政务服务中心</t>
  </si>
  <si>
    <t>世纪花园小区</t>
  </si>
  <si>
    <t>宁工一村与宝船听涛间绿地</t>
  </si>
  <si>
    <t>绿地广场</t>
  </si>
  <si>
    <t>宝船听涛小区南门门前路</t>
  </si>
  <si>
    <t>宝船听涛小区</t>
  </si>
  <si>
    <t>鼓楼区公、检、法门前路</t>
  </si>
  <si>
    <t>龙津街</t>
  </si>
  <si>
    <t>宁工小高层小区前</t>
  </si>
  <si>
    <t>宁工小区</t>
  </si>
  <si>
    <t>宁工二村小区门前路</t>
  </si>
  <si>
    <t>宁工二村小区</t>
  </si>
  <si>
    <t>龙津街与龙腾街交汇处</t>
  </si>
  <si>
    <t>银城聚锦园小区门前路</t>
  </si>
  <si>
    <t>银城聚锦园小区</t>
  </si>
  <si>
    <t>长江之家小区西门门前路</t>
  </si>
  <si>
    <t>长江之家小区</t>
  </si>
  <si>
    <t>银城花园老银城菜场</t>
  </si>
  <si>
    <t>科技一路（集圣路）</t>
  </si>
  <si>
    <t>清江路南延（江东软件园体育中心南侧）</t>
  </si>
  <si>
    <t>清河路（清河路2号众望汽车修理)</t>
  </si>
  <si>
    <t>锦福路</t>
  </si>
  <si>
    <t>浦江路路口</t>
  </si>
  <si>
    <t>聚锦路路口</t>
  </si>
  <si>
    <t>聚锦路</t>
  </si>
  <si>
    <t>清凉门大街路口</t>
  </si>
  <si>
    <t>江东门北街(西)</t>
  </si>
  <si>
    <t>科技一路</t>
  </si>
  <si>
    <t>省电台</t>
  </si>
  <si>
    <t>合计</t>
  </si>
  <si>
    <t>集圣路
（科技一路）</t>
  </si>
  <si>
    <t>清江南路</t>
  </si>
  <si>
    <t>总序号</t>
  </si>
  <si>
    <t>公厕编号</t>
  </si>
  <si>
    <t>名称</t>
  </si>
  <si>
    <t>分类划档</t>
  </si>
  <si>
    <t>基础设施</t>
  </si>
  <si>
    <t>服务设施</t>
  </si>
  <si>
    <t>信息化设施</t>
  </si>
  <si>
    <t>设施量(蹲位数)</t>
  </si>
  <si>
    <t>详细地址</t>
  </si>
  <si>
    <t>所在
街道</t>
  </si>
  <si>
    <t>建筑形式</t>
  </si>
  <si>
    <t>建筑面积(㎡)</t>
  </si>
  <si>
    <t>建厕时间</t>
  </si>
  <si>
    <t>最新建成时间</t>
  </si>
  <si>
    <r>
      <rPr>
        <b/>
        <sz val="8"/>
        <rFont val="宋体"/>
        <charset val="134"/>
        <scheme val="minor"/>
      </rPr>
      <t>管理室(M</t>
    </r>
    <r>
      <rPr>
        <b/>
        <vertAlign val="superscript"/>
        <sz val="8"/>
        <rFont val="宋体"/>
        <charset val="134"/>
        <scheme val="minor"/>
      </rPr>
      <t>2</t>
    </r>
    <r>
      <rPr>
        <b/>
        <sz val="8"/>
        <rFont val="宋体"/>
        <charset val="134"/>
        <scheme val="minor"/>
      </rPr>
      <t>)</t>
    </r>
  </si>
  <si>
    <r>
      <rPr>
        <b/>
        <sz val="8"/>
        <rFont val="宋体"/>
        <charset val="134"/>
        <scheme val="minor"/>
      </rPr>
      <t>工具室(M</t>
    </r>
    <r>
      <rPr>
        <b/>
        <vertAlign val="superscript"/>
        <sz val="8"/>
        <rFont val="宋体"/>
        <charset val="134"/>
        <scheme val="minor"/>
      </rPr>
      <t>2</t>
    </r>
    <r>
      <rPr>
        <b/>
        <sz val="8"/>
        <rFont val="宋体"/>
        <charset val="134"/>
        <scheme val="minor"/>
      </rPr>
      <t>)</t>
    </r>
  </si>
  <si>
    <r>
      <rPr>
        <b/>
        <sz val="8"/>
        <rFont val="宋体"/>
        <charset val="134"/>
        <scheme val="minor"/>
      </rPr>
      <t>第三卫生间(M</t>
    </r>
    <r>
      <rPr>
        <b/>
        <vertAlign val="superscript"/>
        <sz val="8"/>
        <rFont val="宋体"/>
        <charset val="134"/>
        <scheme val="minor"/>
      </rPr>
      <t>2</t>
    </r>
    <r>
      <rPr>
        <b/>
        <sz val="8"/>
        <rFont val="宋体"/>
        <charset val="134"/>
        <scheme val="minor"/>
      </rPr>
      <t>)</t>
    </r>
  </si>
  <si>
    <r>
      <rPr>
        <b/>
        <sz val="8"/>
        <rFont val="宋体"/>
        <charset val="134"/>
        <scheme val="minor"/>
      </rPr>
      <t>残障 人卫生间(M</t>
    </r>
    <r>
      <rPr>
        <b/>
        <vertAlign val="superscript"/>
        <sz val="8"/>
        <rFont val="宋体"/>
        <charset val="134"/>
        <scheme val="minor"/>
      </rPr>
      <t>2</t>
    </r>
    <r>
      <rPr>
        <b/>
        <sz val="8"/>
        <rFont val="宋体"/>
        <charset val="134"/>
        <scheme val="minor"/>
      </rPr>
      <t>)</t>
    </r>
  </si>
  <si>
    <t>化粪池</t>
  </si>
  <si>
    <t>容积(M³)</t>
  </si>
  <si>
    <t>层数</t>
  </si>
  <si>
    <t>上水</t>
  </si>
  <si>
    <t>下水</t>
  </si>
  <si>
    <t>照明(盏)</t>
  </si>
  <si>
    <t>冲水设备（感应、脚踏、手动、按压）</t>
  </si>
  <si>
    <t>污水处理（进入污水管网/外运/生物降解/真空）</t>
  </si>
  <si>
    <t>导向指示牌(块)</t>
  </si>
  <si>
    <t>二次导向牌(块)</t>
  </si>
  <si>
    <t>管理标识牌(套)</t>
  </si>
  <si>
    <t>公共厕所LED灯牌</t>
  </si>
  <si>
    <t>挂物钩(个)</t>
  </si>
  <si>
    <t>镜子(块)</t>
  </si>
  <si>
    <t>空调（台）</t>
  </si>
  <si>
    <t>电扇(个)</t>
  </si>
  <si>
    <t>烘手机(台)</t>
  </si>
  <si>
    <t>尿布台(个)</t>
  </si>
  <si>
    <t>洗手液(个)</t>
  </si>
  <si>
    <t>儿童安全座椅(个)</t>
  </si>
  <si>
    <t>植物(盆)</t>
  </si>
  <si>
    <t>绿化(M2)</t>
  </si>
  <si>
    <t>厕纸盒(个)</t>
  </si>
  <si>
    <t>休息桌椅(个)</t>
  </si>
  <si>
    <t>自助</t>
  </si>
  <si>
    <t>摄像头(个)</t>
  </si>
  <si>
    <t>人流量计数</t>
  </si>
  <si>
    <t>满意度评价</t>
  </si>
  <si>
    <t>厕位占用情况可视</t>
  </si>
  <si>
    <t>异味报警</t>
  </si>
  <si>
    <t>wifi</t>
  </si>
  <si>
    <t>男(个)</t>
  </si>
  <si>
    <t>女(个)</t>
  </si>
  <si>
    <t>第三/残疾人卫生间(个)</t>
  </si>
  <si>
    <t>洗手池(个)</t>
  </si>
  <si>
    <t>清洁池</t>
  </si>
  <si>
    <t>倒粪口(个)</t>
  </si>
  <si>
    <t>总蹲位</t>
  </si>
  <si>
    <t>取纸机(台)</t>
  </si>
  <si>
    <t>贩卖机(台)</t>
  </si>
  <si>
    <t>其它</t>
  </si>
  <si>
    <t>成人小便斗</t>
  </si>
  <si>
    <t>儿童小便斗</t>
  </si>
  <si>
    <t>蹲便器</t>
  </si>
  <si>
    <t>坐便器</t>
  </si>
  <si>
    <t>成人</t>
  </si>
  <si>
    <t>儿童</t>
  </si>
  <si>
    <t>5-105</t>
  </si>
  <si>
    <t>一类B</t>
  </si>
  <si>
    <t>行健路16号-阳光广场内</t>
  </si>
  <si>
    <t>凤凰</t>
  </si>
  <si>
    <t>独立式</t>
  </si>
  <si>
    <t>三格</t>
  </si>
  <si>
    <t>√</t>
  </si>
  <si>
    <t>感应</t>
  </si>
  <si>
    <t>污水管网</t>
  </si>
  <si>
    <t>5-098</t>
  </si>
  <si>
    <t>北京西路邮局旁</t>
  </si>
  <si>
    <t>北京西路53号-邮局旁边</t>
  </si>
  <si>
    <t>5-076</t>
  </si>
  <si>
    <t>横七路</t>
  </si>
  <si>
    <t>一类C</t>
  </si>
  <si>
    <t>江东北路216号-珍宝坊酒店对面</t>
  </si>
  <si>
    <t>江 东</t>
  </si>
  <si>
    <t>46</t>
  </si>
  <si>
    <t>5-034</t>
  </si>
  <si>
    <t>云南路</t>
  </si>
  <si>
    <t>云南路3号-云南路电信大楼旁边</t>
  </si>
  <si>
    <t>湖南路</t>
  </si>
  <si>
    <t>附属式</t>
  </si>
  <si>
    <t>5-001</t>
  </si>
  <si>
    <t>汉中门广场西</t>
  </si>
  <si>
    <t>汉中门大街1号-汉中翠庭西北角</t>
  </si>
  <si>
    <t>感应          手动</t>
  </si>
  <si>
    <t>5-100</t>
  </si>
  <si>
    <t>爱民桥公厕</t>
  </si>
  <si>
    <t>钟阜路-爱民桥广场澄心亭旁</t>
  </si>
  <si>
    <t>中央门</t>
  </si>
  <si>
    <t>成品玻璃钢</t>
  </si>
  <si>
    <t>5-080</t>
  </si>
  <si>
    <t>草场门桥下</t>
  </si>
  <si>
    <t>龙园中路-草场门大桥西侧桥下</t>
  </si>
  <si>
    <t>5-083</t>
  </si>
  <si>
    <t>龙园中转站旁</t>
  </si>
  <si>
    <t>龙园南路-二十九中分校对面</t>
  </si>
  <si>
    <t>5-081</t>
  </si>
  <si>
    <t>江东北路湘江路7号-聚福园小区对面</t>
  </si>
  <si>
    <t>脚踏</t>
  </si>
  <si>
    <t>5-007</t>
  </si>
  <si>
    <t>汉中门广场</t>
  </si>
  <si>
    <t>汉中路282号-汉中门地铁站2号出口</t>
  </si>
  <si>
    <t>5-079</t>
  </si>
  <si>
    <t>月亮广场</t>
  </si>
  <si>
    <t>龙园中路206号-月光广场5号楼后西角</t>
  </si>
  <si>
    <t>5-054</t>
  </si>
  <si>
    <t>芦席营49号</t>
  </si>
  <si>
    <t>二类B</t>
  </si>
  <si>
    <t>芦席营49号-芦席营小区对面</t>
  </si>
  <si>
    <t>脚踏
手动</t>
  </si>
  <si>
    <t>5-101</t>
  </si>
  <si>
    <t>盔头巷广场公厕</t>
  </si>
  <si>
    <t>中山北路129号-中南国际大厦旁</t>
  </si>
  <si>
    <t>2012</t>
  </si>
  <si>
    <t>5-096</t>
  </si>
  <si>
    <t>福建路</t>
  </si>
  <si>
    <t>福建路1号-南京商业学校马路对面</t>
  </si>
  <si>
    <t>45</t>
  </si>
  <si>
    <t>2018.1</t>
  </si>
  <si>
    <t>3.46</t>
  </si>
  <si>
    <t>3.55</t>
  </si>
  <si>
    <t>5-008</t>
  </si>
  <si>
    <t>广州路235号-清凉山公园对面</t>
  </si>
  <si>
    <t>5-023</t>
  </si>
  <si>
    <t>马台街90号</t>
  </si>
  <si>
    <t>二类C</t>
  </si>
  <si>
    <t>马台街90号-江苏省建筑材料研究院对面</t>
  </si>
  <si>
    <t>5-059</t>
  </si>
  <si>
    <t>颂德里</t>
  </si>
  <si>
    <t>中山北路230号-希色服装店旁边</t>
  </si>
  <si>
    <t>5-063</t>
  </si>
  <si>
    <t>老模范马路</t>
  </si>
  <si>
    <t>三牌楼大街147号-三牌楼菜场对面</t>
  </si>
  <si>
    <t>按压</t>
  </si>
  <si>
    <t>1</t>
  </si>
  <si>
    <t>5-057</t>
  </si>
  <si>
    <t>瓜甫桥</t>
  </si>
  <si>
    <t>东瓜圃桥13号-新门口社区综治中心对面</t>
  </si>
  <si>
    <t>5-012</t>
  </si>
  <si>
    <t>双石新村</t>
  </si>
  <si>
    <t>汉中路108号-金轮大厦旁</t>
  </si>
  <si>
    <t>5-024</t>
  </si>
  <si>
    <t>平安里</t>
  </si>
  <si>
    <t>平安里68号-平安公寓对面</t>
  </si>
  <si>
    <t>5-052</t>
  </si>
  <si>
    <t>南昌路</t>
  </si>
  <si>
    <t>南昌路27号-中国银行旁边</t>
  </si>
  <si>
    <t>手动</t>
  </si>
  <si>
    <t>5-061</t>
  </si>
  <si>
    <t>斜桥</t>
  </si>
  <si>
    <t>三牌楼大街2号-省水产局对面</t>
  </si>
  <si>
    <t>5-104</t>
  </si>
  <si>
    <t>护城河南路公厕</t>
  </si>
  <si>
    <t>护城河南路50号-南京市排水工程公司旁</t>
  </si>
  <si>
    <t>挹江门</t>
  </si>
  <si>
    <t>5-071</t>
  </si>
  <si>
    <t>归云堂</t>
  </si>
  <si>
    <t>归云堂15号-丁丁大众浴室对面</t>
  </si>
  <si>
    <t>5-074</t>
  </si>
  <si>
    <t>镇江路</t>
  </si>
  <si>
    <t>回龙桥15号-益丰大药房旁</t>
  </si>
  <si>
    <t>5-003</t>
  </si>
  <si>
    <t>北东瓜市6号-南师大随园校区1号门对面巷子</t>
  </si>
  <si>
    <t>5-084</t>
  </si>
  <si>
    <t>凤凰庄</t>
  </si>
  <si>
    <t>凤凰街15号-汉中门派出所旁</t>
  </si>
  <si>
    <t>5-005</t>
  </si>
  <si>
    <t>北东瓜市</t>
  </si>
  <si>
    <t>上海路87号-小区院内</t>
  </si>
  <si>
    <t>5-086</t>
  </si>
  <si>
    <t>汉中门大街1号-劲顺花园对面</t>
  </si>
  <si>
    <t>5-020</t>
  </si>
  <si>
    <t>丁家桥菜场</t>
  </si>
  <si>
    <t>狮子桥39号-湖南路管委会楼下</t>
  </si>
  <si>
    <t>5-078</t>
  </si>
  <si>
    <t>清河新寓</t>
  </si>
  <si>
    <t>清江路25号-金陵汇文学校旁</t>
  </si>
  <si>
    <t>5-035</t>
  </si>
  <si>
    <t>青岛路2号-省档案馆对面</t>
  </si>
  <si>
    <t>5-039</t>
  </si>
  <si>
    <t>江山</t>
  </si>
  <si>
    <t>江苏路146号-江山农贸市场后门旁</t>
  </si>
  <si>
    <t>5-042</t>
  </si>
  <si>
    <t>东门街</t>
  </si>
  <si>
    <t>北四卫头12号-建达大厦楼下后侧</t>
  </si>
  <si>
    <t>5-045</t>
  </si>
  <si>
    <t>虎丘路9号-仙霞公寓正门旁</t>
  </si>
  <si>
    <t>5-091</t>
  </si>
  <si>
    <t>金信花园</t>
  </si>
  <si>
    <t>清凉门大街68号-农业银行旁边</t>
  </si>
  <si>
    <t xml:space="preserve">污水 </t>
  </si>
  <si>
    <t>5-009</t>
  </si>
  <si>
    <t>清凉山中转站</t>
  </si>
  <si>
    <t>虎踞路87-1号-国防公园旁边</t>
  </si>
  <si>
    <t>5-011</t>
  </si>
  <si>
    <t>怡景花园</t>
  </si>
  <si>
    <t>牌楼巷44号-星月大厦对面</t>
  </si>
  <si>
    <t>5-070</t>
  </si>
  <si>
    <t>戴家巷</t>
  </si>
  <si>
    <t>戴家巷52号-戴家巷39小区东门对面</t>
  </si>
  <si>
    <t>5-013</t>
  </si>
  <si>
    <t>豆菜桥9号-华侨路房产交易中心对面巷内</t>
  </si>
  <si>
    <t>5-069</t>
  </si>
  <si>
    <t>四维新村</t>
  </si>
  <si>
    <t>四维新村4号-金色阳光老年公寓对面小区内</t>
  </si>
  <si>
    <t>5-046</t>
  </si>
  <si>
    <t>南阴阳营17号-上海路菜场后门</t>
  </si>
  <si>
    <t>5-055</t>
  </si>
  <si>
    <t>童家巷</t>
  </si>
  <si>
    <t>童家巷10号-省征兵办对面</t>
  </si>
  <si>
    <t>5-062</t>
  </si>
  <si>
    <t>铁路南街</t>
  </si>
  <si>
    <t>铁路南街18号-中通快递对面</t>
  </si>
  <si>
    <t>5-102</t>
  </si>
  <si>
    <t>芦席营24号</t>
  </si>
  <si>
    <t>芦席营22-24号-院内</t>
  </si>
  <si>
    <t>5-002</t>
  </si>
  <si>
    <t>南东瓜市16号-易发科技大厦对面巷内</t>
  </si>
  <si>
    <t>5-073</t>
  </si>
  <si>
    <t>三步两桥</t>
  </si>
  <si>
    <t>水佐岗73号-水佐岗站台后</t>
  </si>
  <si>
    <t>脚踏
按压</t>
  </si>
  <si>
    <t>5-014</t>
  </si>
  <si>
    <t>华侨路25-13号旁边</t>
  </si>
  <si>
    <t>5-044</t>
  </si>
  <si>
    <t>天目路17号-天目华庭小区旁</t>
  </si>
  <si>
    <t>5-103</t>
  </si>
  <si>
    <t>中山北路哑巴厂公厕</t>
  </si>
  <si>
    <t>三</t>
  </si>
  <si>
    <t>中山北路43号-怡华酒店旁院内</t>
  </si>
  <si>
    <t>5-032</t>
  </si>
  <si>
    <t>五条巷6号</t>
  </si>
  <si>
    <t>五条巷6号-五条巷小区西院东北3号门对面</t>
  </si>
  <si>
    <t>5-016</t>
  </si>
  <si>
    <t>厚载巷</t>
  </si>
  <si>
    <t>厚载巷56号-光大银行对面</t>
  </si>
  <si>
    <t>5-027</t>
  </si>
  <si>
    <t>湖南路01片</t>
  </si>
  <si>
    <t>湖南路99号-汉庭酒店旁</t>
  </si>
  <si>
    <t>5-036</t>
  </si>
  <si>
    <t>迴龙桥</t>
  </si>
  <si>
    <t>妙耳山5号-镇江路农贸市场旁</t>
  </si>
  <si>
    <t>5-050</t>
  </si>
  <si>
    <t>许府巷25号</t>
  </si>
  <si>
    <t>许府巷25号-佳惠超市后面</t>
  </si>
  <si>
    <t>5-058</t>
  </si>
  <si>
    <t>娄子巷</t>
  </si>
  <si>
    <t>广东路5号-娄子巷中转站旁</t>
  </si>
  <si>
    <t>5-077</t>
  </si>
  <si>
    <t>银城花园</t>
  </si>
  <si>
    <t>银城花园125号-鼓楼公安分局经济犯罪案件侦查大队旁</t>
  </si>
  <si>
    <t>5-090</t>
  </si>
  <si>
    <t>华阳中转站旁</t>
  </si>
  <si>
    <t>清凉门大街61号-华阳佳园旁边</t>
  </si>
  <si>
    <t>5-087</t>
  </si>
  <si>
    <t>迎春里</t>
  </si>
  <si>
    <t>迎春里24号-南京审计大学东门对面</t>
  </si>
  <si>
    <t>5-033</t>
  </si>
  <si>
    <t>西桥</t>
  </si>
  <si>
    <t>西桥2号-云南路变电管理所后面</t>
  </si>
  <si>
    <t>5-029</t>
  </si>
  <si>
    <t>山西南村</t>
  </si>
  <si>
    <t>山西路57号-山西南村6幢旁边</t>
  </si>
  <si>
    <t>5-004</t>
  </si>
  <si>
    <t>东合群新村</t>
  </si>
  <si>
    <t>上海路79号-报停楼上</t>
  </si>
  <si>
    <t>5-040</t>
  </si>
  <si>
    <t>四卫头54巷</t>
  </si>
  <si>
    <t>四卫头54巷9号-鼓楼区政府后面</t>
  </si>
  <si>
    <t>水箱</t>
  </si>
  <si>
    <t>5-018</t>
  </si>
  <si>
    <t xml:space="preserve">青云巷 </t>
  </si>
  <si>
    <t>青云巷18号-青云巷小学对面巷内</t>
  </si>
  <si>
    <t>5-088</t>
  </si>
  <si>
    <t>清凉门大街变电站旁（待建）</t>
  </si>
  <si>
    <t>清凉门大街79号-变电站广场内东侧旁边</t>
  </si>
  <si>
    <t>5-031</t>
  </si>
  <si>
    <t>五条巷44号</t>
  </si>
  <si>
    <t>江苏路五条巷56号旁边</t>
  </si>
  <si>
    <t>5-017</t>
  </si>
  <si>
    <t>湖南路小红花</t>
  </si>
  <si>
    <t>高云岭51-2号-凤凰书城后门停车场旁</t>
  </si>
  <si>
    <t>5-068</t>
  </si>
  <si>
    <t>龙池庵</t>
  </si>
  <si>
    <t>龙池庵19号-挹江门派出所旁边</t>
  </si>
  <si>
    <t>5-038</t>
  </si>
  <si>
    <t>童家山</t>
  </si>
  <si>
    <t>水佐岗5号-水佐岗农贸市场对面巷内</t>
  </si>
  <si>
    <t>5-108</t>
  </si>
  <si>
    <t>724研究所公厕</t>
  </si>
  <si>
    <t>中山北路451院内</t>
  </si>
  <si>
    <t>不详</t>
  </si>
  <si>
    <t>进入污水管网</t>
  </si>
  <si>
    <t>5-085</t>
  </si>
  <si>
    <t>凤凰新村（无残疾人设施）</t>
  </si>
  <si>
    <t>凤凰新村143号-金凤凰农贸市场对面</t>
  </si>
  <si>
    <t>5-106</t>
  </si>
  <si>
    <t>涌泉里</t>
  </si>
  <si>
    <t>移动A</t>
  </si>
  <si>
    <t>郁金街-莫愁幼儿园对面</t>
  </si>
  <si>
    <t>编号</t>
  </si>
  <si>
    <t>等级</t>
  </si>
  <si>
    <t>延安路</t>
  </si>
  <si>
    <t>盔头巷</t>
  </si>
  <si>
    <t>中山东路</t>
  </si>
  <si>
    <t>高家酒馆路</t>
  </si>
  <si>
    <t>豆菜桥菜市场</t>
  </si>
  <si>
    <t>豆菜巷</t>
  </si>
  <si>
    <t>汉中门外大街-1</t>
  </si>
  <si>
    <t>凤凰街-1</t>
  </si>
  <si>
    <t>汉中门翠庭</t>
  </si>
  <si>
    <t>石城巷10号巷</t>
  </si>
  <si>
    <t>石头城路</t>
  </si>
  <si>
    <t>石头城泵站</t>
  </si>
  <si>
    <t>石头城10号院外</t>
  </si>
  <si>
    <t>萍聚村5号门前路</t>
  </si>
  <si>
    <t>萍聚村5号</t>
  </si>
  <si>
    <t>中医药大学国医堂</t>
  </si>
  <si>
    <t>丽江街</t>
  </si>
  <si>
    <t>芳草园小学门前路</t>
  </si>
  <si>
    <t>华阳中转站门前路</t>
  </si>
  <si>
    <t>华阳中转站</t>
  </si>
  <si>
    <t>清凉门康铂酒店门前路</t>
  </si>
  <si>
    <t>康铂酒店门口</t>
  </si>
  <si>
    <t>凤凰西街140号旁巷子</t>
  </si>
  <si>
    <t>热河南路37巷</t>
  </si>
  <si>
    <t>凤凰西街152号后门</t>
  </si>
  <si>
    <t>公厕等级</t>
  </si>
  <si>
    <t>凤凰水岸</t>
  </si>
  <si>
    <r>
      <rPr>
        <sz val="12"/>
        <rFont val="方正仿宋_GBK"/>
        <charset val="134"/>
      </rPr>
      <t>二类</t>
    </r>
    <r>
      <rPr>
        <sz val="12"/>
        <rFont val="Times New Roman"/>
        <charset val="134"/>
      </rPr>
      <t>C</t>
    </r>
  </si>
  <si>
    <t>川江街</t>
  </si>
  <si>
    <t>汉中路西延广场</t>
  </si>
  <si>
    <r>
      <rPr>
        <sz val="12"/>
        <rFont val="方正仿宋_GBK"/>
        <charset val="134"/>
      </rPr>
      <t>集贤路</t>
    </r>
  </si>
  <si>
    <r>
      <rPr>
        <sz val="12"/>
        <rFont val="方正仿宋_GBK"/>
        <charset val="134"/>
      </rPr>
      <t>江汊路</t>
    </r>
  </si>
  <si>
    <t>银城街通道北</t>
  </si>
  <si>
    <r>
      <rPr>
        <sz val="12"/>
        <rFont val="方正仿宋_GBK"/>
        <charset val="134"/>
      </rPr>
      <t>移动</t>
    </r>
    <r>
      <rPr>
        <sz val="12"/>
        <rFont val="Times New Roman"/>
        <charset val="134"/>
      </rPr>
      <t>B</t>
    </r>
  </si>
  <si>
    <t>宝船印象广场</t>
  </si>
  <si>
    <r>
      <rPr>
        <b/>
        <sz val="12"/>
        <rFont val="方正仿宋_GBK"/>
        <charset val="134"/>
      </rPr>
      <t>小计</t>
    </r>
  </si>
  <si>
    <r>
      <rPr>
        <sz val="12"/>
        <rFont val="方正仿宋_GBK"/>
        <charset val="134"/>
      </rPr>
      <t>清凉门</t>
    </r>
    <r>
      <rPr>
        <sz val="12"/>
        <rFont val="Times New Roman"/>
        <charset val="134"/>
      </rPr>
      <t>27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</si>
  <si>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沅江路菜场公厕</t>
    </r>
  </si>
  <si>
    <r>
      <rPr>
        <b/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</si>
</sst>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0.00_ "/>
    <numFmt numFmtId="179" formatCode="0.0_ "/>
    <numFmt numFmtId="180" formatCode="0.000_);\(0.000\)"/>
    <numFmt numFmtId="181" formatCode="0.000_);[Red]\(0.000\)"/>
    <numFmt numFmtId="182" formatCode="#,##0_);\-#,##0"/>
    <numFmt numFmtId="183" formatCode="0.00_);[Red]\(0.00\)"/>
    <numFmt numFmtId="184" formatCode="#,##0.00_);\-#,##0.00"/>
    <numFmt numFmtId="185" formatCode="0_ "/>
    <numFmt numFmtId="186" formatCode="0.00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10"/>
      <name val="宋体"/>
      <charset val="134"/>
      <scheme val="minor"/>
    </font>
    <font>
      <b/>
      <sz val="8"/>
      <name val="方正仿宋简体"/>
      <charset val="134"/>
    </font>
    <font>
      <sz val="8"/>
      <name val="方正仿宋简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b/>
      <vertAlign val="superscript"/>
      <sz val="8"/>
      <name val="宋体"/>
      <charset val="134"/>
      <scheme val="minor"/>
    </font>
    <font>
      <b/>
      <sz val="12"/>
      <name val="方正仿宋_GBK"/>
      <charset val="134"/>
    </font>
    <font>
      <sz val="8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7" fillId="0" borderId="0"/>
    <xf numFmtId="0" fontId="35" fillId="0" borderId="0">
      <alignment vertical="center"/>
    </xf>
    <xf numFmtId="0" fontId="7" fillId="0" borderId="0"/>
    <xf numFmtId="0" fontId="37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8" fillId="0" borderId="0" applyNumberFormat="0" applyFill="0" applyBorder="0" applyProtection="0">
      <alignment vertical="top" wrapText="1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88" applyFont="1" applyFill="1" applyBorder="1" applyAlignment="1">
      <alignment horizontal="center" vertical="center" wrapText="1"/>
    </xf>
    <xf numFmtId="176" fontId="3" fillId="2" borderId="1" xfId="90" applyNumberFormat="1" applyFont="1" applyFill="1" applyBorder="1" applyAlignment="1">
      <alignment horizontal="center" vertical="center" wrapText="1"/>
    </xf>
    <xf numFmtId="176" fontId="4" fillId="2" borderId="1" xfId="90" applyNumberFormat="1" applyFont="1" applyFill="1" applyBorder="1" applyAlignment="1">
      <alignment horizontal="center" vertical="center" wrapText="1"/>
    </xf>
    <xf numFmtId="176" fontId="5" fillId="2" borderId="1" xfId="9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60" applyNumberFormat="1" applyFont="1" applyBorder="1" applyAlignment="1" applyProtection="1">
      <alignment horizontal="center" vertical="center" wrapText="1"/>
      <protection locked="0"/>
    </xf>
    <xf numFmtId="179" fontId="9" fillId="0" borderId="1" xfId="0" applyNumberFormat="1" applyFont="1" applyBorder="1" applyAlignment="1">
      <alignment horizontal="center" vertical="center"/>
    </xf>
    <xf numFmtId="178" fontId="9" fillId="0" borderId="1" xfId="6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0" fontId="9" fillId="0" borderId="1" xfId="6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10" fillId="0" borderId="0" xfId="51" applyFont="1" applyAlignment="1">
      <alignment horizontal="center" vertical="center" wrapText="1"/>
    </xf>
    <xf numFmtId="0" fontId="10" fillId="0" borderId="0" xfId="54" applyFont="1" applyAlignment="1">
      <alignment horizontal="center" vertical="center" wrapText="1"/>
    </xf>
    <xf numFmtId="0" fontId="11" fillId="0" borderId="0" xfId="54" applyFont="1" applyAlignment="1">
      <alignment horizontal="center" vertical="center" wrapText="1"/>
    </xf>
    <xf numFmtId="176" fontId="12" fillId="0" borderId="0" xfId="57" applyNumberFormat="1" applyFont="1" applyAlignment="1">
      <alignment horizontal="center" vertical="center" wrapText="1"/>
    </xf>
    <xf numFmtId="0" fontId="11" fillId="0" borderId="0" xfId="59" applyFont="1" applyAlignment="1">
      <alignment wrapText="1"/>
    </xf>
    <xf numFmtId="0" fontId="10" fillId="0" borderId="0" xfId="59" applyFont="1" applyAlignment="1">
      <alignment wrapText="1"/>
    </xf>
    <xf numFmtId="0" fontId="11" fillId="0" borderId="2" xfId="88" applyFont="1" applyBorder="1" applyAlignment="1">
      <alignment horizontal="center" vertical="center" wrapText="1"/>
    </xf>
    <xf numFmtId="0" fontId="13" fillId="0" borderId="2" xfId="88" applyFont="1" applyBorder="1" applyAlignment="1">
      <alignment horizontal="center" vertical="center" wrapText="1"/>
    </xf>
    <xf numFmtId="0" fontId="11" fillId="0" borderId="7" xfId="88" applyFont="1" applyBorder="1" applyAlignment="1">
      <alignment horizontal="center" vertical="center" wrapText="1"/>
    </xf>
    <xf numFmtId="0" fontId="11" fillId="0" borderId="3" xfId="88" applyFont="1" applyBorder="1" applyAlignment="1">
      <alignment horizontal="center" vertical="center" wrapText="1"/>
    </xf>
    <xf numFmtId="0" fontId="13" fillId="0" borderId="3" xfId="88" applyFont="1" applyBorder="1" applyAlignment="1">
      <alignment horizontal="center" vertical="center" wrapText="1"/>
    </xf>
    <xf numFmtId="0" fontId="11" fillId="0" borderId="4" xfId="88" applyFont="1" applyBorder="1" applyAlignment="1">
      <alignment horizontal="center" vertical="center" wrapText="1"/>
    </xf>
    <xf numFmtId="0" fontId="13" fillId="0" borderId="4" xfId="88" applyFont="1" applyBorder="1" applyAlignment="1">
      <alignment horizontal="center" vertical="center" wrapText="1"/>
    </xf>
    <xf numFmtId="0" fontId="10" fillId="0" borderId="1" xfId="91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11" fillId="0" borderId="1" xfId="91" applyFont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49" fontId="10" fillId="0" borderId="1" xfId="50" applyNumberFormat="1" applyFont="1" applyBorder="1" applyAlignment="1">
      <alignment horizontal="center" vertical="center" wrapText="1"/>
    </xf>
    <xf numFmtId="0" fontId="10" fillId="0" borderId="1" xfId="59" applyFont="1" applyBorder="1" applyAlignment="1">
      <alignment horizontal="center" vertical="center" wrapText="1"/>
    </xf>
    <xf numFmtId="0" fontId="11" fillId="0" borderId="5" xfId="51" applyFont="1" applyBorder="1" applyAlignment="1">
      <alignment horizontal="center" vertical="center" wrapText="1"/>
    </xf>
    <xf numFmtId="0" fontId="11" fillId="0" borderId="6" xfId="51" applyFont="1" applyBorder="1" applyAlignment="1">
      <alignment horizontal="center" vertical="center" wrapText="1"/>
    </xf>
    <xf numFmtId="0" fontId="11" fillId="0" borderId="6" xfId="88" applyFont="1" applyBorder="1" applyAlignment="1">
      <alignment horizontal="center" vertical="center" wrapText="1"/>
    </xf>
    <xf numFmtId="0" fontId="11" fillId="0" borderId="5" xfId="88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49" fontId="10" fillId="0" borderId="1" xfId="51" applyNumberFormat="1" applyFont="1" applyBorder="1" applyAlignment="1">
      <alignment horizontal="center" vertical="center" wrapText="1"/>
    </xf>
    <xf numFmtId="0" fontId="10" fillId="0" borderId="1" xfId="54" applyFont="1" applyBorder="1" applyAlignment="1">
      <alignment horizontal="center" vertical="center" wrapText="1"/>
    </xf>
    <xf numFmtId="0" fontId="11" fillId="0" borderId="1" xfId="88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 shrinkToFit="1"/>
    </xf>
    <xf numFmtId="176" fontId="10" fillId="0" borderId="1" xfId="90" applyNumberFormat="1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11" fillId="0" borderId="1" xfId="59" applyFont="1" applyBorder="1" applyAlignment="1">
      <alignment horizontal="center" vertical="center" wrapText="1"/>
    </xf>
    <xf numFmtId="0" fontId="11" fillId="0" borderId="5" xfId="59" applyFont="1" applyBorder="1" applyAlignment="1">
      <alignment horizontal="center" vertical="center" wrapText="1"/>
    </xf>
    <xf numFmtId="0" fontId="11" fillId="0" borderId="6" xfId="59" applyFont="1" applyBorder="1" applyAlignment="1">
      <alignment horizontal="center" vertical="center" wrapText="1"/>
    </xf>
    <xf numFmtId="0" fontId="10" fillId="0" borderId="1" xfId="89" applyFont="1" applyBorder="1" applyAlignment="1">
      <alignment horizontal="center" vertical="center" wrapText="1"/>
    </xf>
    <xf numFmtId="181" fontId="10" fillId="0" borderId="1" xfId="90" applyNumberFormat="1" applyFont="1" applyBorder="1" applyAlignment="1">
      <alignment horizontal="center" vertical="center" wrapText="1"/>
    </xf>
    <xf numFmtId="0" fontId="11" fillId="0" borderId="1" xfId="59" applyFont="1" applyBorder="1" applyAlignment="1">
      <alignment vertical="center" wrapText="1"/>
    </xf>
    <xf numFmtId="176" fontId="10" fillId="0" borderId="1" xfId="53" applyNumberFormat="1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0" fontId="13" fillId="0" borderId="0" xfId="55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0" fontId="14" fillId="0" borderId="2" xfId="61" applyFont="1" applyBorder="1" applyAlignment="1">
      <alignment horizontal="center" vertical="center" wrapText="1"/>
    </xf>
    <xf numFmtId="182" fontId="14" fillId="0" borderId="1" xfId="87" applyNumberFormat="1" applyFont="1" applyFill="1" applyBorder="1" applyAlignment="1">
      <alignment horizontal="center" vertical="center" wrapText="1" shrinkToFit="1"/>
    </xf>
    <xf numFmtId="182" fontId="14" fillId="0" borderId="1" xfId="68" applyNumberFormat="1" applyFont="1" applyFill="1" applyBorder="1" applyAlignment="1">
      <alignment horizontal="center" vertical="center" wrapText="1" shrinkToFit="1"/>
    </xf>
    <xf numFmtId="183" fontId="14" fillId="0" borderId="1" xfId="87" applyNumberFormat="1" applyFont="1" applyFill="1" applyBorder="1" applyAlignment="1">
      <alignment horizontal="center" vertical="center" wrapText="1" shrinkToFit="1"/>
    </xf>
    <xf numFmtId="184" fontId="14" fillId="0" borderId="1" xfId="87" applyNumberFormat="1" applyFont="1" applyFill="1" applyBorder="1" applyAlignment="1">
      <alignment horizontal="center" vertical="center" wrapText="1" shrinkToFit="1"/>
    </xf>
    <xf numFmtId="184" fontId="14" fillId="0" borderId="1" xfId="85" applyNumberFormat="1" applyFont="1" applyFill="1" applyBorder="1" applyAlignment="1">
      <alignment horizontal="center" vertical="center" wrapText="1" shrinkToFit="1"/>
    </xf>
    <xf numFmtId="0" fontId="14" fillId="0" borderId="4" xfId="61" applyFont="1" applyBorder="1" applyAlignment="1">
      <alignment horizontal="center" vertical="center" wrapText="1"/>
    </xf>
    <xf numFmtId="49" fontId="13" fillId="0" borderId="1" xfId="55" applyNumberFormat="1" applyFont="1" applyBorder="1" applyAlignment="1">
      <alignment horizontal="center" vertical="center" wrapText="1"/>
    </xf>
    <xf numFmtId="185" fontId="13" fillId="0" borderId="5" xfId="55" applyNumberFormat="1" applyFont="1" applyBorder="1" applyAlignment="1">
      <alignment horizontal="center" vertical="center" wrapText="1"/>
    </xf>
    <xf numFmtId="185" fontId="13" fillId="0" borderId="6" xfId="55" applyNumberFormat="1" applyFont="1" applyBorder="1" applyAlignment="1">
      <alignment horizontal="center" vertical="center" wrapText="1"/>
    </xf>
    <xf numFmtId="49" fontId="13" fillId="0" borderId="1" xfId="55" applyNumberFormat="1" applyFont="1" applyBorder="1" applyAlignment="1">
      <alignment vertical="center" wrapText="1"/>
    </xf>
    <xf numFmtId="178" fontId="13" fillId="0" borderId="1" xfId="5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4" fillId="0" borderId="1" xfId="74" applyNumberFormat="1" applyFont="1" applyFill="1" applyBorder="1" applyAlignment="1">
      <alignment horizontal="center" vertical="center" wrapText="1" shrinkToFit="1"/>
    </xf>
    <xf numFmtId="186" fontId="14" fillId="0" borderId="1" xfId="85" applyNumberFormat="1" applyFont="1" applyFill="1" applyBorder="1" applyAlignment="1">
      <alignment horizontal="center" vertical="center" wrapText="1" shrinkToFit="1"/>
    </xf>
    <xf numFmtId="182" fontId="14" fillId="0" borderId="1" xfId="85" applyNumberFormat="1" applyFont="1" applyFill="1" applyBorder="1" applyAlignment="1">
      <alignment horizontal="center" vertical="center" wrapText="1" shrinkToFit="1"/>
    </xf>
    <xf numFmtId="186" fontId="13" fillId="0" borderId="1" xfId="55" applyNumberFormat="1" applyFont="1" applyBorder="1" applyAlignment="1">
      <alignment horizontal="center" vertical="center" wrapText="1"/>
    </xf>
    <xf numFmtId="0" fontId="14" fillId="0" borderId="0" xfId="0" applyFont="1" applyAlignment="1"/>
    <xf numFmtId="183" fontId="14" fillId="0" borderId="1" xfId="86" applyNumberFormat="1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183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83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2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 vertical="center" wrapText="1"/>
    </xf>
    <xf numFmtId="178" fontId="14" fillId="0" borderId="5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82" fontId="14" fillId="0" borderId="1" xfId="63" applyNumberFormat="1" applyFont="1" applyFill="1" applyBorder="1" applyAlignment="1">
      <alignment horizontal="center" vertical="center" wrapText="1" shrinkToFit="1"/>
    </xf>
    <xf numFmtId="182" fontId="14" fillId="0" borderId="1" xfId="0" applyNumberFormat="1" applyFont="1" applyBorder="1" applyAlignment="1">
      <alignment horizontal="center" vertical="center" wrapText="1" shrinkToFit="1"/>
    </xf>
    <xf numFmtId="183" fontId="14" fillId="0" borderId="1" xfId="77" applyNumberFormat="1" applyFont="1" applyFill="1" applyBorder="1" applyAlignment="1">
      <alignment horizontal="center" vertical="center" wrapText="1" shrinkToFit="1"/>
    </xf>
    <xf numFmtId="184" fontId="14" fillId="0" borderId="1" xfId="77" applyNumberFormat="1" applyFont="1" applyFill="1" applyBorder="1" applyAlignment="1">
      <alignment horizontal="center" vertical="center" wrapText="1" shrinkToFit="1"/>
    </xf>
    <xf numFmtId="182" fontId="14" fillId="0" borderId="1" xfId="67" applyNumberFormat="1" applyFont="1" applyFill="1" applyBorder="1" applyAlignment="1">
      <alignment horizontal="center" vertical="center" wrapText="1" shrinkToFit="1"/>
    </xf>
    <xf numFmtId="183" fontId="14" fillId="0" borderId="1" xfId="70" applyNumberFormat="1" applyFont="1" applyFill="1" applyBorder="1" applyAlignment="1">
      <alignment horizontal="center" vertical="center" wrapText="1" shrinkToFit="1"/>
    </xf>
    <xf numFmtId="184" fontId="14" fillId="0" borderId="1" xfId="70" applyNumberFormat="1" applyFont="1" applyFill="1" applyBorder="1" applyAlignment="1">
      <alignment horizontal="center" vertical="center" wrapText="1" shrinkToFit="1"/>
    </xf>
    <xf numFmtId="183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82" fontId="14" fillId="0" borderId="2" xfId="73" applyNumberFormat="1" applyFont="1" applyFill="1" applyBorder="1" applyAlignment="1">
      <alignment horizontal="center" vertical="center" wrapText="1" shrinkToFit="1"/>
    </xf>
    <xf numFmtId="182" fontId="14" fillId="0" borderId="1" xfId="73" applyNumberFormat="1" applyFont="1" applyFill="1" applyBorder="1" applyAlignment="1">
      <alignment horizontal="center" vertical="center" wrapText="1" shrinkToFit="1"/>
    </xf>
    <xf numFmtId="183" fontId="14" fillId="0" borderId="1" xfId="74" applyNumberFormat="1" applyFont="1" applyFill="1" applyBorder="1" applyAlignment="1">
      <alignment horizontal="center" vertical="center" wrapText="1" shrinkToFit="1"/>
    </xf>
    <xf numFmtId="184" fontId="14" fillId="0" borderId="1" xfId="74" applyNumberFormat="1" applyFont="1" applyFill="1" applyBorder="1" applyAlignment="1">
      <alignment horizontal="center" vertical="center" wrapText="1" shrinkToFit="1"/>
    </xf>
    <xf numFmtId="181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185" fontId="14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1" xfId="61" applyFont="1" applyBorder="1" applyAlignment="1">
      <alignment horizontal="center" vertical="center" wrapText="1"/>
    </xf>
    <xf numFmtId="183" fontId="14" fillId="0" borderId="2" xfId="0" applyNumberFormat="1" applyFont="1" applyBorder="1" applyAlignment="1">
      <alignment horizontal="center" vertical="center" wrapText="1"/>
    </xf>
    <xf numFmtId="183" fontId="14" fillId="0" borderId="1" xfId="0" applyNumberFormat="1" applyFont="1" applyBorder="1" applyAlignment="1" applyProtection="1">
      <alignment horizontal="center" vertical="center"/>
      <protection locked="0"/>
    </xf>
    <xf numFmtId="181" fontId="14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8" fontId="13" fillId="0" borderId="1" xfId="0" applyNumberFormat="1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183" fontId="14" fillId="0" borderId="0" xfId="58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2" xfId="62" applyFont="1" applyBorder="1" applyAlignment="1">
      <alignment horizontal="center" vertical="center"/>
    </xf>
    <xf numFmtId="182" fontId="14" fillId="0" borderId="2" xfId="87" applyNumberFormat="1" applyFont="1" applyFill="1" applyBorder="1" applyAlignment="1">
      <alignment horizontal="center" vertical="center" wrapText="1"/>
    </xf>
    <xf numFmtId="184" fontId="14" fillId="0" borderId="1" xfId="81" applyNumberFormat="1" applyFont="1" applyFill="1" applyBorder="1" applyAlignment="1">
      <alignment horizontal="center" vertical="center" wrapText="1"/>
    </xf>
    <xf numFmtId="183" fontId="14" fillId="0" borderId="1" xfId="82" applyNumberFormat="1" applyFont="1" applyFill="1" applyBorder="1" applyAlignment="1">
      <alignment horizontal="center" vertical="center" wrapText="1" shrinkToFit="1"/>
    </xf>
    <xf numFmtId="184" fontId="14" fillId="0" borderId="1" xfId="82" applyNumberFormat="1" applyFont="1" applyFill="1" applyBorder="1" applyAlignment="1">
      <alignment horizontal="center" vertical="center" wrapText="1" shrinkToFit="1"/>
    </xf>
    <xf numFmtId="0" fontId="14" fillId="0" borderId="3" xfId="62" applyFont="1" applyBorder="1" applyAlignment="1">
      <alignment horizontal="center" vertical="center"/>
    </xf>
    <xf numFmtId="182" fontId="14" fillId="0" borderId="3" xfId="87" applyNumberFormat="1" applyFont="1" applyFill="1" applyBorder="1" applyAlignment="1">
      <alignment horizontal="center" vertical="center" wrapText="1"/>
    </xf>
    <xf numFmtId="0" fontId="14" fillId="0" borderId="4" xfId="62" applyFont="1" applyBorder="1" applyAlignment="1">
      <alignment horizontal="center" vertical="center"/>
    </xf>
    <xf numFmtId="182" fontId="14" fillId="0" borderId="4" xfId="87" applyNumberFormat="1" applyFont="1" applyFill="1" applyBorder="1" applyAlignment="1">
      <alignment horizontal="center" vertical="center" wrapText="1"/>
    </xf>
    <xf numFmtId="183" fontId="14" fillId="0" borderId="1" xfId="80" applyNumberFormat="1" applyFont="1" applyFill="1" applyBorder="1" applyAlignment="1">
      <alignment horizontal="center" vertical="center" wrapText="1" shrinkToFit="1"/>
    </xf>
    <xf numFmtId="184" fontId="14" fillId="0" borderId="1" xfId="84" applyNumberFormat="1" applyFont="1" applyFill="1" applyBorder="1" applyAlignment="1">
      <alignment horizontal="center" vertical="center" wrapText="1" shrinkToFit="1"/>
    </xf>
    <xf numFmtId="0" fontId="14" fillId="0" borderId="2" xfId="61" applyFont="1" applyBorder="1" applyAlignment="1">
      <alignment horizontal="center" vertical="center"/>
    </xf>
    <xf numFmtId="182" fontId="14" fillId="0" borderId="1" xfId="78" applyNumberFormat="1" applyFont="1" applyFill="1" applyBorder="1" applyAlignment="1">
      <alignment horizontal="center" vertical="center" wrapText="1" shrinkToFit="1"/>
    </xf>
    <xf numFmtId="183" fontId="14" fillId="0" borderId="1" xfId="79" applyNumberFormat="1" applyFont="1" applyFill="1" applyBorder="1" applyAlignment="1">
      <alignment horizontal="center" vertical="center" wrapText="1" shrinkToFit="1"/>
    </xf>
    <xf numFmtId="184" fontId="14" fillId="0" borderId="1" xfId="79" applyNumberFormat="1" applyFont="1" applyFill="1" applyBorder="1" applyAlignment="1">
      <alignment horizontal="center" vertical="center" wrapText="1" shrinkToFit="1"/>
    </xf>
    <xf numFmtId="0" fontId="14" fillId="0" borderId="3" xfId="61" applyFont="1" applyBorder="1" applyAlignment="1">
      <alignment horizontal="center" vertical="center"/>
    </xf>
    <xf numFmtId="182" fontId="14" fillId="0" borderId="1" xfId="64" applyNumberFormat="1" applyFont="1" applyFill="1" applyBorder="1" applyAlignment="1">
      <alignment horizontal="center" vertical="center" wrapText="1" shrinkToFit="1"/>
    </xf>
    <xf numFmtId="183" fontId="14" fillId="0" borderId="1" xfId="65" applyNumberFormat="1" applyFont="1" applyFill="1" applyBorder="1" applyAlignment="1">
      <alignment horizontal="center" vertical="center" wrapText="1" shrinkToFit="1"/>
    </xf>
    <xf numFmtId="184" fontId="14" fillId="0" borderId="1" xfId="65" applyNumberFormat="1" applyFont="1" applyFill="1" applyBorder="1" applyAlignment="1">
      <alignment horizontal="center" vertical="center" wrapText="1" shrinkToFit="1"/>
    </xf>
    <xf numFmtId="0" fontId="14" fillId="0" borderId="1" xfId="62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0" fontId="14" fillId="0" borderId="4" xfId="6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13" fillId="0" borderId="11" xfId="61" applyFont="1" applyBorder="1" applyAlignment="1">
      <alignment horizontal="center" vertical="center" wrapText="1"/>
    </xf>
    <xf numFmtId="0" fontId="13" fillId="0" borderId="8" xfId="61" applyFont="1" applyBorder="1" applyAlignment="1">
      <alignment horizontal="center" vertical="center" wrapText="1"/>
    </xf>
    <xf numFmtId="182" fontId="13" fillId="0" borderId="1" xfId="64" applyNumberFormat="1" applyFont="1" applyFill="1" applyBorder="1" applyAlignment="1">
      <alignment horizontal="center" vertical="center" wrapText="1" shrinkToFit="1"/>
    </xf>
    <xf numFmtId="182" fontId="13" fillId="0" borderId="1" xfId="87" applyNumberFormat="1" applyFont="1" applyFill="1" applyBorder="1" applyAlignment="1">
      <alignment horizontal="center" vertical="center" wrapText="1" shrinkToFit="1"/>
    </xf>
    <xf numFmtId="183" fontId="13" fillId="0" borderId="1" xfId="65" applyNumberFormat="1" applyFont="1" applyFill="1" applyBorder="1" applyAlignment="1">
      <alignment horizontal="center" vertical="center" wrapText="1" shrinkToFit="1"/>
    </xf>
    <xf numFmtId="0" fontId="14" fillId="0" borderId="1" xfId="78" applyFont="1" applyFill="1" applyBorder="1" applyAlignment="1">
      <alignment horizontal="center" vertical="center" wrapText="1"/>
    </xf>
    <xf numFmtId="182" fontId="14" fillId="0" borderId="1" xfId="83" applyNumberFormat="1" applyFont="1" applyFill="1" applyBorder="1" applyAlignment="1">
      <alignment horizontal="center" vertical="center" wrapText="1"/>
    </xf>
    <xf numFmtId="0" fontId="14" fillId="0" borderId="1" xfId="61" applyFont="1" applyBorder="1" applyAlignment="1">
      <alignment horizontal="center" vertical="center"/>
    </xf>
    <xf numFmtId="182" fontId="14" fillId="0" borderId="1" xfId="87" applyNumberFormat="1" applyFont="1" applyFill="1" applyBorder="1" applyAlignment="1">
      <alignment horizontal="center" vertical="center" wrapText="1"/>
    </xf>
    <xf numFmtId="182" fontId="14" fillId="0" borderId="1" xfId="71" applyNumberFormat="1" applyFont="1" applyFill="1" applyBorder="1" applyAlignment="1">
      <alignment horizontal="center" vertical="center" wrapText="1" shrinkToFit="1"/>
    </xf>
    <xf numFmtId="183" fontId="14" fillId="0" borderId="1" xfId="72" applyNumberFormat="1" applyFont="1" applyFill="1" applyBorder="1" applyAlignment="1">
      <alignment horizontal="center" vertical="center" wrapText="1" shrinkToFit="1"/>
    </xf>
    <xf numFmtId="184" fontId="14" fillId="0" borderId="1" xfId="72" applyNumberFormat="1" applyFont="1" applyFill="1" applyBorder="1" applyAlignment="1">
      <alignment horizontal="center" vertical="center" wrapText="1" shrinkToFit="1"/>
    </xf>
    <xf numFmtId="182" fontId="14" fillId="0" borderId="1" xfId="73" applyNumberFormat="1" applyFont="1" applyFill="1" applyBorder="1" applyAlignment="1">
      <alignment horizontal="center" vertical="center" wrapText="1"/>
    </xf>
    <xf numFmtId="182" fontId="14" fillId="0" borderId="1" xfId="69" applyNumberFormat="1" applyFont="1" applyFill="1" applyBorder="1" applyAlignment="1">
      <alignment horizontal="center" vertical="center" wrapText="1" shrinkToFit="1"/>
    </xf>
    <xf numFmtId="182" fontId="14" fillId="0" borderId="2" xfId="76" applyNumberFormat="1" applyFont="1" applyFill="1" applyBorder="1" applyAlignment="1">
      <alignment horizontal="center" vertical="center" wrapText="1" shrinkToFit="1"/>
    </xf>
    <xf numFmtId="182" fontId="14" fillId="0" borderId="4" xfId="76" applyNumberFormat="1" applyFont="1" applyFill="1" applyBorder="1" applyAlignment="1">
      <alignment horizontal="center" vertical="center" wrapText="1" shrinkToFit="1"/>
    </xf>
    <xf numFmtId="182" fontId="14" fillId="0" borderId="1" xfId="76" applyNumberFormat="1" applyFont="1" applyFill="1" applyBorder="1" applyAlignment="1">
      <alignment horizontal="center" vertical="center" wrapText="1" shrinkToFit="1"/>
    </xf>
    <xf numFmtId="49" fontId="14" fillId="0" borderId="1" xfId="56" applyNumberFormat="1" applyFont="1" applyBorder="1" applyAlignment="1">
      <alignment horizontal="center" vertical="center" wrapText="1"/>
    </xf>
    <xf numFmtId="0" fontId="14" fillId="0" borderId="1" xfId="56" applyFont="1" applyBorder="1" applyAlignment="1">
      <alignment horizontal="center" vertical="center" wrapText="1"/>
    </xf>
    <xf numFmtId="183" fontId="14" fillId="0" borderId="1" xfId="56" applyNumberFormat="1" applyFont="1" applyBorder="1" applyAlignment="1">
      <alignment horizontal="center" vertical="center" wrapText="1"/>
    </xf>
    <xf numFmtId="183" fontId="14" fillId="0" borderId="1" xfId="0" applyNumberFormat="1" applyFont="1" applyBorder="1" applyAlignment="1">
      <alignment horizontal="center" vertical="center" wrapText="1" shrinkToFit="1"/>
    </xf>
    <xf numFmtId="183" fontId="14" fillId="0" borderId="1" xfId="73" applyNumberFormat="1" applyFont="1" applyFill="1" applyBorder="1" applyAlignment="1">
      <alignment horizontal="center" vertical="center" wrapText="1"/>
    </xf>
    <xf numFmtId="183" fontId="14" fillId="0" borderId="1" xfId="73" applyNumberFormat="1" applyFont="1" applyFill="1" applyBorder="1" applyAlignment="1">
      <alignment horizontal="center" vertical="center" wrapText="1" shrinkToFit="1"/>
    </xf>
    <xf numFmtId="183" fontId="14" fillId="0" borderId="6" xfId="0" applyNumberFormat="1" applyFont="1" applyBorder="1" applyAlignment="1">
      <alignment horizontal="center" vertical="center" wrapText="1"/>
    </xf>
    <xf numFmtId="182" fontId="13" fillId="0" borderId="1" xfId="66" applyNumberFormat="1" applyFont="1" applyFill="1" applyBorder="1" applyAlignment="1">
      <alignment horizontal="center" vertical="center" wrapText="1" shrinkToFit="1"/>
    </xf>
    <xf numFmtId="0" fontId="14" fillId="0" borderId="1" xfId="62" applyFont="1" applyBorder="1" applyAlignment="1" applyProtection="1">
      <alignment horizontal="center" vertical="center" wrapText="1"/>
      <protection locked="0"/>
    </xf>
    <xf numFmtId="181" fontId="14" fillId="0" borderId="1" xfId="56" applyNumberFormat="1" applyFont="1" applyBorder="1" applyAlignment="1">
      <alignment horizontal="center" vertical="center" wrapText="1"/>
    </xf>
    <xf numFmtId="183" fontId="13" fillId="0" borderId="1" xfId="86" applyNumberFormat="1" applyFont="1" applyFill="1" applyBorder="1" applyAlignment="1">
      <alignment horizontal="center" vertical="center" wrapText="1" shrinkToFit="1"/>
    </xf>
    <xf numFmtId="0" fontId="13" fillId="0" borderId="0" xfId="0" applyFont="1" applyAlignment="1"/>
    <xf numFmtId="182" fontId="14" fillId="0" borderId="5" xfId="73" applyNumberFormat="1" applyFont="1" applyFill="1" applyBorder="1" applyAlignment="1">
      <alignment horizontal="center" vertical="center" wrapText="1" shrinkToFit="1"/>
    </xf>
    <xf numFmtId="182" fontId="14" fillId="0" borderId="6" xfId="73" applyNumberFormat="1" applyFont="1" applyFill="1" applyBorder="1" applyAlignment="1">
      <alignment horizontal="center" vertical="center" wrapText="1" shrinkToFit="1"/>
    </xf>
    <xf numFmtId="0" fontId="14" fillId="0" borderId="3" xfId="61" applyFont="1" applyBorder="1" applyAlignment="1">
      <alignment horizontal="center" vertical="center" wrapText="1"/>
    </xf>
    <xf numFmtId="182" fontId="14" fillId="0" borderId="3" xfId="73" applyNumberFormat="1" applyFont="1" applyFill="1" applyBorder="1" applyAlignment="1">
      <alignment horizontal="center" vertical="center" wrapText="1" shrinkToFit="1"/>
    </xf>
    <xf numFmtId="176" fontId="14" fillId="0" borderId="5" xfId="0" applyNumberFormat="1" applyFont="1" applyBorder="1" applyAlignment="1">
      <alignment horizontal="center" vertical="center" wrapText="1"/>
    </xf>
    <xf numFmtId="176" fontId="14" fillId="0" borderId="6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182" fontId="14" fillId="0" borderId="1" xfId="70" applyNumberFormat="1" applyFont="1" applyFill="1" applyBorder="1" applyAlignment="1">
      <alignment horizontal="center" vertical="center" wrapText="1" shrinkToFit="1"/>
    </xf>
    <xf numFmtId="182" fontId="14" fillId="0" borderId="1" xfId="75" applyNumberFormat="1" applyFont="1" applyFill="1" applyBorder="1" applyAlignment="1">
      <alignment horizontal="center" vertical="center" wrapText="1" shrinkToFit="1"/>
    </xf>
    <xf numFmtId="176" fontId="13" fillId="0" borderId="1" xfId="74" applyNumberFormat="1" applyFont="1" applyFill="1" applyBorder="1" applyAlignment="1">
      <alignment horizontal="center" vertical="center" wrapText="1" shrinkToFit="1"/>
    </xf>
    <xf numFmtId="183" fontId="13" fillId="0" borderId="1" xfId="77" applyNumberFormat="1" applyFont="1" applyFill="1" applyBorder="1" applyAlignment="1">
      <alignment horizontal="center" vertical="center" wrapText="1" shrinkToFit="1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3 2 2" xfId="49"/>
    <cellStyle name="常规 10 5 2 2 2" xfId="50"/>
    <cellStyle name="常规 10 5 2 3" xfId="51"/>
    <cellStyle name="常规 14 2" xfId="52"/>
    <cellStyle name="常规 19 2 2 2" xfId="53"/>
    <cellStyle name="常规 19 4 2 2" xfId="54"/>
    <cellStyle name="常规 2 2" xfId="55"/>
    <cellStyle name="常规 2_街巷" xfId="56"/>
    <cellStyle name="常规 27" xfId="57"/>
    <cellStyle name="常规 5 2" xfId="58"/>
    <cellStyle name="常规_20161213鼓楼公厕" xfId="59"/>
    <cellStyle name="常规_Sheet1" xfId="60"/>
    <cellStyle name="常规_Sheet1_2" xfId="61"/>
    <cellStyle name="常规_Sheet1_3" xfId="62"/>
    <cellStyle name="常规_道路设施量_12_道路" xfId="63"/>
    <cellStyle name="常规_道路设施量_13" xfId="64"/>
    <cellStyle name="常规_道路设施量_16" xfId="65"/>
    <cellStyle name="常规_道路设施量_17" xfId="66"/>
    <cellStyle name="常规_道路设施量_19" xfId="67"/>
    <cellStyle name="常规_道路设施量_2" xfId="68"/>
    <cellStyle name="常规_道路设施量_20" xfId="69"/>
    <cellStyle name="常规_道路设施量_21" xfId="70"/>
    <cellStyle name="常规_道路设施量_23" xfId="71"/>
    <cellStyle name="常规_道路设施量_25" xfId="72"/>
    <cellStyle name="常规_道路设施量_28" xfId="73"/>
    <cellStyle name="常规_道路设施量_30" xfId="74"/>
    <cellStyle name="常规_道路设施量_31" xfId="75"/>
    <cellStyle name="常规_道路设施量_33" xfId="76"/>
    <cellStyle name="常规_道路设施量_35" xfId="77"/>
    <cellStyle name="常规_道路设施量_37" xfId="78"/>
    <cellStyle name="常规_道路设施量_38" xfId="79"/>
    <cellStyle name="常规_道路设施量_4_道路" xfId="80"/>
    <cellStyle name="常规_道路设施量_41" xfId="81"/>
    <cellStyle name="常规_道路设施量_43" xfId="82"/>
    <cellStyle name="常规_道路设施量_49" xfId="83"/>
    <cellStyle name="常规_道路设施量_5_道路" xfId="84"/>
    <cellStyle name="常规_道路设施量_6_道路" xfId="85"/>
    <cellStyle name="常规_道路设施量_7_道路" xfId="86"/>
    <cellStyle name="常规_道路设施量_晚间道路_1" xfId="87"/>
    <cellStyle name="常规_下关公厕_1" xfId="88"/>
    <cellStyle name="常规_下关公厕和中转站 2 2" xfId="89"/>
    <cellStyle name="常规_下关公厕和中转站 4" xfId="90"/>
    <cellStyle name="常规_下关公厕和中转站 6" xfId="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H79"/>
  <sheetViews>
    <sheetView workbookViewId="0">
      <selection activeCell="E1" sqref="E1"/>
    </sheetView>
  </sheetViews>
  <sheetFormatPr defaultColWidth="9" defaultRowHeight="15"/>
  <cols>
    <col min="1" max="1" width="9" style="90"/>
    <col min="2" max="2" width="12.0909090909091" style="90" customWidth="1"/>
    <col min="3" max="5" width="9" style="90"/>
    <col min="6" max="6" width="9.36363636363636" style="90"/>
    <col min="7" max="16384" width="9" style="90"/>
  </cols>
  <sheetData>
    <row r="1" s="67" customFormat="1" ht="28.5" spans="1:197">
      <c r="A1" s="69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H1" s="70" t="s">
        <v>7</v>
      </c>
      <c r="I1" s="70" t="s">
        <v>8</v>
      </c>
      <c r="J1" s="70" t="s">
        <v>9</v>
      </c>
      <c r="K1" s="70" t="s">
        <v>10</v>
      </c>
      <c r="L1" s="70" t="s">
        <v>11</v>
      </c>
      <c r="M1" s="69" t="s">
        <v>12</v>
      </c>
      <c r="N1" s="83" t="s">
        <v>13</v>
      </c>
      <c r="O1" s="84" t="s">
        <v>14</v>
      </c>
      <c r="P1" s="69" t="s">
        <v>15</v>
      </c>
      <c r="Q1" s="69" t="s">
        <v>16</v>
      </c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</row>
    <row r="2" s="67" customFormat="1" ht="25" customHeight="1" spans="1:197">
      <c r="A2" s="126">
        <v>1</v>
      </c>
      <c r="B2" s="72" t="s">
        <v>17</v>
      </c>
      <c r="C2" s="72" t="s">
        <v>18</v>
      </c>
      <c r="D2" s="73" t="s">
        <v>19</v>
      </c>
      <c r="E2" s="72" t="s">
        <v>20</v>
      </c>
      <c r="F2" s="74">
        <v>423.06</v>
      </c>
      <c r="G2" s="75">
        <v>25.72</v>
      </c>
      <c r="H2" s="76">
        <f t="shared" ref="H2:H5" si="0">F2*G2/10000</f>
        <v>1.08811032</v>
      </c>
      <c r="I2" s="76">
        <f>F2*15.84/10000</f>
        <v>0.67012704</v>
      </c>
      <c r="J2" s="76">
        <f>F2*9.93/10000</f>
        <v>0.42009858</v>
      </c>
      <c r="K2" s="76">
        <f>60*30/10000</f>
        <v>0.18</v>
      </c>
      <c r="L2" s="76">
        <f t="shared" ref="L2:L5" si="1">SUM(I2:K2)</f>
        <v>1.27022562</v>
      </c>
      <c r="M2" s="76">
        <v>0</v>
      </c>
      <c r="N2" s="83"/>
      <c r="O2" s="84">
        <v>9</v>
      </c>
      <c r="P2" s="86" t="s">
        <v>21</v>
      </c>
      <c r="Q2" s="89">
        <v>0</v>
      </c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</row>
    <row r="3" s="67" customFormat="1" ht="25" customHeight="1" spans="1:197">
      <c r="A3" s="126">
        <v>2</v>
      </c>
      <c r="B3" s="72" t="s">
        <v>19</v>
      </c>
      <c r="C3" s="72" t="s">
        <v>22</v>
      </c>
      <c r="D3" s="73" t="s">
        <v>23</v>
      </c>
      <c r="E3" s="72" t="s">
        <v>20</v>
      </c>
      <c r="F3" s="74">
        <v>1675.13</v>
      </c>
      <c r="G3" s="75">
        <v>20.42</v>
      </c>
      <c r="H3" s="76">
        <f t="shared" si="0"/>
        <v>3.42061546</v>
      </c>
      <c r="I3" s="76">
        <f>F3*15.85/10000</f>
        <v>2.65508105</v>
      </c>
      <c r="J3" s="76">
        <f>F3*4.57/10000</f>
        <v>0.76553441</v>
      </c>
      <c r="K3" s="76">
        <f>1600*4.94/10000</f>
        <v>0.7904</v>
      </c>
      <c r="L3" s="76">
        <f t="shared" si="1"/>
        <v>4.21101546</v>
      </c>
      <c r="M3" s="76">
        <v>0</v>
      </c>
      <c r="N3" s="83"/>
      <c r="O3" s="84">
        <v>31</v>
      </c>
      <c r="P3" s="86" t="s">
        <v>21</v>
      </c>
      <c r="Q3" s="89">
        <v>0</v>
      </c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</row>
    <row r="4" s="67" customFormat="1" ht="25" customHeight="1" spans="1:17">
      <c r="A4" s="138">
        <v>3</v>
      </c>
      <c r="B4" s="139" t="s">
        <v>24</v>
      </c>
      <c r="C4" s="140" t="s">
        <v>25</v>
      </c>
      <c r="D4" s="140"/>
      <c r="E4" s="72" t="s">
        <v>20</v>
      </c>
      <c r="F4" s="141">
        <v>190</v>
      </c>
      <c r="G4" s="142">
        <v>29.5</v>
      </c>
      <c r="H4" s="76">
        <f t="shared" si="0"/>
        <v>0.5605</v>
      </c>
      <c r="I4" s="76">
        <f>F4*26.84/10000</f>
        <v>0.50996</v>
      </c>
      <c r="J4" s="76">
        <f>F4*2.63/10000</f>
        <v>0.04997</v>
      </c>
      <c r="K4" s="76">
        <v>0</v>
      </c>
      <c r="L4" s="76">
        <f t="shared" si="1"/>
        <v>0.55993</v>
      </c>
      <c r="M4" s="76">
        <v>0</v>
      </c>
      <c r="N4" s="83"/>
      <c r="O4" s="84">
        <v>0</v>
      </c>
      <c r="P4" s="86" t="s">
        <v>21</v>
      </c>
      <c r="Q4" s="89">
        <v>0</v>
      </c>
    </row>
    <row r="5" s="67" customFormat="1" ht="25" customHeight="1" spans="1:197">
      <c r="A5" s="143"/>
      <c r="B5" s="144"/>
      <c r="C5" s="72" t="s">
        <v>25</v>
      </c>
      <c r="D5" s="73" t="s">
        <v>22</v>
      </c>
      <c r="E5" s="72" t="s">
        <v>20</v>
      </c>
      <c r="F5" s="74">
        <v>1768.83</v>
      </c>
      <c r="G5" s="75">
        <v>21.9</v>
      </c>
      <c r="H5" s="76">
        <f t="shared" si="0"/>
        <v>3.8737377</v>
      </c>
      <c r="I5" s="76">
        <f>F5*16.19/10000</f>
        <v>2.86373577</v>
      </c>
      <c r="J5" s="76">
        <f>F5*5.71/10000</f>
        <v>1.01000193</v>
      </c>
      <c r="K5" s="76">
        <v>0</v>
      </c>
      <c r="L5" s="76">
        <f t="shared" si="1"/>
        <v>3.8737377</v>
      </c>
      <c r="M5" s="76">
        <v>0</v>
      </c>
      <c r="N5" s="83"/>
      <c r="O5" s="84">
        <v>19</v>
      </c>
      <c r="P5" s="86" t="s">
        <v>21</v>
      </c>
      <c r="Q5" s="89">
        <v>0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</row>
    <row r="6" s="67" customFormat="1" ht="25" customHeight="1" spans="1:197">
      <c r="A6" s="143"/>
      <c r="B6" s="144"/>
      <c r="C6" s="72" t="s">
        <v>26</v>
      </c>
      <c r="D6" s="73" t="s">
        <v>27</v>
      </c>
      <c r="E6" s="72" t="s">
        <v>20</v>
      </c>
      <c r="F6" s="74"/>
      <c r="G6" s="75"/>
      <c r="H6" s="76"/>
      <c r="I6" s="76"/>
      <c r="J6" s="76"/>
      <c r="K6" s="76">
        <f>60*30/10000</f>
        <v>0.18</v>
      </c>
      <c r="L6" s="76">
        <f>60*30/10000</f>
        <v>0.18</v>
      </c>
      <c r="M6" s="76"/>
      <c r="N6" s="83"/>
      <c r="O6" s="84"/>
      <c r="P6" s="86" t="s">
        <v>21</v>
      </c>
      <c r="Q6" s="89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67" customFormat="1" ht="25" customHeight="1" spans="1:197">
      <c r="A7" s="145"/>
      <c r="B7" s="146"/>
      <c r="C7" s="94" t="s">
        <v>28</v>
      </c>
      <c r="D7" s="94" t="s">
        <v>29</v>
      </c>
      <c r="E7" s="72" t="s">
        <v>20</v>
      </c>
      <c r="F7" s="147"/>
      <c r="G7" s="148"/>
      <c r="H7" s="76"/>
      <c r="I7" s="76"/>
      <c r="J7" s="76"/>
      <c r="K7" s="93">
        <f>250*5/10000</f>
        <v>0.125</v>
      </c>
      <c r="L7" s="187">
        <f>H7+K7</f>
        <v>0.125</v>
      </c>
      <c r="M7" s="93">
        <v>0</v>
      </c>
      <c r="N7" s="83"/>
      <c r="O7" s="84"/>
      <c r="P7" s="86" t="s">
        <v>21</v>
      </c>
      <c r="Q7" s="93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s="67" customFormat="1" ht="25" customHeight="1" spans="1:197">
      <c r="A8" s="149">
        <v>4</v>
      </c>
      <c r="B8" s="139" t="s">
        <v>30</v>
      </c>
      <c r="C8" s="150" t="s">
        <v>31</v>
      </c>
      <c r="D8" s="150" t="s">
        <v>32</v>
      </c>
      <c r="E8" s="72" t="s">
        <v>20</v>
      </c>
      <c r="F8" s="151">
        <v>210</v>
      </c>
      <c r="G8" s="152">
        <v>18.48</v>
      </c>
      <c r="H8" s="76">
        <f t="shared" ref="H8:H17" si="2">F8*G8/10000</f>
        <v>0.38808</v>
      </c>
      <c r="I8" s="76">
        <f>F8*17.62/10000</f>
        <v>0.37002</v>
      </c>
      <c r="J8" s="76">
        <f>F8*0.95/10000</f>
        <v>0.01995</v>
      </c>
      <c r="K8" s="76">
        <v>0</v>
      </c>
      <c r="L8" s="76">
        <f t="shared" ref="L8:L17" si="3">SUM(I8:K8)</f>
        <v>0.38997</v>
      </c>
      <c r="M8" s="76">
        <v>0</v>
      </c>
      <c r="N8" s="83"/>
      <c r="O8" s="84">
        <v>0</v>
      </c>
      <c r="P8" s="86" t="s">
        <v>21</v>
      </c>
      <c r="Q8" s="89">
        <f>370*10/10000</f>
        <v>0.37</v>
      </c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</row>
    <row r="9" s="67" customFormat="1" ht="25" customHeight="1" spans="1:197">
      <c r="A9" s="153"/>
      <c r="B9" s="144"/>
      <c r="C9" s="154" t="s">
        <v>33</v>
      </c>
      <c r="D9" s="72" t="s">
        <v>34</v>
      </c>
      <c r="E9" s="72" t="s">
        <v>20</v>
      </c>
      <c r="F9" s="155">
        <v>2657.92</v>
      </c>
      <c r="G9" s="156">
        <v>17.76</v>
      </c>
      <c r="H9" s="76">
        <f t="shared" si="2"/>
        <v>4.72046592</v>
      </c>
      <c r="I9" s="76">
        <f>F9*13.81/10000</f>
        <v>3.67058752</v>
      </c>
      <c r="J9" s="76">
        <f>F9*3.95/10000</f>
        <v>1.0498784</v>
      </c>
      <c r="K9" s="76">
        <f>2050*2/10000</f>
        <v>0.41</v>
      </c>
      <c r="L9" s="76">
        <f t="shared" si="3"/>
        <v>5.13046592</v>
      </c>
      <c r="M9" s="76">
        <f>1600*2/10000</f>
        <v>0.32</v>
      </c>
      <c r="N9" s="83"/>
      <c r="O9" s="84">
        <v>7</v>
      </c>
      <c r="P9" s="86" t="s">
        <v>21</v>
      </c>
      <c r="Q9" s="89">
        <v>0</v>
      </c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</row>
    <row r="10" s="67" customFormat="1" ht="25" customHeight="1" spans="1:197">
      <c r="A10" s="153"/>
      <c r="B10" s="144"/>
      <c r="C10" s="154" t="s">
        <v>35</v>
      </c>
      <c r="D10" s="72" t="s">
        <v>36</v>
      </c>
      <c r="E10" s="72" t="s">
        <v>20</v>
      </c>
      <c r="F10" s="155">
        <v>1260.74</v>
      </c>
      <c r="G10" s="156">
        <v>22.89</v>
      </c>
      <c r="H10" s="76">
        <f t="shared" si="2"/>
        <v>2.88583386</v>
      </c>
      <c r="I10" s="76">
        <f>F10*19.35/10000</f>
        <v>2.4395319</v>
      </c>
      <c r="J10" s="76">
        <f>F10*3.57/10000</f>
        <v>0.45008418</v>
      </c>
      <c r="K10" s="76">
        <f>450*2/10000</f>
        <v>0.09</v>
      </c>
      <c r="L10" s="76">
        <f t="shared" si="3"/>
        <v>2.97961608</v>
      </c>
      <c r="M10" s="76">
        <v>0</v>
      </c>
      <c r="N10" s="83"/>
      <c r="O10" s="84">
        <v>0</v>
      </c>
      <c r="P10" s="86" t="s">
        <v>21</v>
      </c>
      <c r="Q10" s="89">
        <v>0</v>
      </c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</row>
    <row r="11" s="67" customFormat="1" ht="25" customHeight="1" spans="1:197">
      <c r="A11" s="126">
        <v>5</v>
      </c>
      <c r="B11" s="72" t="s">
        <v>18</v>
      </c>
      <c r="C11" s="154" t="s">
        <v>24</v>
      </c>
      <c r="D11" s="72" t="s">
        <v>37</v>
      </c>
      <c r="E11" s="72" t="s">
        <v>20</v>
      </c>
      <c r="F11" s="155">
        <v>608.13</v>
      </c>
      <c r="G11" s="156">
        <v>35.36</v>
      </c>
      <c r="H11" s="76">
        <f t="shared" si="2"/>
        <v>2.15034768</v>
      </c>
      <c r="I11" s="76">
        <f>F11*27.3/10000</f>
        <v>1.6601949</v>
      </c>
      <c r="J11" s="76">
        <f>F11*8.06/10000</f>
        <v>0.49015278</v>
      </c>
      <c r="K11" s="76">
        <f>325*2*2/10000</f>
        <v>0.13</v>
      </c>
      <c r="L11" s="76">
        <f t="shared" si="3"/>
        <v>2.28034768</v>
      </c>
      <c r="M11" s="76">
        <v>0</v>
      </c>
      <c r="N11" s="83"/>
      <c r="O11" s="84">
        <v>10</v>
      </c>
      <c r="P11" s="86" t="s">
        <v>21</v>
      </c>
      <c r="Q11" s="89">
        <v>0</v>
      </c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</row>
    <row r="12" s="67" customFormat="1" ht="25" customHeight="1" spans="1:197">
      <c r="A12" s="157">
        <v>6</v>
      </c>
      <c r="B12" s="72" t="s">
        <v>38</v>
      </c>
      <c r="C12" s="140" t="s">
        <v>39</v>
      </c>
      <c r="D12" s="140"/>
      <c r="E12" s="72" t="s">
        <v>20</v>
      </c>
      <c r="F12" s="141">
        <v>121.4</v>
      </c>
      <c r="G12" s="142">
        <v>14.84</v>
      </c>
      <c r="H12" s="76">
        <f t="shared" si="2"/>
        <v>0.1801576</v>
      </c>
      <c r="I12" s="76">
        <f>F12*14/10000</f>
        <v>0.16996</v>
      </c>
      <c r="J12" s="76">
        <f>F12*0.85/10000</f>
        <v>0.010319</v>
      </c>
      <c r="K12" s="76">
        <v>0</v>
      </c>
      <c r="L12" s="76">
        <f t="shared" si="3"/>
        <v>0.180279</v>
      </c>
      <c r="M12" s="76">
        <v>0</v>
      </c>
      <c r="N12" s="83"/>
      <c r="O12" s="84">
        <v>0</v>
      </c>
      <c r="P12" s="86" t="s">
        <v>21</v>
      </c>
      <c r="Q12" s="89">
        <v>0</v>
      </c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</row>
    <row r="13" s="67" customFormat="1" ht="25" customHeight="1" spans="1:197">
      <c r="A13" s="157"/>
      <c r="B13" s="72"/>
      <c r="C13" s="140" t="s">
        <v>40</v>
      </c>
      <c r="D13" s="140"/>
      <c r="E13" s="72" t="s">
        <v>20</v>
      </c>
      <c r="F13" s="141">
        <v>107.44</v>
      </c>
      <c r="G13" s="142">
        <v>12.1</v>
      </c>
      <c r="H13" s="76">
        <f t="shared" si="2"/>
        <v>0.1300024</v>
      </c>
      <c r="I13" s="76">
        <f>F13*9.32/10000</f>
        <v>0.10013408</v>
      </c>
      <c r="J13" s="76">
        <f>F13*2.79/10000</f>
        <v>0.02997576</v>
      </c>
      <c r="K13" s="76">
        <v>0</v>
      </c>
      <c r="L13" s="76">
        <f t="shared" si="3"/>
        <v>0.13010984</v>
      </c>
      <c r="M13" s="76">
        <v>0</v>
      </c>
      <c r="N13" s="83"/>
      <c r="O13" s="84">
        <v>0</v>
      </c>
      <c r="P13" s="86" t="s">
        <v>21</v>
      </c>
      <c r="Q13" s="89">
        <v>0</v>
      </c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</row>
    <row r="14" s="67" customFormat="1" ht="25" customHeight="1" spans="1:17">
      <c r="A14" s="157"/>
      <c r="B14" s="72"/>
      <c r="C14" s="154" t="s">
        <v>41</v>
      </c>
      <c r="D14" s="72" t="s">
        <v>42</v>
      </c>
      <c r="E14" s="72" t="s">
        <v>20</v>
      </c>
      <c r="F14" s="155">
        <v>787.18</v>
      </c>
      <c r="G14" s="156">
        <v>23.82</v>
      </c>
      <c r="H14" s="76">
        <f t="shared" si="2"/>
        <v>1.87506276</v>
      </c>
      <c r="I14" s="76">
        <f>F14*17.01/10000</f>
        <v>1.33899318</v>
      </c>
      <c r="J14" s="76">
        <f>F14*6.78/10000</f>
        <v>0.53370804</v>
      </c>
      <c r="K14" s="76">
        <f>425*2*2/10000</f>
        <v>0.17</v>
      </c>
      <c r="L14" s="76">
        <f t="shared" si="3"/>
        <v>2.04270122</v>
      </c>
      <c r="M14" s="76">
        <f>850*1*2/10000</f>
        <v>0.17</v>
      </c>
      <c r="N14" s="83"/>
      <c r="O14" s="84">
        <v>21</v>
      </c>
      <c r="P14" s="86" t="s">
        <v>21</v>
      </c>
      <c r="Q14" s="89">
        <v>0</v>
      </c>
    </row>
    <row r="15" s="67" customFormat="1" ht="25" customHeight="1" spans="1:17">
      <c r="A15" s="126">
        <v>7</v>
      </c>
      <c r="B15" s="72" t="s">
        <v>43</v>
      </c>
      <c r="C15" s="154" t="s">
        <v>41</v>
      </c>
      <c r="D15" s="72" t="s">
        <v>44</v>
      </c>
      <c r="E15" s="72" t="s">
        <v>20</v>
      </c>
      <c r="F15" s="155">
        <v>555.25</v>
      </c>
      <c r="G15" s="156">
        <v>23.52</v>
      </c>
      <c r="H15" s="76">
        <f t="shared" si="2"/>
        <v>1.305948</v>
      </c>
      <c r="I15" s="76">
        <f>F15*17.26/10000</f>
        <v>0.9583615</v>
      </c>
      <c r="J15" s="76">
        <f>F15*6.22/10000</f>
        <v>0.3453655</v>
      </c>
      <c r="K15" s="76">
        <f>1100*0.5*2/10000</f>
        <v>0.11</v>
      </c>
      <c r="L15" s="76">
        <f t="shared" si="3"/>
        <v>1.413727</v>
      </c>
      <c r="M15" s="76">
        <f>800*1/10000</f>
        <v>0.08</v>
      </c>
      <c r="N15" s="83"/>
      <c r="O15" s="84">
        <v>27</v>
      </c>
      <c r="P15" s="86" t="s">
        <v>21</v>
      </c>
      <c r="Q15" s="89">
        <v>0</v>
      </c>
    </row>
    <row r="16" s="67" customFormat="1" ht="25" customHeight="1" spans="1:17">
      <c r="A16" s="126">
        <v>8</v>
      </c>
      <c r="B16" s="72" t="s">
        <v>37</v>
      </c>
      <c r="C16" s="154" t="s">
        <v>19</v>
      </c>
      <c r="D16" s="72" t="s">
        <v>41</v>
      </c>
      <c r="E16" s="72" t="s">
        <v>20</v>
      </c>
      <c r="F16" s="155">
        <v>1925.08</v>
      </c>
      <c r="G16" s="156">
        <v>36.24</v>
      </c>
      <c r="H16" s="76">
        <f t="shared" si="2"/>
        <v>6.97648992</v>
      </c>
      <c r="I16" s="76">
        <f>F16*29.77/10000</f>
        <v>5.73096316</v>
      </c>
      <c r="J16" s="76">
        <f>F16*6.49/10000</f>
        <v>1.24937692</v>
      </c>
      <c r="K16" s="76">
        <f>82*50/10000</f>
        <v>0.41</v>
      </c>
      <c r="L16" s="76">
        <f t="shared" si="3"/>
        <v>7.39034008</v>
      </c>
      <c r="M16" s="76">
        <v>0</v>
      </c>
      <c r="N16" s="83"/>
      <c r="O16" s="84">
        <v>52</v>
      </c>
      <c r="P16" s="86" t="s">
        <v>21</v>
      </c>
      <c r="Q16" s="89">
        <v>0</v>
      </c>
    </row>
    <row r="17" s="67" customFormat="1" ht="25" customHeight="1" spans="1:17">
      <c r="A17" s="126">
        <v>9</v>
      </c>
      <c r="B17" s="72" t="s">
        <v>42</v>
      </c>
      <c r="C17" s="154" t="s">
        <v>24</v>
      </c>
      <c r="D17" s="72" t="s">
        <v>45</v>
      </c>
      <c r="E17" s="72" t="s">
        <v>20</v>
      </c>
      <c r="F17" s="155">
        <v>2367.98</v>
      </c>
      <c r="G17" s="156">
        <v>33.32</v>
      </c>
      <c r="H17" s="76">
        <f t="shared" si="2"/>
        <v>7.89010936</v>
      </c>
      <c r="I17" s="76">
        <f>F17*25.8/10000</f>
        <v>6.1093884</v>
      </c>
      <c r="J17" s="76">
        <f>F17*7.52/10000</f>
        <v>1.78072096</v>
      </c>
      <c r="K17" s="76">
        <f>2000*5.4/10000</f>
        <v>1.08</v>
      </c>
      <c r="L17" s="76">
        <f t="shared" si="3"/>
        <v>8.97010936</v>
      </c>
      <c r="M17" s="76">
        <f>2300*1/10000</f>
        <v>0.23</v>
      </c>
      <c r="N17" s="83"/>
      <c r="O17" s="84">
        <v>55</v>
      </c>
      <c r="P17" s="86" t="s">
        <v>21</v>
      </c>
      <c r="Q17" s="89">
        <v>0</v>
      </c>
    </row>
    <row r="18" s="67" customFormat="1" ht="25" customHeight="1" spans="1:17">
      <c r="A18" s="149">
        <v>10</v>
      </c>
      <c r="B18" s="158" t="s">
        <v>35</v>
      </c>
      <c r="C18" s="94" t="s">
        <v>46</v>
      </c>
      <c r="D18" s="94"/>
      <c r="E18" s="72" t="s">
        <v>20</v>
      </c>
      <c r="F18" s="93" t="s">
        <v>47</v>
      </c>
      <c r="G18" s="93" t="s">
        <v>47</v>
      </c>
      <c r="H18" s="93" t="s">
        <v>47</v>
      </c>
      <c r="I18" s="128" t="s">
        <v>47</v>
      </c>
      <c r="J18" s="119"/>
      <c r="K18" s="93">
        <f>200*8/10000</f>
        <v>0.16</v>
      </c>
      <c r="L18" s="93">
        <f>K18</f>
        <v>0.16</v>
      </c>
      <c r="M18" s="93">
        <v>0</v>
      </c>
      <c r="N18" s="83"/>
      <c r="O18" s="84">
        <v>0</v>
      </c>
      <c r="P18" s="86" t="s">
        <v>21</v>
      </c>
      <c r="Q18" s="94">
        <v>0</v>
      </c>
    </row>
    <row r="19" s="67" customFormat="1" ht="25" customHeight="1" spans="1:17">
      <c r="A19" s="153"/>
      <c r="B19" s="159"/>
      <c r="C19" s="116" t="s">
        <v>48</v>
      </c>
      <c r="D19" s="116" t="s">
        <v>30</v>
      </c>
      <c r="E19" s="72" t="s">
        <v>20</v>
      </c>
      <c r="F19" s="117">
        <v>2852.2</v>
      </c>
      <c r="G19" s="118">
        <v>70.45</v>
      </c>
      <c r="H19" s="76">
        <f>F19*G19/10000</f>
        <v>20.093749</v>
      </c>
      <c r="I19" s="76">
        <f>F19*62.97/10000</f>
        <v>17.9603034</v>
      </c>
      <c r="J19" s="76">
        <f>F19*7.5/10000</f>
        <v>2.13915</v>
      </c>
      <c r="K19" s="76">
        <v>2.5</v>
      </c>
      <c r="L19" s="76">
        <f>SUM(I19:K19)</f>
        <v>22.5994534</v>
      </c>
      <c r="M19" s="76">
        <f>1955*10*2/10000</f>
        <v>3.91</v>
      </c>
      <c r="N19" s="83"/>
      <c r="O19" s="84">
        <v>17</v>
      </c>
      <c r="P19" s="86" t="s">
        <v>21</v>
      </c>
      <c r="Q19" s="89">
        <f>130*10/10000</f>
        <v>0.13</v>
      </c>
    </row>
    <row r="20" s="67" customFormat="1" ht="25" customHeight="1" spans="1:17">
      <c r="A20" s="153"/>
      <c r="B20" s="159"/>
      <c r="C20" s="160" t="s">
        <v>49</v>
      </c>
      <c r="D20" s="161"/>
      <c r="E20" s="72" t="s">
        <v>20</v>
      </c>
      <c r="F20" s="93"/>
      <c r="G20" s="93"/>
      <c r="H20" s="93"/>
      <c r="I20" s="93"/>
      <c r="J20" s="93"/>
      <c r="K20" s="93">
        <v>0.0726</v>
      </c>
      <c r="L20" s="93">
        <v>0.0726</v>
      </c>
      <c r="M20" s="119"/>
      <c r="N20" s="83">
        <v>1</v>
      </c>
      <c r="O20" s="84"/>
      <c r="P20" s="86" t="s">
        <v>21</v>
      </c>
      <c r="Q20" s="83"/>
    </row>
    <row r="21" s="67" customFormat="1" ht="25" customHeight="1" spans="1:17">
      <c r="A21" s="153"/>
      <c r="B21" s="159"/>
      <c r="C21" s="160" t="s">
        <v>50</v>
      </c>
      <c r="D21" s="161"/>
      <c r="E21" s="72" t="s">
        <v>20</v>
      </c>
      <c r="F21" s="93"/>
      <c r="G21" s="93"/>
      <c r="H21" s="93"/>
      <c r="I21" s="93"/>
      <c r="J21" s="93"/>
      <c r="K21" s="93">
        <v>0.075</v>
      </c>
      <c r="L21" s="93">
        <v>0.075</v>
      </c>
      <c r="M21" s="119"/>
      <c r="N21" s="83">
        <v>1</v>
      </c>
      <c r="O21" s="84"/>
      <c r="P21" s="86" t="s">
        <v>21</v>
      </c>
      <c r="Q21" s="83"/>
    </row>
    <row r="22" s="67" customFormat="1" ht="25" customHeight="1" spans="1:17">
      <c r="A22" s="153"/>
      <c r="B22" s="159"/>
      <c r="C22" s="160" t="s">
        <v>51</v>
      </c>
      <c r="D22" s="161"/>
      <c r="E22" s="72" t="s">
        <v>20</v>
      </c>
      <c r="F22" s="93"/>
      <c r="G22" s="93"/>
      <c r="H22" s="93"/>
      <c r="I22" s="93"/>
      <c r="J22" s="93"/>
      <c r="K22" s="93">
        <v>0.0888</v>
      </c>
      <c r="L22" s="93">
        <v>0.0888</v>
      </c>
      <c r="M22" s="119"/>
      <c r="N22" s="83">
        <v>1</v>
      </c>
      <c r="O22" s="84"/>
      <c r="P22" s="86" t="s">
        <v>21</v>
      </c>
      <c r="Q22" s="83"/>
    </row>
    <row r="23" s="67" customFormat="1" ht="25" customHeight="1" spans="1:17">
      <c r="A23" s="162"/>
      <c r="B23" s="163"/>
      <c r="C23" s="160" t="s">
        <v>52</v>
      </c>
      <c r="D23" s="161"/>
      <c r="E23" s="72" t="s">
        <v>20</v>
      </c>
      <c r="F23" s="93"/>
      <c r="G23" s="93"/>
      <c r="H23" s="93"/>
      <c r="I23" s="93"/>
      <c r="J23" s="93"/>
      <c r="K23" s="93">
        <v>0.072</v>
      </c>
      <c r="L23" s="93">
        <v>0.072</v>
      </c>
      <c r="M23" s="119"/>
      <c r="N23" s="83">
        <v>1</v>
      </c>
      <c r="O23" s="84"/>
      <c r="P23" s="86" t="s">
        <v>21</v>
      </c>
      <c r="Q23" s="83"/>
    </row>
    <row r="24" s="67" customFormat="1" ht="25" customHeight="1" spans="1:17">
      <c r="A24" s="126">
        <v>11</v>
      </c>
      <c r="B24" s="110" t="s">
        <v>44</v>
      </c>
      <c r="C24" s="110" t="s">
        <v>37</v>
      </c>
      <c r="D24" s="110" t="s">
        <v>43</v>
      </c>
      <c r="E24" s="83" t="s">
        <v>20</v>
      </c>
      <c r="F24" s="111">
        <v>895.47</v>
      </c>
      <c r="G24" s="112">
        <v>19.54</v>
      </c>
      <c r="H24" s="76">
        <f t="shared" ref="H24:H27" si="4">F24*G24/10000</f>
        <v>1.74974838</v>
      </c>
      <c r="I24" s="76">
        <f>F24*11.66/10000</f>
        <v>1.04411802</v>
      </c>
      <c r="J24" s="76">
        <f>F24*7.88/10000</f>
        <v>0.70563036</v>
      </c>
      <c r="K24" s="76">
        <f>50*20/10000</f>
        <v>0.1</v>
      </c>
      <c r="L24" s="76">
        <f t="shared" ref="L24:L29" si="5">SUM(I24:K24)</f>
        <v>1.84974838</v>
      </c>
      <c r="M24" s="76">
        <v>0</v>
      </c>
      <c r="N24" s="83"/>
      <c r="O24" s="84">
        <v>15</v>
      </c>
      <c r="P24" s="86" t="s">
        <v>21</v>
      </c>
      <c r="Q24" s="89">
        <v>0</v>
      </c>
    </row>
    <row r="25" s="67" customFormat="1" ht="25" customHeight="1" spans="1:17">
      <c r="A25" s="164" t="s">
        <v>53</v>
      </c>
      <c r="B25" s="165"/>
      <c r="C25" s="166">
        <f>COUNT(A2:A24)</f>
        <v>11</v>
      </c>
      <c r="D25" s="167"/>
      <c r="E25" s="167"/>
      <c r="F25" s="168">
        <f t="shared" ref="F25:O25" si="6">SUM(F2:F24)</f>
        <v>18405.81</v>
      </c>
      <c r="G25" s="168"/>
      <c r="H25" s="168">
        <f t="shared" si="6"/>
        <v>59.28895836</v>
      </c>
      <c r="I25" s="168">
        <f t="shared" si="6"/>
        <v>48.25145992</v>
      </c>
      <c r="J25" s="168">
        <f t="shared" si="6"/>
        <v>11.04991682</v>
      </c>
      <c r="K25" s="168">
        <f t="shared" si="6"/>
        <v>6.7438</v>
      </c>
      <c r="L25" s="168">
        <f t="shared" si="6"/>
        <v>66.04517674</v>
      </c>
      <c r="M25" s="168">
        <f t="shared" si="6"/>
        <v>4.71</v>
      </c>
      <c r="N25" s="168">
        <f t="shared" si="6"/>
        <v>4</v>
      </c>
      <c r="O25" s="166">
        <f t="shared" si="6"/>
        <v>263</v>
      </c>
      <c r="P25" s="188"/>
      <c r="Q25" s="191"/>
    </row>
    <row r="26" s="67" customFormat="1" ht="25" customHeight="1" spans="1:197">
      <c r="A26" s="149">
        <v>12</v>
      </c>
      <c r="B26" s="149" t="s">
        <v>54</v>
      </c>
      <c r="C26" s="169" t="s">
        <v>55</v>
      </c>
      <c r="D26" s="150" t="s">
        <v>56</v>
      </c>
      <c r="E26" s="170" t="s">
        <v>57</v>
      </c>
      <c r="F26" s="151">
        <v>1200</v>
      </c>
      <c r="G26" s="152">
        <v>34</v>
      </c>
      <c r="H26" s="76">
        <f t="shared" si="4"/>
        <v>4.08</v>
      </c>
      <c r="I26" s="76">
        <f>F26*28/10000</f>
        <v>3.36</v>
      </c>
      <c r="J26" s="76">
        <f>F26*6/10000</f>
        <v>0.72</v>
      </c>
      <c r="K26" s="76">
        <v>0</v>
      </c>
      <c r="L26" s="76">
        <f t="shared" si="5"/>
        <v>4.08</v>
      </c>
      <c r="M26" s="76">
        <v>0</v>
      </c>
      <c r="N26" s="83"/>
      <c r="O26" s="84">
        <v>0</v>
      </c>
      <c r="P26" s="189" t="s">
        <v>21</v>
      </c>
      <c r="Q26" s="89">
        <v>0</v>
      </c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</row>
    <row r="27" s="67" customFormat="1" ht="25" customHeight="1" spans="1:197">
      <c r="A27" s="153"/>
      <c r="B27" s="153"/>
      <c r="C27" s="94" t="s">
        <v>58</v>
      </c>
      <c r="D27" s="94" t="s">
        <v>30</v>
      </c>
      <c r="E27" s="170" t="s">
        <v>57</v>
      </c>
      <c r="F27" s="93">
        <v>800</v>
      </c>
      <c r="G27" s="93">
        <v>45</v>
      </c>
      <c r="H27" s="119">
        <f t="shared" si="4"/>
        <v>3.6</v>
      </c>
      <c r="I27" s="93">
        <f>800*37/10000</f>
        <v>2.96</v>
      </c>
      <c r="J27" s="93">
        <f>800*8/10000</f>
        <v>0.64</v>
      </c>
      <c r="K27" s="93"/>
      <c r="L27" s="119">
        <f>H27+K27</f>
        <v>3.6</v>
      </c>
      <c r="M27" s="94">
        <v>0</v>
      </c>
      <c r="N27" s="83"/>
      <c r="O27" s="84">
        <v>0</v>
      </c>
      <c r="P27" s="189" t="s">
        <v>21</v>
      </c>
      <c r="Q27" s="94">
        <v>0</v>
      </c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</row>
    <row r="28" s="67" customFormat="1" ht="24.65" customHeight="1" spans="1:197">
      <c r="A28" s="162"/>
      <c r="B28" s="162"/>
      <c r="C28" s="94" t="s">
        <v>59</v>
      </c>
      <c r="D28" s="94" t="s">
        <v>60</v>
      </c>
      <c r="E28" s="170" t="s">
        <v>57</v>
      </c>
      <c r="F28" s="93"/>
      <c r="G28" s="93"/>
      <c r="H28" s="93"/>
      <c r="I28" s="113"/>
      <c r="J28" s="93"/>
      <c r="K28" s="93">
        <f>275*9/10000</f>
        <v>0.2475</v>
      </c>
      <c r="L28" s="187">
        <f>K28</f>
        <v>0.2475</v>
      </c>
      <c r="M28" s="93">
        <v>0</v>
      </c>
      <c r="N28" s="83"/>
      <c r="O28" s="84"/>
      <c r="P28" s="189" t="s">
        <v>21</v>
      </c>
      <c r="Q28" s="93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</row>
    <row r="29" s="67" customFormat="1" ht="25" customHeight="1" spans="1:197">
      <c r="A29" s="171">
        <v>13</v>
      </c>
      <c r="B29" s="172" t="s">
        <v>61</v>
      </c>
      <c r="C29" s="154" t="s">
        <v>58</v>
      </c>
      <c r="D29" s="72" t="s">
        <v>30</v>
      </c>
      <c r="E29" s="170" t="s">
        <v>57</v>
      </c>
      <c r="F29" s="155">
        <v>881.96</v>
      </c>
      <c r="G29" s="156">
        <v>22.7</v>
      </c>
      <c r="H29" s="76">
        <f t="shared" ref="H29:H51" si="7">F29*G29/10000</f>
        <v>2.0020492</v>
      </c>
      <c r="I29" s="76">
        <f>F29*16.1/10000</f>
        <v>1.4199556</v>
      </c>
      <c r="J29" s="76">
        <f>F29*6.58/10000</f>
        <v>0.58032968</v>
      </c>
      <c r="K29" s="76">
        <f>80*40/10000</f>
        <v>0.32</v>
      </c>
      <c r="L29" s="76">
        <f t="shared" si="5"/>
        <v>2.32028528</v>
      </c>
      <c r="M29" s="76">
        <v>0</v>
      </c>
      <c r="N29" s="83"/>
      <c r="O29" s="84">
        <v>10</v>
      </c>
      <c r="P29" s="189" t="s">
        <v>21</v>
      </c>
      <c r="Q29" s="89">
        <v>0</v>
      </c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</row>
    <row r="30" s="67" customFormat="1" ht="25" customHeight="1" spans="1:197">
      <c r="A30" s="171"/>
      <c r="B30" s="172"/>
      <c r="C30" s="94" t="s">
        <v>58</v>
      </c>
      <c r="D30" s="94" t="s">
        <v>62</v>
      </c>
      <c r="E30" s="170" t="s">
        <v>57</v>
      </c>
      <c r="F30" s="93">
        <v>320</v>
      </c>
      <c r="G30" s="93">
        <v>26</v>
      </c>
      <c r="H30" s="93">
        <f t="shared" si="7"/>
        <v>0.832</v>
      </c>
      <c r="I30" s="93">
        <f>320*16/10000</f>
        <v>0.512</v>
      </c>
      <c r="J30" s="93">
        <f>320*10/10000</f>
        <v>0.32</v>
      </c>
      <c r="K30" s="93">
        <f>320*4/10000</f>
        <v>0.128</v>
      </c>
      <c r="L30" s="93">
        <f>H30+K30</f>
        <v>0.96</v>
      </c>
      <c r="M30" s="93">
        <v>0</v>
      </c>
      <c r="N30" s="83"/>
      <c r="O30" s="84">
        <v>0</v>
      </c>
      <c r="P30" s="189" t="s">
        <v>21</v>
      </c>
      <c r="Q30" s="94">
        <v>0</v>
      </c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</row>
    <row r="31" s="134" customFormat="1" ht="25" customHeight="1" spans="1:197">
      <c r="A31" s="126">
        <v>14</v>
      </c>
      <c r="B31" s="110" t="s">
        <v>63</v>
      </c>
      <c r="C31" s="110" t="s">
        <v>64</v>
      </c>
      <c r="D31" s="110" t="s">
        <v>37</v>
      </c>
      <c r="E31" s="170" t="s">
        <v>57</v>
      </c>
      <c r="F31" s="111">
        <v>325.25</v>
      </c>
      <c r="G31" s="112">
        <v>23.94</v>
      </c>
      <c r="H31" s="76">
        <f t="shared" si="7"/>
        <v>0.7786485</v>
      </c>
      <c r="I31" s="76">
        <f>F31*16.85/10000</f>
        <v>0.54804625</v>
      </c>
      <c r="J31" s="76">
        <f>F31*7.09/10000</f>
        <v>0.23060225</v>
      </c>
      <c r="K31" s="76">
        <v>0</v>
      </c>
      <c r="L31" s="76">
        <f t="shared" ref="L31:L37" si="8">SUM(I31:K31)</f>
        <v>0.7786485</v>
      </c>
      <c r="M31" s="76">
        <v>0</v>
      </c>
      <c r="N31" s="83"/>
      <c r="O31" s="84">
        <v>6</v>
      </c>
      <c r="P31" s="189" t="s">
        <v>21</v>
      </c>
      <c r="Q31" s="89">
        <v>0</v>
      </c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2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2"/>
      <c r="DK31" s="192"/>
      <c r="DL31" s="192"/>
      <c r="DM31" s="192"/>
      <c r="DN31" s="192"/>
      <c r="DO31" s="192"/>
      <c r="DP31" s="192"/>
      <c r="DQ31" s="192"/>
      <c r="DR31" s="192"/>
      <c r="DS31" s="192"/>
      <c r="DT31" s="192"/>
      <c r="DU31" s="192"/>
      <c r="DV31" s="192"/>
      <c r="DW31" s="192"/>
      <c r="DX31" s="192"/>
      <c r="DY31" s="192"/>
      <c r="DZ31" s="192"/>
      <c r="EA31" s="192"/>
      <c r="EB31" s="192"/>
      <c r="EC31" s="192"/>
      <c r="ED31" s="192"/>
      <c r="EE31" s="192"/>
      <c r="EF31" s="192"/>
      <c r="EG31" s="192"/>
      <c r="EH31" s="192"/>
      <c r="EI31" s="192"/>
      <c r="EJ31" s="192"/>
      <c r="EK31" s="192"/>
      <c r="EL31" s="192"/>
      <c r="EM31" s="192"/>
      <c r="EN31" s="192"/>
      <c r="EO31" s="192"/>
      <c r="EP31" s="192"/>
      <c r="EQ31" s="192"/>
      <c r="ER31" s="192"/>
      <c r="ES31" s="192"/>
      <c r="ET31" s="192"/>
      <c r="EU31" s="192"/>
      <c r="EV31" s="192"/>
      <c r="EW31" s="192"/>
      <c r="EX31" s="192"/>
      <c r="EY31" s="192"/>
      <c r="EZ31" s="192"/>
      <c r="FA31" s="192"/>
      <c r="FB31" s="192"/>
      <c r="FC31" s="192"/>
      <c r="FD31" s="192"/>
      <c r="FE31" s="192"/>
      <c r="FF31" s="192"/>
      <c r="FG31" s="192"/>
      <c r="FH31" s="192"/>
      <c r="FI31" s="192"/>
      <c r="FJ31" s="192"/>
      <c r="FK31" s="192"/>
      <c r="FL31" s="192"/>
      <c r="FM31" s="192"/>
      <c r="FN31" s="192"/>
      <c r="FO31" s="192"/>
      <c r="FP31" s="192"/>
      <c r="FQ31" s="192"/>
      <c r="FR31" s="192"/>
      <c r="FS31" s="192"/>
      <c r="FT31" s="192"/>
      <c r="FU31" s="192"/>
      <c r="FV31" s="192"/>
      <c r="FW31" s="192"/>
      <c r="FX31" s="192"/>
      <c r="FY31" s="192"/>
      <c r="FZ31" s="192"/>
      <c r="GA31" s="192"/>
      <c r="GB31" s="192"/>
      <c r="GC31" s="192"/>
      <c r="GD31" s="192"/>
      <c r="GE31" s="192"/>
      <c r="GF31" s="192"/>
      <c r="GG31" s="192"/>
      <c r="GH31" s="192"/>
      <c r="GI31" s="192"/>
      <c r="GJ31" s="192"/>
      <c r="GK31" s="192"/>
      <c r="GL31" s="192"/>
      <c r="GM31" s="192"/>
      <c r="GN31" s="192"/>
      <c r="GO31" s="192"/>
    </row>
    <row r="32" s="67" customFormat="1" ht="25" customHeight="1" spans="1:17">
      <c r="A32" s="126">
        <v>15</v>
      </c>
      <c r="B32" s="110" t="s">
        <v>65</v>
      </c>
      <c r="C32" s="110" t="s">
        <v>42</v>
      </c>
      <c r="D32" s="110" t="s">
        <v>63</v>
      </c>
      <c r="E32" s="170" t="s">
        <v>57</v>
      </c>
      <c r="F32" s="111">
        <v>465.79</v>
      </c>
      <c r="G32" s="112">
        <v>21.59</v>
      </c>
      <c r="H32" s="76">
        <f t="shared" si="7"/>
        <v>1.00564061</v>
      </c>
      <c r="I32" s="76">
        <f>F32*17.12/10000</f>
        <v>0.79743248</v>
      </c>
      <c r="J32" s="76">
        <f>F32*4.46/10000</f>
        <v>0.20774234</v>
      </c>
      <c r="K32" s="76">
        <f>25*4/10000</f>
        <v>0.01</v>
      </c>
      <c r="L32" s="76">
        <f t="shared" si="8"/>
        <v>1.01517482</v>
      </c>
      <c r="M32" s="76">
        <v>0</v>
      </c>
      <c r="N32" s="83"/>
      <c r="O32" s="84">
        <v>7</v>
      </c>
      <c r="P32" s="189" t="s">
        <v>21</v>
      </c>
      <c r="Q32" s="89">
        <v>0</v>
      </c>
    </row>
    <row r="33" s="67" customFormat="1" ht="25" customHeight="1" spans="1:17">
      <c r="A33" s="157">
        <v>16</v>
      </c>
      <c r="B33" s="72" t="s">
        <v>45</v>
      </c>
      <c r="C33" s="126" t="s">
        <v>66</v>
      </c>
      <c r="D33" s="126"/>
      <c r="E33" s="170" t="s">
        <v>57</v>
      </c>
      <c r="F33" s="151">
        <v>581.31</v>
      </c>
      <c r="G33" s="152">
        <v>18</v>
      </c>
      <c r="H33" s="76">
        <f t="shared" si="7"/>
        <v>1.046358</v>
      </c>
      <c r="I33" s="76">
        <f>F33*18.06/10000</f>
        <v>1.04984586</v>
      </c>
      <c r="J33" s="76">
        <f>F33*0/10000</f>
        <v>0</v>
      </c>
      <c r="K33" s="76">
        <v>0</v>
      </c>
      <c r="L33" s="76">
        <f t="shared" si="8"/>
        <v>1.04984586</v>
      </c>
      <c r="M33" s="76">
        <v>0</v>
      </c>
      <c r="N33" s="83"/>
      <c r="O33" s="84">
        <v>0</v>
      </c>
      <c r="P33" s="189" t="s">
        <v>21</v>
      </c>
      <c r="Q33" s="89">
        <f>500*21/10000</f>
        <v>1.05</v>
      </c>
    </row>
    <row r="34" s="67" customFormat="1" ht="25" customHeight="1" spans="1:17">
      <c r="A34" s="157"/>
      <c r="B34" s="72"/>
      <c r="C34" s="140" t="s">
        <v>67</v>
      </c>
      <c r="D34" s="140"/>
      <c r="E34" s="170" t="s">
        <v>57</v>
      </c>
      <c r="F34" s="151">
        <v>129.49</v>
      </c>
      <c r="G34" s="152">
        <v>44.02</v>
      </c>
      <c r="H34" s="76">
        <f t="shared" si="7"/>
        <v>0.57001498</v>
      </c>
      <c r="I34" s="76">
        <f>F34*40.15/10000</f>
        <v>0.51990235</v>
      </c>
      <c r="J34" s="76">
        <f>F34*3.86/10000</f>
        <v>0.04998314</v>
      </c>
      <c r="K34" s="76">
        <v>0</v>
      </c>
      <c r="L34" s="76">
        <f t="shared" si="8"/>
        <v>0.56988549</v>
      </c>
      <c r="M34" s="76">
        <v>0</v>
      </c>
      <c r="N34" s="83"/>
      <c r="O34" s="84">
        <v>0</v>
      </c>
      <c r="P34" s="189" t="s">
        <v>21</v>
      </c>
      <c r="Q34" s="89">
        <v>0</v>
      </c>
    </row>
    <row r="35" s="67" customFormat="1" ht="40" customHeight="1" spans="1:197">
      <c r="A35" s="157"/>
      <c r="B35" s="72"/>
      <c r="C35" s="154" t="s">
        <v>67</v>
      </c>
      <c r="D35" s="72" t="s">
        <v>19</v>
      </c>
      <c r="E35" s="170" t="s">
        <v>57</v>
      </c>
      <c r="F35" s="155">
        <v>2233.06</v>
      </c>
      <c r="G35" s="156">
        <v>44.02</v>
      </c>
      <c r="H35" s="76">
        <f t="shared" si="7"/>
        <v>9.82993012</v>
      </c>
      <c r="I35" s="76">
        <f>F35*37.93/10000</f>
        <v>8.46999658</v>
      </c>
      <c r="J35" s="76">
        <f>F35*6.09/10000</f>
        <v>1.35993354</v>
      </c>
      <c r="K35" s="76">
        <f>2200*1/10000</f>
        <v>0.22</v>
      </c>
      <c r="L35" s="76">
        <f t="shared" si="8"/>
        <v>10.04993012</v>
      </c>
      <c r="M35" s="76">
        <f>2000*3.2*2/10000</f>
        <v>1.28</v>
      </c>
      <c r="N35" s="83">
        <v>1</v>
      </c>
      <c r="O35" s="84">
        <v>49</v>
      </c>
      <c r="P35" s="189" t="s">
        <v>21</v>
      </c>
      <c r="Q35" s="89">
        <v>0</v>
      </c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</row>
    <row r="36" s="67" customFormat="1" ht="27.75" customHeight="1" spans="1:17">
      <c r="A36" s="126">
        <v>17</v>
      </c>
      <c r="B36" s="173" t="s">
        <v>68</v>
      </c>
      <c r="C36" s="173" t="s">
        <v>35</v>
      </c>
      <c r="D36" s="173" t="s">
        <v>69</v>
      </c>
      <c r="E36" s="170" t="s">
        <v>57</v>
      </c>
      <c r="F36" s="174">
        <v>1040.62</v>
      </c>
      <c r="G36" s="175">
        <v>46.38</v>
      </c>
      <c r="H36" s="76">
        <f t="shared" si="7"/>
        <v>4.82639556</v>
      </c>
      <c r="I36" s="76">
        <f>F36*40.1/10000</f>
        <v>4.1728862</v>
      </c>
      <c r="J36" s="76">
        <f>F36*6.27/10000</f>
        <v>0.65246874</v>
      </c>
      <c r="K36" s="76">
        <f>4.1*1000/10000</f>
        <v>0.41</v>
      </c>
      <c r="L36" s="76">
        <f t="shared" si="8"/>
        <v>5.23535494</v>
      </c>
      <c r="M36" s="76">
        <f>1.5*1000/10000</f>
        <v>0.15</v>
      </c>
      <c r="N36" s="83"/>
      <c r="O36" s="84">
        <v>17</v>
      </c>
      <c r="P36" s="189" t="s">
        <v>21</v>
      </c>
      <c r="Q36" s="89">
        <f>26.3*1000/10000</f>
        <v>2.63</v>
      </c>
    </row>
    <row r="37" s="67" customFormat="1" ht="25" customHeight="1" spans="1:197">
      <c r="A37" s="126">
        <v>18</v>
      </c>
      <c r="B37" s="72" t="s">
        <v>70</v>
      </c>
      <c r="C37" s="154" t="s">
        <v>44</v>
      </c>
      <c r="D37" s="72" t="s">
        <v>42</v>
      </c>
      <c r="E37" s="170" t="s">
        <v>57</v>
      </c>
      <c r="F37" s="155">
        <v>758.49</v>
      </c>
      <c r="G37" s="156">
        <v>28.16</v>
      </c>
      <c r="H37" s="76">
        <f t="shared" si="7"/>
        <v>2.13590784</v>
      </c>
      <c r="I37" s="76">
        <f>F37*21.5/10000</f>
        <v>1.6307535</v>
      </c>
      <c r="J37" s="76">
        <f>F37*6.66/10000</f>
        <v>0.50515434</v>
      </c>
      <c r="K37" s="76">
        <f>30*50/10000</f>
        <v>0.15</v>
      </c>
      <c r="L37" s="76">
        <f t="shared" si="8"/>
        <v>2.28590784</v>
      </c>
      <c r="M37" s="76">
        <f>450*2/10000</f>
        <v>0.09</v>
      </c>
      <c r="N37" s="83"/>
      <c r="O37" s="84">
        <v>4</v>
      </c>
      <c r="P37" s="189" t="s">
        <v>21</v>
      </c>
      <c r="Q37" s="89">
        <v>0</v>
      </c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</row>
    <row r="38" s="67" customFormat="1" ht="25" customHeight="1" spans="1:197">
      <c r="A38" s="83">
        <v>19</v>
      </c>
      <c r="B38" s="83" t="s">
        <v>71</v>
      </c>
      <c r="C38" s="83" t="s">
        <v>58</v>
      </c>
      <c r="D38" s="83" t="s">
        <v>72</v>
      </c>
      <c r="E38" s="83" t="s">
        <v>57</v>
      </c>
      <c r="F38" s="83">
        <v>550</v>
      </c>
      <c r="G38" s="83">
        <v>24</v>
      </c>
      <c r="H38" s="97">
        <f t="shared" si="7"/>
        <v>1.32</v>
      </c>
      <c r="I38" s="93">
        <f t="shared" ref="I38:I40" si="9">F38*16/10000</f>
        <v>0.88</v>
      </c>
      <c r="J38" s="93">
        <f>550*4*2/10000</f>
        <v>0.44</v>
      </c>
      <c r="K38" s="93">
        <f>60*70/10000</f>
        <v>0.42</v>
      </c>
      <c r="L38" s="93">
        <f t="shared" ref="L38:L40" si="10">I38+J38+K38</f>
        <v>1.74</v>
      </c>
      <c r="M38" s="83"/>
      <c r="N38" s="83"/>
      <c r="O38" s="84"/>
      <c r="P38" s="189" t="s">
        <v>21</v>
      </c>
      <c r="Q38" s="83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</row>
    <row r="39" s="67" customFormat="1" ht="25" customHeight="1" spans="1:197">
      <c r="A39" s="83"/>
      <c r="B39" s="83"/>
      <c r="C39" s="83" t="s">
        <v>73</v>
      </c>
      <c r="D39" s="83" t="s">
        <v>58</v>
      </c>
      <c r="E39" s="83" t="s">
        <v>57</v>
      </c>
      <c r="F39" s="83">
        <v>800</v>
      </c>
      <c r="G39" s="83">
        <v>24</v>
      </c>
      <c r="H39" s="97">
        <f t="shared" si="7"/>
        <v>1.92</v>
      </c>
      <c r="I39" s="93">
        <f t="shared" si="9"/>
        <v>1.28</v>
      </c>
      <c r="J39" s="93">
        <f>800*4*2/10000</f>
        <v>0.64</v>
      </c>
      <c r="K39" s="93"/>
      <c r="L39" s="93">
        <f t="shared" si="10"/>
        <v>1.92</v>
      </c>
      <c r="M39" s="83"/>
      <c r="N39" s="83"/>
      <c r="O39" s="84"/>
      <c r="P39" s="189" t="s">
        <v>21</v>
      </c>
      <c r="Q39" s="83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  <c r="EL39" s="88"/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</row>
    <row r="40" s="67" customFormat="1" ht="25" customHeight="1" spans="1:197">
      <c r="A40" s="83">
        <v>20</v>
      </c>
      <c r="B40" s="83" t="s">
        <v>74</v>
      </c>
      <c r="C40" s="83" t="s">
        <v>35</v>
      </c>
      <c r="D40" s="83" t="s">
        <v>75</v>
      </c>
      <c r="E40" s="83" t="s">
        <v>57</v>
      </c>
      <c r="F40" s="83">
        <v>300</v>
      </c>
      <c r="G40" s="83">
        <v>24</v>
      </c>
      <c r="H40" s="97">
        <f t="shared" si="7"/>
        <v>0.72</v>
      </c>
      <c r="I40" s="93">
        <f t="shared" si="9"/>
        <v>0.48</v>
      </c>
      <c r="J40" s="93">
        <f>300*4*2/10000</f>
        <v>0.24</v>
      </c>
      <c r="K40" s="93"/>
      <c r="L40" s="93">
        <f t="shared" si="10"/>
        <v>0.72</v>
      </c>
      <c r="M40" s="83"/>
      <c r="N40" s="83"/>
      <c r="O40" s="84"/>
      <c r="P40" s="189" t="s">
        <v>21</v>
      </c>
      <c r="Q40" s="83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</row>
    <row r="41" s="67" customFormat="1" ht="25" customHeight="1" spans="1:17">
      <c r="A41" s="83"/>
      <c r="B41" s="83"/>
      <c r="C41" s="94" t="s">
        <v>75</v>
      </c>
      <c r="D41" s="94" t="s">
        <v>76</v>
      </c>
      <c r="E41" s="83" t="s">
        <v>57</v>
      </c>
      <c r="F41" s="93">
        <v>550</v>
      </c>
      <c r="G41" s="93">
        <v>17</v>
      </c>
      <c r="H41" s="93">
        <f t="shared" si="7"/>
        <v>0.935</v>
      </c>
      <c r="I41" s="93">
        <f>550*13/10000</f>
        <v>0.715</v>
      </c>
      <c r="J41" s="93">
        <f>550*4/10000</f>
        <v>0.22</v>
      </c>
      <c r="K41" s="93">
        <f>550*2/10000</f>
        <v>0.11</v>
      </c>
      <c r="L41" s="93">
        <f>H41+K41</f>
        <v>1.045</v>
      </c>
      <c r="M41" s="119"/>
      <c r="N41" s="83"/>
      <c r="O41" s="84"/>
      <c r="P41" s="189" t="s">
        <v>21</v>
      </c>
      <c r="Q41" s="83"/>
    </row>
    <row r="42" s="67" customFormat="1" ht="25" customHeight="1" spans="1:197">
      <c r="A42" s="95">
        <v>21</v>
      </c>
      <c r="B42" s="83" t="s">
        <v>75</v>
      </c>
      <c r="C42" s="83" t="s">
        <v>68</v>
      </c>
      <c r="D42" s="83" t="s">
        <v>73</v>
      </c>
      <c r="E42" s="83" t="s">
        <v>57</v>
      </c>
      <c r="F42" s="83">
        <v>1000</v>
      </c>
      <c r="G42" s="83">
        <v>24</v>
      </c>
      <c r="H42" s="97">
        <f t="shared" si="7"/>
        <v>2.4</v>
      </c>
      <c r="I42" s="93">
        <f>F42*16/10000</f>
        <v>1.6</v>
      </c>
      <c r="J42" s="93">
        <v>0.81</v>
      </c>
      <c r="K42" s="93">
        <v>2.23</v>
      </c>
      <c r="L42" s="93">
        <f>I42+J42+K42</f>
        <v>4.64</v>
      </c>
      <c r="M42" s="83"/>
      <c r="N42" s="83"/>
      <c r="O42" s="84"/>
      <c r="P42" s="189" t="s">
        <v>21</v>
      </c>
      <c r="Q42" s="83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</row>
    <row r="43" s="67" customFormat="1" ht="25" customHeight="1" spans="1:197">
      <c r="A43" s="126">
        <v>22</v>
      </c>
      <c r="B43" s="116" t="s">
        <v>77</v>
      </c>
      <c r="C43" s="116" t="s">
        <v>72</v>
      </c>
      <c r="D43" s="116" t="s">
        <v>30</v>
      </c>
      <c r="E43" s="83" t="s">
        <v>57</v>
      </c>
      <c r="F43" s="117">
        <v>164.65</v>
      </c>
      <c r="G43" s="118">
        <v>26.1</v>
      </c>
      <c r="H43" s="76">
        <f t="shared" si="7"/>
        <v>0.4297365</v>
      </c>
      <c r="I43" s="76">
        <f>F43*18.22/10000</f>
        <v>0.2999923</v>
      </c>
      <c r="J43" s="76">
        <f>F43*7.9/10000</f>
        <v>0.1300735</v>
      </c>
      <c r="K43" s="76">
        <f>20*70/10000</f>
        <v>0.14</v>
      </c>
      <c r="L43" s="76">
        <f t="shared" ref="L43:L51" si="11">SUM(I43:K43)</f>
        <v>0.5700658</v>
      </c>
      <c r="M43" s="76">
        <v>0</v>
      </c>
      <c r="N43" s="83"/>
      <c r="O43" s="84">
        <v>1</v>
      </c>
      <c r="P43" s="189" t="s">
        <v>21</v>
      </c>
      <c r="Q43" s="89">
        <v>0</v>
      </c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</row>
    <row r="44" s="134" customFormat="1" ht="25" customHeight="1" spans="1:197">
      <c r="A44" s="171">
        <v>23</v>
      </c>
      <c r="B44" s="176" t="s">
        <v>58</v>
      </c>
      <c r="C44" s="116" t="s">
        <v>78</v>
      </c>
      <c r="D44" s="116" t="s">
        <v>45</v>
      </c>
      <c r="E44" s="83" t="s">
        <v>57</v>
      </c>
      <c r="F44" s="117">
        <v>174.34</v>
      </c>
      <c r="G44" s="118">
        <v>34.67</v>
      </c>
      <c r="H44" s="76">
        <f t="shared" si="7"/>
        <v>0.60443678</v>
      </c>
      <c r="I44" s="76">
        <f>F44*25.81/10000</f>
        <v>0.44997154</v>
      </c>
      <c r="J44" s="76">
        <f>F44*8.6/10000</f>
        <v>0.1499324</v>
      </c>
      <c r="K44" s="76">
        <v>0.31</v>
      </c>
      <c r="L44" s="76">
        <f t="shared" si="11"/>
        <v>0.90990394</v>
      </c>
      <c r="M44" s="76">
        <v>0</v>
      </c>
      <c r="N44" s="83"/>
      <c r="O44" s="84">
        <v>0</v>
      </c>
      <c r="P44" s="189" t="s">
        <v>21</v>
      </c>
      <c r="Q44" s="89">
        <v>0</v>
      </c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192"/>
      <c r="CP44" s="192"/>
      <c r="CQ44" s="192"/>
      <c r="CR44" s="192"/>
      <c r="CS44" s="192"/>
      <c r="CT44" s="192"/>
      <c r="CU44" s="192"/>
      <c r="CV44" s="192"/>
      <c r="CW44" s="192"/>
      <c r="CX44" s="192"/>
      <c r="CY44" s="192"/>
      <c r="CZ44" s="192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/>
      <c r="DK44" s="192"/>
      <c r="DL44" s="192"/>
      <c r="DM44" s="192"/>
      <c r="DN44" s="192"/>
      <c r="DO44" s="192"/>
      <c r="DP44" s="192"/>
      <c r="DQ44" s="192"/>
      <c r="DR44" s="192"/>
      <c r="DS44" s="192"/>
      <c r="DT44" s="192"/>
      <c r="DU44" s="192"/>
      <c r="DV44" s="192"/>
      <c r="DW44" s="192"/>
      <c r="DX44" s="192"/>
      <c r="DY44" s="192"/>
      <c r="DZ44" s="192"/>
      <c r="EA44" s="192"/>
      <c r="EB44" s="192"/>
      <c r="EC44" s="192"/>
      <c r="ED44" s="192"/>
      <c r="EE44" s="192"/>
      <c r="EF44" s="192"/>
      <c r="EG44" s="192"/>
      <c r="EH44" s="192"/>
      <c r="EI44" s="192"/>
      <c r="EJ44" s="192"/>
      <c r="EK44" s="192"/>
      <c r="EL44" s="192"/>
      <c r="EM44" s="192"/>
      <c r="EN44" s="192"/>
      <c r="EO44" s="192"/>
      <c r="EP44" s="192"/>
      <c r="EQ44" s="192"/>
      <c r="ER44" s="192"/>
      <c r="ES44" s="192"/>
      <c r="ET44" s="192"/>
      <c r="EU44" s="192"/>
      <c r="EV44" s="192"/>
      <c r="EW44" s="192"/>
      <c r="EX44" s="192"/>
      <c r="EY44" s="192"/>
      <c r="EZ44" s="192"/>
      <c r="FA44" s="192"/>
      <c r="FB44" s="192"/>
      <c r="FC44" s="192"/>
      <c r="FD44" s="192"/>
      <c r="FE44" s="192"/>
      <c r="FF44" s="192"/>
      <c r="FG44" s="192"/>
      <c r="FH44" s="192"/>
      <c r="FI44" s="192"/>
      <c r="FJ44" s="192"/>
      <c r="FK44" s="192"/>
      <c r="FL44" s="192"/>
      <c r="FM44" s="192"/>
      <c r="FN44" s="192"/>
      <c r="FO44" s="192"/>
      <c r="FP44" s="192"/>
      <c r="FQ44" s="192"/>
      <c r="FR44" s="192"/>
      <c r="FS44" s="192"/>
      <c r="FT44" s="192"/>
      <c r="FU44" s="192"/>
      <c r="FV44" s="192"/>
      <c r="FW44" s="192"/>
      <c r="FX44" s="192"/>
      <c r="FY44" s="192"/>
      <c r="FZ44" s="192"/>
      <c r="GA44" s="192"/>
      <c r="GB44" s="192"/>
      <c r="GC44" s="192"/>
      <c r="GD44" s="192"/>
      <c r="GE44" s="192"/>
      <c r="GF44" s="192"/>
      <c r="GG44" s="192"/>
      <c r="GH44" s="192"/>
      <c r="GI44" s="192"/>
      <c r="GJ44" s="192"/>
      <c r="GK44" s="192"/>
      <c r="GL44" s="192"/>
      <c r="GM44" s="192"/>
      <c r="GN44" s="192"/>
      <c r="GO44" s="192"/>
    </row>
    <row r="45" s="67" customFormat="1" ht="32.25" customHeight="1" spans="1:197">
      <c r="A45" s="171"/>
      <c r="B45" s="176"/>
      <c r="C45" s="116" t="s">
        <v>79</v>
      </c>
      <c r="D45" s="116" t="s">
        <v>36</v>
      </c>
      <c r="E45" s="83" t="s">
        <v>57</v>
      </c>
      <c r="F45" s="117">
        <v>2672.81</v>
      </c>
      <c r="G45" s="118">
        <v>34.8</v>
      </c>
      <c r="H45" s="76">
        <f t="shared" si="7"/>
        <v>9.3013788</v>
      </c>
      <c r="I45" s="76">
        <f>F45*25.78/10000</f>
        <v>6.89050418</v>
      </c>
      <c r="J45" s="76">
        <f>F45*9.02/10000</f>
        <v>2.41087462</v>
      </c>
      <c r="K45" s="76">
        <f>4.8*2600/10000</f>
        <v>1.248</v>
      </c>
      <c r="L45" s="76">
        <f t="shared" si="11"/>
        <v>10.5493788</v>
      </c>
      <c r="M45" s="76">
        <f>2500*2.02*2/10000</f>
        <v>1.01</v>
      </c>
      <c r="N45" s="83"/>
      <c r="O45" s="84">
        <v>20</v>
      </c>
      <c r="P45" s="189" t="s">
        <v>21</v>
      </c>
      <c r="Q45" s="89">
        <v>0</v>
      </c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</row>
    <row r="46" s="67" customFormat="1" ht="25" customHeight="1" spans="1:197">
      <c r="A46" s="126">
        <v>24</v>
      </c>
      <c r="B46" s="110" t="s">
        <v>64</v>
      </c>
      <c r="C46" s="110" t="s">
        <v>65</v>
      </c>
      <c r="D46" s="110" t="s">
        <v>19</v>
      </c>
      <c r="E46" s="83" t="s">
        <v>57</v>
      </c>
      <c r="F46" s="111">
        <v>366.97</v>
      </c>
      <c r="G46" s="112">
        <v>23.9</v>
      </c>
      <c r="H46" s="76">
        <f t="shared" si="7"/>
        <v>0.8770583</v>
      </c>
      <c r="I46" s="76">
        <f>F46*16.06/10000</f>
        <v>0.58935382</v>
      </c>
      <c r="J46" s="76">
        <f>F46*7.84/10000</f>
        <v>0.28770448</v>
      </c>
      <c r="K46" s="76">
        <f>26*50/10000</f>
        <v>0.13</v>
      </c>
      <c r="L46" s="76">
        <f t="shared" si="11"/>
        <v>1.0070583</v>
      </c>
      <c r="M46" s="76">
        <v>0</v>
      </c>
      <c r="N46" s="83"/>
      <c r="O46" s="84">
        <v>2</v>
      </c>
      <c r="P46" s="189" t="s">
        <v>21</v>
      </c>
      <c r="Q46" s="89">
        <v>0</v>
      </c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</row>
    <row r="47" s="67" customFormat="1" ht="25" customHeight="1" spans="1:17">
      <c r="A47" s="126">
        <v>25</v>
      </c>
      <c r="B47" s="116" t="s">
        <v>80</v>
      </c>
      <c r="C47" s="116" t="s">
        <v>35</v>
      </c>
      <c r="D47" s="116" t="s">
        <v>36</v>
      </c>
      <c r="E47" s="177" t="s">
        <v>57</v>
      </c>
      <c r="F47" s="117">
        <v>803.45</v>
      </c>
      <c r="G47" s="118">
        <v>41.4</v>
      </c>
      <c r="H47" s="76">
        <f t="shared" si="7"/>
        <v>3.326283</v>
      </c>
      <c r="I47" s="76">
        <f>F47*28.88/10000</f>
        <v>2.3203636</v>
      </c>
      <c r="J47" s="76">
        <f>F47*12.57/10000</f>
        <v>1.00993665</v>
      </c>
      <c r="K47" s="76">
        <f>130*30/10000</f>
        <v>0.39</v>
      </c>
      <c r="L47" s="76">
        <f t="shared" si="11"/>
        <v>3.72030025</v>
      </c>
      <c r="M47" s="76">
        <f>500*2.3*2/10000</f>
        <v>0.23</v>
      </c>
      <c r="N47" s="83"/>
      <c r="O47" s="84">
        <v>13</v>
      </c>
      <c r="P47" s="189" t="s">
        <v>21</v>
      </c>
      <c r="Q47" s="89">
        <v>0</v>
      </c>
    </row>
    <row r="48" s="67" customFormat="1" ht="25" customHeight="1" spans="1:197">
      <c r="A48" s="126">
        <v>26</v>
      </c>
      <c r="B48" s="110" t="s">
        <v>72</v>
      </c>
      <c r="C48" s="110" t="s">
        <v>62</v>
      </c>
      <c r="D48" s="110" t="s">
        <v>35</v>
      </c>
      <c r="E48" s="83" t="s">
        <v>57</v>
      </c>
      <c r="F48" s="111">
        <v>2039.9</v>
      </c>
      <c r="G48" s="112">
        <v>26.93</v>
      </c>
      <c r="H48" s="76">
        <f t="shared" si="7"/>
        <v>5.4934507</v>
      </c>
      <c r="I48" s="76">
        <f>F48*18.9/10000</f>
        <v>3.855411</v>
      </c>
      <c r="J48" s="76">
        <f>F48*8.02/10000</f>
        <v>1.6359998</v>
      </c>
      <c r="K48" s="76">
        <f>(80*30+230*10)/10000</f>
        <v>0.47</v>
      </c>
      <c r="L48" s="76">
        <f t="shared" si="11"/>
        <v>5.9614108</v>
      </c>
      <c r="M48" s="76">
        <v>0</v>
      </c>
      <c r="N48" s="83"/>
      <c r="O48" s="84">
        <v>12</v>
      </c>
      <c r="P48" s="189" t="s">
        <v>21</v>
      </c>
      <c r="Q48" s="89">
        <v>0</v>
      </c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  <c r="GL48" s="88"/>
      <c r="GM48" s="88"/>
      <c r="GN48" s="88"/>
      <c r="GO48" s="88"/>
    </row>
    <row r="49" s="67" customFormat="1" ht="25" customHeight="1" spans="1:197">
      <c r="A49" s="126">
        <v>27</v>
      </c>
      <c r="B49" s="110" t="s">
        <v>81</v>
      </c>
      <c r="C49" s="110" t="s">
        <v>72</v>
      </c>
      <c r="D49" s="110" t="s">
        <v>30</v>
      </c>
      <c r="E49" s="83" t="s">
        <v>57</v>
      </c>
      <c r="F49" s="111">
        <v>410.47</v>
      </c>
      <c r="G49" s="112">
        <v>25.75</v>
      </c>
      <c r="H49" s="76">
        <f t="shared" si="7"/>
        <v>1.05696025</v>
      </c>
      <c r="I49" s="76">
        <f>F49*16.74/10000</f>
        <v>0.68712678</v>
      </c>
      <c r="J49" s="76">
        <f>F49*9.01/10000</f>
        <v>0.36983347</v>
      </c>
      <c r="K49" s="76">
        <f>40*70/10000</f>
        <v>0.28</v>
      </c>
      <c r="L49" s="76">
        <f t="shared" si="11"/>
        <v>1.33696025</v>
      </c>
      <c r="M49" s="76">
        <v>0</v>
      </c>
      <c r="N49" s="83"/>
      <c r="O49" s="84">
        <v>1</v>
      </c>
      <c r="P49" s="189" t="s">
        <v>21</v>
      </c>
      <c r="Q49" s="89">
        <v>0</v>
      </c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  <c r="DI49" s="88"/>
      <c r="DJ49" s="88"/>
      <c r="DK49" s="88"/>
      <c r="DL49" s="88"/>
      <c r="DM49" s="88"/>
      <c r="DN49" s="88"/>
      <c r="DO49" s="88"/>
      <c r="DP49" s="88"/>
      <c r="DQ49" s="88"/>
      <c r="DR49" s="88"/>
      <c r="DS49" s="88"/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8"/>
      <c r="EE49" s="88"/>
      <c r="EF49" s="88"/>
      <c r="EG49" s="88"/>
      <c r="EH49" s="88"/>
      <c r="EI49" s="88"/>
      <c r="EJ49" s="88"/>
      <c r="EK49" s="88"/>
      <c r="EL49" s="88"/>
      <c r="EM49" s="88"/>
      <c r="EN49" s="88"/>
      <c r="EO49" s="88"/>
      <c r="EP49" s="88"/>
      <c r="EQ49" s="88"/>
      <c r="ER49" s="88"/>
      <c r="ES49" s="88"/>
      <c r="ET49" s="88"/>
      <c r="EU49" s="88"/>
      <c r="EV49" s="88"/>
      <c r="EW49" s="88"/>
      <c r="EX49" s="88"/>
      <c r="EY49" s="88"/>
      <c r="EZ49" s="88"/>
      <c r="FA49" s="88"/>
      <c r="FB49" s="88"/>
      <c r="FC49" s="88"/>
      <c r="FD49" s="88"/>
      <c r="FE49" s="88"/>
      <c r="FF49" s="88"/>
      <c r="FG49" s="88"/>
      <c r="FH49" s="88"/>
      <c r="FI49" s="88"/>
      <c r="FJ49" s="88"/>
      <c r="FK49" s="88"/>
      <c r="FL49" s="88"/>
      <c r="FM49" s="88"/>
      <c r="FN49" s="88"/>
      <c r="FO49" s="88"/>
      <c r="FP49" s="88"/>
      <c r="FQ49" s="88"/>
      <c r="FR49" s="88"/>
      <c r="FS49" s="88"/>
      <c r="FT49" s="88"/>
      <c r="FU49" s="88"/>
      <c r="FV49" s="88"/>
      <c r="FW49" s="88"/>
      <c r="FX49" s="88"/>
      <c r="FY49" s="88"/>
      <c r="FZ49" s="88"/>
      <c r="GA49" s="88"/>
      <c r="GB49" s="88"/>
      <c r="GC49" s="88"/>
      <c r="GD49" s="88"/>
      <c r="GE49" s="88"/>
      <c r="GF49" s="88"/>
      <c r="GG49" s="88"/>
      <c r="GH49" s="88"/>
      <c r="GI49" s="88"/>
      <c r="GJ49" s="88"/>
      <c r="GK49" s="88"/>
      <c r="GL49" s="88"/>
      <c r="GM49" s="88"/>
      <c r="GN49" s="88"/>
      <c r="GO49" s="88"/>
    </row>
    <row r="50" s="67" customFormat="1" ht="24.65" customHeight="1" spans="1:197">
      <c r="A50" s="126">
        <v>28</v>
      </c>
      <c r="B50" s="116" t="s">
        <v>82</v>
      </c>
      <c r="C50" s="116" t="s">
        <v>28</v>
      </c>
      <c r="D50" s="116" t="s">
        <v>41</v>
      </c>
      <c r="E50" s="83" t="s">
        <v>57</v>
      </c>
      <c r="F50" s="117">
        <v>454.76</v>
      </c>
      <c r="G50" s="118">
        <v>19.97</v>
      </c>
      <c r="H50" s="76">
        <f t="shared" si="7"/>
        <v>0.90815572</v>
      </c>
      <c r="I50" s="76">
        <f>F50*13.62/10000</f>
        <v>0.61938312</v>
      </c>
      <c r="J50" s="76">
        <f>F50*6.38/10000</f>
        <v>0.29013688</v>
      </c>
      <c r="K50" s="76">
        <f>1.25*400/10000</f>
        <v>0.05</v>
      </c>
      <c r="L50" s="76">
        <f t="shared" si="11"/>
        <v>0.95952</v>
      </c>
      <c r="M50" s="76">
        <v>0</v>
      </c>
      <c r="N50" s="83"/>
      <c r="O50" s="84">
        <v>5</v>
      </c>
      <c r="P50" s="189" t="s">
        <v>21</v>
      </c>
      <c r="Q50" s="89">
        <v>0</v>
      </c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  <c r="DI50" s="88"/>
      <c r="DJ50" s="88"/>
      <c r="DK50" s="88"/>
      <c r="DL50" s="88"/>
      <c r="DM50" s="88"/>
      <c r="DN50" s="88"/>
      <c r="DO50" s="88"/>
      <c r="DP50" s="88"/>
      <c r="DQ50" s="88"/>
      <c r="DR50" s="88"/>
      <c r="DS50" s="88"/>
      <c r="DT50" s="88"/>
      <c r="DU50" s="88"/>
      <c r="DV50" s="88"/>
      <c r="DW50" s="88"/>
      <c r="DX50" s="88"/>
      <c r="DY50" s="88"/>
      <c r="DZ50" s="88"/>
      <c r="EA50" s="88"/>
      <c r="EB50" s="88"/>
      <c r="EC50" s="88"/>
      <c r="ED50" s="88"/>
      <c r="EE50" s="88"/>
      <c r="EF50" s="88"/>
      <c r="EG50" s="88"/>
      <c r="EH50" s="88"/>
      <c r="EI50" s="88"/>
      <c r="EJ50" s="88"/>
      <c r="EK50" s="88"/>
      <c r="EL50" s="88"/>
      <c r="EM50" s="88"/>
      <c r="EN50" s="88"/>
      <c r="EO50" s="88"/>
      <c r="EP50" s="88"/>
      <c r="EQ50" s="88"/>
      <c r="ER50" s="88"/>
      <c r="ES50" s="88"/>
      <c r="ET50" s="88"/>
      <c r="EU50" s="88"/>
      <c r="EV50" s="88"/>
      <c r="EW50" s="88"/>
      <c r="EX50" s="88"/>
      <c r="EY50" s="88"/>
      <c r="EZ50" s="88"/>
      <c r="FA50" s="88"/>
      <c r="FB50" s="88"/>
      <c r="FC50" s="88"/>
      <c r="FD50" s="88"/>
      <c r="FE50" s="88"/>
      <c r="FF50" s="88"/>
      <c r="FG50" s="88"/>
      <c r="FH50" s="88"/>
      <c r="FI50" s="88"/>
      <c r="FJ50" s="88"/>
      <c r="FK50" s="88"/>
      <c r="FL50" s="88"/>
      <c r="FM50" s="88"/>
      <c r="FN50" s="88"/>
      <c r="FO50" s="88"/>
      <c r="FP50" s="88"/>
      <c r="FQ50" s="88"/>
      <c r="FR50" s="88"/>
      <c r="FS50" s="88"/>
      <c r="FT50" s="88"/>
      <c r="FU50" s="88"/>
      <c r="FV50" s="88"/>
      <c r="FW50" s="88"/>
      <c r="FX50" s="88"/>
      <c r="FY50" s="88"/>
      <c r="FZ50" s="88"/>
      <c r="GA50" s="88"/>
      <c r="GB50" s="88"/>
      <c r="GC50" s="88"/>
      <c r="GD50" s="88"/>
      <c r="GE50" s="88"/>
      <c r="GF50" s="88"/>
      <c r="GG50" s="88"/>
      <c r="GH50" s="88"/>
      <c r="GI50" s="88"/>
      <c r="GJ50" s="88"/>
      <c r="GK50" s="88"/>
      <c r="GL50" s="88"/>
      <c r="GM50" s="88"/>
      <c r="GN50" s="88"/>
      <c r="GO50" s="88"/>
    </row>
    <row r="51" s="67" customFormat="1" ht="24.65" customHeight="1" spans="1:197">
      <c r="A51" s="126">
        <v>29</v>
      </c>
      <c r="B51" s="173" t="s">
        <v>83</v>
      </c>
      <c r="C51" s="173" t="s">
        <v>45</v>
      </c>
      <c r="D51" s="173" t="s">
        <v>42</v>
      </c>
      <c r="E51" s="177" t="s">
        <v>57</v>
      </c>
      <c r="F51" s="174">
        <v>313.88</v>
      </c>
      <c r="G51" s="175">
        <v>20.03</v>
      </c>
      <c r="H51" s="76">
        <f t="shared" si="7"/>
        <v>0.62870164</v>
      </c>
      <c r="I51" s="76">
        <f>F51*12.11/10000</f>
        <v>0.38010868</v>
      </c>
      <c r="J51" s="76">
        <f>F51*7.93/10000</f>
        <v>0.24890684</v>
      </c>
      <c r="K51" s="76">
        <f>1.7*300/10000</f>
        <v>0.051</v>
      </c>
      <c r="L51" s="76">
        <f t="shared" si="11"/>
        <v>0.68001552</v>
      </c>
      <c r="M51" s="76">
        <f>300*1*2/10000</f>
        <v>0.06</v>
      </c>
      <c r="N51" s="83"/>
      <c r="O51" s="84">
        <v>1</v>
      </c>
      <c r="P51" s="189" t="s">
        <v>21</v>
      </c>
      <c r="Q51" s="89">
        <v>0</v>
      </c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  <c r="FE51" s="88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8"/>
      <c r="FU51" s="88"/>
      <c r="FV51" s="88"/>
      <c r="FW51" s="88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8"/>
      <c r="GI51" s="88"/>
      <c r="GJ51" s="88"/>
      <c r="GK51" s="88"/>
      <c r="GL51" s="88"/>
      <c r="GM51" s="88"/>
      <c r="GN51" s="88"/>
      <c r="GO51" s="88"/>
    </row>
    <row r="52" s="135" customFormat="1" ht="19.9" customHeight="1" spans="1:17">
      <c r="A52" s="130" t="s">
        <v>53</v>
      </c>
      <c r="B52" s="131"/>
      <c r="C52" s="122">
        <f>COUNT(A26:A51)</f>
        <v>18</v>
      </c>
      <c r="D52" s="122"/>
      <c r="E52" s="122"/>
      <c r="F52" s="91">
        <f t="shared" ref="F52:O52" si="12">SUM(F26:F51)</f>
        <v>19337.2</v>
      </c>
      <c r="G52" s="91"/>
      <c r="H52" s="91">
        <f t="shared" si="12"/>
        <v>60.6281065</v>
      </c>
      <c r="I52" s="91">
        <f t="shared" si="12"/>
        <v>46.48803384</v>
      </c>
      <c r="J52" s="91">
        <f t="shared" si="12"/>
        <v>14.14961267</v>
      </c>
      <c r="K52" s="91">
        <f t="shared" si="12"/>
        <v>7.3145</v>
      </c>
      <c r="L52" s="91">
        <f t="shared" si="12"/>
        <v>67.95214651</v>
      </c>
      <c r="M52" s="91">
        <f t="shared" si="12"/>
        <v>2.82</v>
      </c>
      <c r="N52" s="91">
        <f t="shared" si="12"/>
        <v>1</v>
      </c>
      <c r="O52" s="91">
        <f t="shared" si="12"/>
        <v>148</v>
      </c>
      <c r="P52" s="122"/>
      <c r="Q52" s="122"/>
    </row>
    <row r="53" s="67" customFormat="1" ht="24.65" customHeight="1" spans="1:17">
      <c r="A53" s="71">
        <v>30</v>
      </c>
      <c r="B53" s="178" t="s">
        <v>62</v>
      </c>
      <c r="C53" s="83" t="s">
        <v>72</v>
      </c>
      <c r="D53" s="83" t="s">
        <v>58</v>
      </c>
      <c r="E53" s="177" t="s">
        <v>84</v>
      </c>
      <c r="F53" s="120">
        <v>450</v>
      </c>
      <c r="G53" s="83">
        <v>26.2</v>
      </c>
      <c r="H53" s="93">
        <f t="shared" ref="H53:H64" si="13">F53*G53/10000</f>
        <v>1.179</v>
      </c>
      <c r="I53" s="93">
        <f>F53*15/10000</f>
        <v>0.675</v>
      </c>
      <c r="J53" s="93">
        <f>F53*(3.6*2+2*2)/10000</f>
        <v>0.504</v>
      </c>
      <c r="K53" s="93">
        <f>200*10/10000</f>
        <v>0.2</v>
      </c>
      <c r="L53" s="93">
        <f>I53+J53+K53</f>
        <v>1.379</v>
      </c>
      <c r="M53" s="93">
        <f>80*4/10000</f>
        <v>0.032</v>
      </c>
      <c r="N53" s="83" t="s">
        <v>47</v>
      </c>
      <c r="O53" s="84">
        <v>0</v>
      </c>
      <c r="P53" s="83" t="s">
        <v>21</v>
      </c>
      <c r="Q53" s="83">
        <v>0</v>
      </c>
    </row>
    <row r="54" s="67" customFormat="1" ht="24.65" customHeight="1" spans="1:17">
      <c r="A54" s="77"/>
      <c r="B54" s="179"/>
      <c r="C54" s="180" t="s">
        <v>58</v>
      </c>
      <c r="D54" s="180" t="s">
        <v>85</v>
      </c>
      <c r="E54" s="177" t="s">
        <v>84</v>
      </c>
      <c r="F54" s="108">
        <v>1042.76</v>
      </c>
      <c r="G54" s="109">
        <v>10.59</v>
      </c>
      <c r="H54" s="76">
        <f t="shared" si="13"/>
        <v>1.10428284</v>
      </c>
      <c r="I54" s="76">
        <f>F54*9.85/10000</f>
        <v>1.0271186</v>
      </c>
      <c r="J54" s="76">
        <f>F54*0.74/10000</f>
        <v>0.07716424</v>
      </c>
      <c r="K54" s="76">
        <f>200*15/10000+116*25/10000</f>
        <v>0.59</v>
      </c>
      <c r="L54" s="76">
        <f t="shared" ref="L54:L59" si="14">SUM(I54:K54)</f>
        <v>1.69428284</v>
      </c>
      <c r="M54" s="76">
        <v>0</v>
      </c>
      <c r="N54" s="83"/>
      <c r="O54" s="84">
        <v>0</v>
      </c>
      <c r="P54" s="83" t="s">
        <v>21</v>
      </c>
      <c r="Q54" s="89">
        <f>1440*10/10000</f>
        <v>1.44</v>
      </c>
    </row>
    <row r="55" s="67" customFormat="1" ht="24.65" customHeight="1" spans="1:17">
      <c r="A55" s="126">
        <v>31</v>
      </c>
      <c r="B55" s="181" t="s">
        <v>86</v>
      </c>
      <c r="C55" s="181" t="s">
        <v>30</v>
      </c>
      <c r="D55" s="181" t="s">
        <v>87</v>
      </c>
      <c r="E55" s="177" t="s">
        <v>84</v>
      </c>
      <c r="F55" s="182">
        <v>1144.38</v>
      </c>
      <c r="G55" s="182">
        <v>11.935</v>
      </c>
      <c r="H55" s="183">
        <f t="shared" si="13"/>
        <v>1.36581753</v>
      </c>
      <c r="I55" s="183">
        <f>F55*8.64/10000</f>
        <v>0.98874432</v>
      </c>
      <c r="J55" s="183">
        <f>F55*3.29/10000</f>
        <v>0.37650102</v>
      </c>
      <c r="K55" s="183">
        <v>0.1757</v>
      </c>
      <c r="L55" s="190">
        <f t="shared" si="14"/>
        <v>1.54094534</v>
      </c>
      <c r="M55" s="190">
        <v>0</v>
      </c>
      <c r="N55" s="83"/>
      <c r="O55" s="84">
        <v>0</v>
      </c>
      <c r="P55" s="83" t="s">
        <v>21</v>
      </c>
      <c r="Q55" s="183">
        <v>0.0347785</v>
      </c>
    </row>
    <row r="56" s="67" customFormat="1" ht="24.65" customHeight="1" spans="1:17">
      <c r="A56" s="126">
        <v>32</v>
      </c>
      <c r="B56" s="94" t="s">
        <v>88</v>
      </c>
      <c r="C56" s="94" t="s">
        <v>35</v>
      </c>
      <c r="D56" s="94" t="s">
        <v>36</v>
      </c>
      <c r="E56" s="177" t="s">
        <v>84</v>
      </c>
      <c r="F56" s="93">
        <v>1000</v>
      </c>
      <c r="G56" s="93">
        <v>26</v>
      </c>
      <c r="H56" s="119">
        <f t="shared" si="13"/>
        <v>2.6</v>
      </c>
      <c r="I56" s="93">
        <f>1000*16/10000</f>
        <v>1.6</v>
      </c>
      <c r="J56" s="93">
        <f>1000*10/10000</f>
        <v>1</v>
      </c>
      <c r="K56" s="93">
        <f>1000*12/10000</f>
        <v>1.2</v>
      </c>
      <c r="L56" s="119">
        <f t="shared" ref="L56:L58" si="15">H56+K56</f>
        <v>3.8</v>
      </c>
      <c r="M56" s="94">
        <v>0</v>
      </c>
      <c r="N56" s="83"/>
      <c r="O56" s="84">
        <v>0</v>
      </c>
      <c r="P56" s="83" t="s">
        <v>21</v>
      </c>
      <c r="Q56" s="94">
        <v>0</v>
      </c>
    </row>
    <row r="57" s="67" customFormat="1" ht="24.65" customHeight="1" spans="1:17">
      <c r="A57" s="126">
        <v>33</v>
      </c>
      <c r="B57" s="94" t="s">
        <v>89</v>
      </c>
      <c r="C57" s="94" t="s">
        <v>35</v>
      </c>
      <c r="D57" s="94" t="s">
        <v>90</v>
      </c>
      <c r="E57" s="177" t="s">
        <v>84</v>
      </c>
      <c r="F57" s="93">
        <v>900</v>
      </c>
      <c r="G57" s="93">
        <v>26</v>
      </c>
      <c r="H57" s="119">
        <f t="shared" si="13"/>
        <v>2.34</v>
      </c>
      <c r="I57" s="93">
        <f>900*18/10000</f>
        <v>1.62</v>
      </c>
      <c r="J57" s="93">
        <f>900*8/10000</f>
        <v>0.72</v>
      </c>
      <c r="K57" s="93">
        <f>23*400/10000</f>
        <v>0.92</v>
      </c>
      <c r="L57" s="119">
        <f t="shared" si="15"/>
        <v>3.26</v>
      </c>
      <c r="M57" s="94">
        <v>0</v>
      </c>
      <c r="N57" s="83"/>
      <c r="O57" s="84">
        <v>0</v>
      </c>
      <c r="P57" s="83" t="s">
        <v>21</v>
      </c>
      <c r="Q57" s="94">
        <v>0</v>
      </c>
    </row>
    <row r="58" s="67" customFormat="1" ht="24.65" customHeight="1" spans="1:17">
      <c r="A58" s="126">
        <v>34</v>
      </c>
      <c r="B58" s="94" t="s">
        <v>91</v>
      </c>
      <c r="C58" s="94" t="s">
        <v>35</v>
      </c>
      <c r="D58" s="94" t="s">
        <v>36</v>
      </c>
      <c r="E58" s="177" t="s">
        <v>84</v>
      </c>
      <c r="F58" s="93">
        <v>930</v>
      </c>
      <c r="G58" s="93">
        <v>19</v>
      </c>
      <c r="H58" s="119">
        <f t="shared" si="13"/>
        <v>1.767</v>
      </c>
      <c r="I58" s="93">
        <f>930*13/10000</f>
        <v>1.209</v>
      </c>
      <c r="J58" s="93">
        <f>930*6/10000</f>
        <v>0.558</v>
      </c>
      <c r="K58" s="93">
        <f>930*6/10000</f>
        <v>0.558</v>
      </c>
      <c r="L58" s="119">
        <f t="shared" si="15"/>
        <v>2.325</v>
      </c>
      <c r="M58" s="94">
        <v>0</v>
      </c>
      <c r="N58" s="83"/>
      <c r="O58" s="84">
        <v>0</v>
      </c>
      <c r="P58" s="83" t="s">
        <v>21</v>
      </c>
      <c r="Q58" s="94">
        <v>0</v>
      </c>
    </row>
    <row r="59" s="67" customFormat="1" ht="24.65" customHeight="1" spans="1:17">
      <c r="A59" s="126">
        <v>35</v>
      </c>
      <c r="B59" s="180" t="s">
        <v>92</v>
      </c>
      <c r="C59" s="180" t="s">
        <v>48</v>
      </c>
      <c r="D59" s="180" t="s">
        <v>91</v>
      </c>
      <c r="E59" s="177" t="s">
        <v>84</v>
      </c>
      <c r="F59" s="108">
        <v>1577.92</v>
      </c>
      <c r="G59" s="109">
        <v>31.15</v>
      </c>
      <c r="H59" s="76">
        <f t="shared" si="13"/>
        <v>4.9152208</v>
      </c>
      <c r="I59" s="76">
        <f>F59*23.32/10000</f>
        <v>3.67970944</v>
      </c>
      <c r="J59" s="76">
        <f>F59*7.86/10000</f>
        <v>1.24024512</v>
      </c>
      <c r="K59" s="76">
        <f>(200*10+230*10)/10000</f>
        <v>0.43</v>
      </c>
      <c r="L59" s="76">
        <f t="shared" si="14"/>
        <v>5.34995456</v>
      </c>
      <c r="M59" s="76">
        <v>0</v>
      </c>
      <c r="N59" s="83"/>
      <c r="O59" s="84">
        <v>2</v>
      </c>
      <c r="P59" s="83" t="s">
        <v>21</v>
      </c>
      <c r="Q59" s="89">
        <v>0</v>
      </c>
    </row>
    <row r="60" s="136" customFormat="1" ht="19.9" customHeight="1" spans="1:17">
      <c r="A60" s="126">
        <v>36</v>
      </c>
      <c r="B60" s="184" t="s">
        <v>93</v>
      </c>
      <c r="C60" s="184" t="s">
        <v>87</v>
      </c>
      <c r="D60" s="184" t="s">
        <v>94</v>
      </c>
      <c r="E60" s="93" t="s">
        <v>84</v>
      </c>
      <c r="F60" s="93">
        <v>300</v>
      </c>
      <c r="G60" s="93">
        <v>24</v>
      </c>
      <c r="H60" s="93">
        <f t="shared" si="13"/>
        <v>0.72</v>
      </c>
      <c r="I60" s="93">
        <f>F60*12/10000</f>
        <v>0.36</v>
      </c>
      <c r="J60" s="93">
        <f>F60*4/10000</f>
        <v>0.12</v>
      </c>
      <c r="K60" s="93">
        <v>0</v>
      </c>
      <c r="L60" s="93">
        <f>H60+K60</f>
        <v>0.72</v>
      </c>
      <c r="M60" s="93">
        <v>0</v>
      </c>
      <c r="N60" s="83">
        <v>0</v>
      </c>
      <c r="O60" s="84">
        <v>0</v>
      </c>
      <c r="P60" s="93"/>
      <c r="Q60" s="93">
        <v>0</v>
      </c>
    </row>
    <row r="61" s="136" customFormat="1" ht="19.9" customHeight="1" spans="1:17">
      <c r="A61" s="126">
        <v>37</v>
      </c>
      <c r="B61" s="185" t="s">
        <v>95</v>
      </c>
      <c r="C61" s="186" t="s">
        <v>96</v>
      </c>
      <c r="D61" s="186" t="s">
        <v>30</v>
      </c>
      <c r="E61" s="93" t="s">
        <v>84</v>
      </c>
      <c r="F61" s="93">
        <v>572.28</v>
      </c>
      <c r="G61" s="93">
        <v>33.64</v>
      </c>
      <c r="H61" s="93">
        <f t="shared" si="13"/>
        <v>1.92514992</v>
      </c>
      <c r="I61" s="93">
        <f>F61*20/10000</f>
        <v>1.14456</v>
      </c>
      <c r="J61" s="93">
        <f>F61*4/10000</f>
        <v>0.228912</v>
      </c>
      <c r="K61" s="93">
        <v>0</v>
      </c>
      <c r="L61" s="93">
        <f>H61+K61</f>
        <v>1.92514992</v>
      </c>
      <c r="M61" s="93">
        <v>0</v>
      </c>
      <c r="N61" s="83">
        <v>0</v>
      </c>
      <c r="O61" s="84">
        <v>0</v>
      </c>
      <c r="P61" s="93"/>
      <c r="Q61" s="93">
        <v>0</v>
      </c>
    </row>
    <row r="62" s="136" customFormat="1" ht="19.9" customHeight="1" spans="1:17">
      <c r="A62" s="83">
        <v>38</v>
      </c>
      <c r="B62" s="83" t="s">
        <v>97</v>
      </c>
      <c r="C62" s="83" t="s">
        <v>58</v>
      </c>
      <c r="D62" s="83" t="s">
        <v>30</v>
      </c>
      <c r="E62" s="83" t="s">
        <v>84</v>
      </c>
      <c r="F62" s="83">
        <v>830</v>
      </c>
      <c r="G62" s="83">
        <v>24</v>
      </c>
      <c r="H62" s="97">
        <f t="shared" si="13"/>
        <v>1.992</v>
      </c>
      <c r="I62" s="93">
        <f t="shared" ref="I62:I66" si="16">F62*16/10000</f>
        <v>1.328</v>
      </c>
      <c r="J62" s="93">
        <f>830*4*2/10000</f>
        <v>0.664</v>
      </c>
      <c r="K62" s="93"/>
      <c r="L62" s="93">
        <f t="shared" ref="L62:L67" si="17">I62+J62+K62</f>
        <v>1.992</v>
      </c>
      <c r="M62" s="83"/>
      <c r="N62" s="83"/>
      <c r="O62" s="84"/>
      <c r="P62" s="83" t="s">
        <v>21</v>
      </c>
      <c r="Q62" s="83"/>
    </row>
    <row r="63" s="136" customFormat="1" ht="19.9" customHeight="1" spans="1:17">
      <c r="A63" s="83"/>
      <c r="B63" s="83"/>
      <c r="C63" s="83" t="s">
        <v>58</v>
      </c>
      <c r="D63" s="83" t="s">
        <v>98</v>
      </c>
      <c r="E63" s="83" t="s">
        <v>84</v>
      </c>
      <c r="F63" s="83">
        <v>600</v>
      </c>
      <c r="G63" s="83">
        <v>24</v>
      </c>
      <c r="H63" s="97">
        <f t="shared" si="13"/>
        <v>1.44</v>
      </c>
      <c r="I63" s="93">
        <f t="shared" si="16"/>
        <v>0.96</v>
      </c>
      <c r="J63" s="93">
        <f>600*4*2/10000</f>
        <v>0.48</v>
      </c>
      <c r="K63" s="93"/>
      <c r="L63" s="93">
        <v>1.5</v>
      </c>
      <c r="M63" s="83"/>
      <c r="N63" s="83"/>
      <c r="O63" s="84"/>
      <c r="P63" s="83" t="s">
        <v>21</v>
      </c>
      <c r="Q63" s="83"/>
    </row>
    <row r="64" s="136" customFormat="1" ht="19.9" customHeight="1" spans="1:17">
      <c r="A64" s="83"/>
      <c r="B64" s="83"/>
      <c r="C64" s="83" t="s">
        <v>98</v>
      </c>
      <c r="D64" s="83" t="s">
        <v>62</v>
      </c>
      <c r="E64" s="83" t="s">
        <v>84</v>
      </c>
      <c r="F64" s="83">
        <v>240</v>
      </c>
      <c r="G64" s="83">
        <v>34</v>
      </c>
      <c r="H64" s="97">
        <f t="shared" si="13"/>
        <v>0.816</v>
      </c>
      <c r="I64" s="93">
        <f>F64*24/10000</f>
        <v>0.576</v>
      </c>
      <c r="J64" s="93">
        <f>240*5*2/10000</f>
        <v>0.24</v>
      </c>
      <c r="K64" s="93"/>
      <c r="L64" s="93">
        <f t="shared" si="17"/>
        <v>0.816</v>
      </c>
      <c r="M64" s="83"/>
      <c r="N64" s="83"/>
      <c r="O64" s="84"/>
      <c r="P64" s="83" t="s">
        <v>21</v>
      </c>
      <c r="Q64" s="83"/>
    </row>
    <row r="65" s="136" customFormat="1" ht="19.9" customHeight="1" spans="1:17">
      <c r="A65" s="83"/>
      <c r="B65" s="83"/>
      <c r="C65" s="94" t="s">
        <v>97</v>
      </c>
      <c r="D65" s="94" t="s">
        <v>99</v>
      </c>
      <c r="E65" s="83" t="s">
        <v>84</v>
      </c>
      <c r="F65" s="94"/>
      <c r="G65" s="94"/>
      <c r="H65" s="99"/>
      <c r="I65" s="113"/>
      <c r="J65" s="113"/>
      <c r="K65" s="113">
        <f>70*12/10000</f>
        <v>0.084</v>
      </c>
      <c r="L65" s="93">
        <v>0.08</v>
      </c>
      <c r="M65" s="113"/>
      <c r="N65" s="83"/>
      <c r="O65" s="84"/>
      <c r="P65" s="83" t="s">
        <v>21</v>
      </c>
      <c r="Q65" s="83"/>
    </row>
    <row r="66" s="136" customFormat="1" ht="19.9" customHeight="1" spans="1:17">
      <c r="A66" s="83">
        <v>39</v>
      </c>
      <c r="B66" s="83" t="s">
        <v>100</v>
      </c>
      <c r="C66" s="83" t="s">
        <v>35</v>
      </c>
      <c r="D66" s="83" t="s">
        <v>97</v>
      </c>
      <c r="E66" s="83" t="s">
        <v>84</v>
      </c>
      <c r="F66" s="83">
        <v>1000</v>
      </c>
      <c r="G66" s="83">
        <v>24</v>
      </c>
      <c r="H66" s="97">
        <f t="shared" ref="H66:H77" si="18">F66*G66/10000</f>
        <v>2.4</v>
      </c>
      <c r="I66" s="93">
        <f t="shared" si="16"/>
        <v>1.6</v>
      </c>
      <c r="J66" s="93">
        <f>1000*4*2/10000</f>
        <v>0.8</v>
      </c>
      <c r="K66" s="93"/>
      <c r="L66" s="93">
        <f t="shared" si="17"/>
        <v>2.4</v>
      </c>
      <c r="M66" s="83"/>
      <c r="N66" s="83"/>
      <c r="O66" s="84"/>
      <c r="P66" s="83"/>
      <c r="Q66" s="83"/>
    </row>
    <row r="67" s="136" customFormat="1" ht="19.9" customHeight="1" spans="1:17">
      <c r="A67" s="83">
        <v>40</v>
      </c>
      <c r="B67" s="83" t="s">
        <v>101</v>
      </c>
      <c r="C67" s="83" t="s">
        <v>102</v>
      </c>
      <c r="D67" s="83" t="s">
        <v>88</v>
      </c>
      <c r="E67" s="83" t="s">
        <v>84</v>
      </c>
      <c r="F67" s="83">
        <v>360</v>
      </c>
      <c r="G67" s="83">
        <v>30</v>
      </c>
      <c r="H67" s="97">
        <f t="shared" si="18"/>
        <v>1.08</v>
      </c>
      <c r="I67" s="93">
        <f>F67*22/10000</f>
        <v>0.792</v>
      </c>
      <c r="J67" s="93">
        <f>360*4*2/10000</f>
        <v>0.288</v>
      </c>
      <c r="K67" s="93"/>
      <c r="L67" s="93">
        <f t="shared" si="17"/>
        <v>1.08</v>
      </c>
      <c r="M67" s="83"/>
      <c r="N67" s="83"/>
      <c r="O67" s="84"/>
      <c r="P67" s="83" t="s">
        <v>21</v>
      </c>
      <c r="Q67" s="83"/>
    </row>
    <row r="68" s="136" customFormat="1" ht="19.9" customHeight="1" spans="1:17">
      <c r="A68" s="83"/>
      <c r="B68" s="83"/>
      <c r="C68" s="94" t="s">
        <v>88</v>
      </c>
      <c r="D68" s="94" t="s">
        <v>58</v>
      </c>
      <c r="E68" s="83" t="s">
        <v>84</v>
      </c>
      <c r="F68" s="93">
        <v>400</v>
      </c>
      <c r="G68" s="93">
        <v>28</v>
      </c>
      <c r="H68" s="93">
        <f t="shared" si="18"/>
        <v>1.12</v>
      </c>
      <c r="I68" s="113">
        <f>400*21/10000</f>
        <v>0.84</v>
      </c>
      <c r="J68" s="113">
        <f>400*7/10000</f>
        <v>0.28</v>
      </c>
      <c r="K68" s="113">
        <f>400*13/10000</f>
        <v>0.52</v>
      </c>
      <c r="L68" s="93">
        <f>H68+K68</f>
        <v>1.64</v>
      </c>
      <c r="M68" s="119"/>
      <c r="N68" s="83"/>
      <c r="O68" s="84"/>
      <c r="P68" s="83" t="s">
        <v>21</v>
      </c>
      <c r="Q68" s="83"/>
    </row>
    <row r="69" s="136" customFormat="1" ht="44" customHeight="1" spans="1:17">
      <c r="A69" s="83">
        <v>41</v>
      </c>
      <c r="B69" s="94" t="s">
        <v>103</v>
      </c>
      <c r="C69" s="94" t="s">
        <v>95</v>
      </c>
      <c r="D69" s="94" t="s">
        <v>104</v>
      </c>
      <c r="E69" s="83" t="s">
        <v>84</v>
      </c>
      <c r="F69" s="93">
        <v>785</v>
      </c>
      <c r="G69" s="93">
        <v>24</v>
      </c>
      <c r="H69" s="93">
        <f t="shared" si="18"/>
        <v>1.884</v>
      </c>
      <c r="I69" s="113">
        <f>785*16/10000</f>
        <v>1.256</v>
      </c>
      <c r="J69" s="113">
        <f>785*8/10000</f>
        <v>0.628</v>
      </c>
      <c r="K69" s="113"/>
      <c r="L69" s="93">
        <f>H69+K69</f>
        <v>1.884</v>
      </c>
      <c r="M69" s="119"/>
      <c r="N69" s="83"/>
      <c r="O69" s="84"/>
      <c r="P69" s="83"/>
      <c r="Q69" s="83"/>
    </row>
    <row r="70" s="136" customFormat="1" ht="19.9" customHeight="1" spans="1:17">
      <c r="A70" s="71">
        <v>42</v>
      </c>
      <c r="B70" s="115" t="s">
        <v>36</v>
      </c>
      <c r="C70" s="193" t="s">
        <v>105</v>
      </c>
      <c r="D70" s="194"/>
      <c r="E70" s="83" t="s">
        <v>84</v>
      </c>
      <c r="F70" s="117">
        <v>197.46</v>
      </c>
      <c r="G70" s="118">
        <v>10.3</v>
      </c>
      <c r="H70" s="76">
        <f t="shared" si="18"/>
        <v>0.2033838</v>
      </c>
      <c r="I70" s="76">
        <f>F70*7.6/10000</f>
        <v>0.1500696</v>
      </c>
      <c r="J70" s="76">
        <f>F70*2.53/10000</f>
        <v>0.04995738</v>
      </c>
      <c r="K70" s="76">
        <f>70*10/10000</f>
        <v>0.07</v>
      </c>
      <c r="L70" s="76">
        <f t="shared" ref="L70:L73" si="19">SUM(I70:K70)</f>
        <v>0.27002698</v>
      </c>
      <c r="M70" s="76">
        <v>0</v>
      </c>
      <c r="N70" s="83"/>
      <c r="O70" s="84">
        <v>0</v>
      </c>
      <c r="P70" s="202"/>
      <c r="Q70" s="89">
        <v>0</v>
      </c>
    </row>
    <row r="71" s="136" customFormat="1" ht="19.9" customHeight="1" spans="1:17">
      <c r="A71" s="195"/>
      <c r="B71" s="196"/>
      <c r="C71" s="169" t="s">
        <v>106</v>
      </c>
      <c r="D71" s="169"/>
      <c r="E71" s="83" t="s">
        <v>84</v>
      </c>
      <c r="F71" s="151">
        <v>1520</v>
      </c>
      <c r="G71" s="152">
        <v>7.5</v>
      </c>
      <c r="H71" s="76">
        <f t="shared" si="18"/>
        <v>1.14</v>
      </c>
      <c r="I71" s="76">
        <f>F71*7.5/10000</f>
        <v>1.14</v>
      </c>
      <c r="J71" s="76">
        <f>F71*0/10000</f>
        <v>0</v>
      </c>
      <c r="K71" s="76">
        <v>0</v>
      </c>
      <c r="L71" s="76">
        <f t="shared" si="19"/>
        <v>1.14</v>
      </c>
      <c r="M71" s="76">
        <v>0</v>
      </c>
      <c r="N71" s="83"/>
      <c r="O71" s="84">
        <v>0</v>
      </c>
      <c r="P71" s="203"/>
      <c r="Q71" s="89">
        <v>0</v>
      </c>
    </row>
    <row r="72" s="136" customFormat="1" ht="19.9" customHeight="1" spans="1:17">
      <c r="A72" s="195"/>
      <c r="B72" s="196"/>
      <c r="C72" s="169" t="s">
        <v>107</v>
      </c>
      <c r="D72" s="169"/>
      <c r="E72" s="83" t="s">
        <v>84</v>
      </c>
      <c r="F72" s="151">
        <v>200</v>
      </c>
      <c r="G72" s="152">
        <v>9</v>
      </c>
      <c r="H72" s="76">
        <f t="shared" si="18"/>
        <v>0.18</v>
      </c>
      <c r="I72" s="76">
        <f>F72*7/10000</f>
        <v>0.14</v>
      </c>
      <c r="J72" s="76">
        <f>F72*2/10000</f>
        <v>0.04</v>
      </c>
      <c r="K72" s="76">
        <v>0</v>
      </c>
      <c r="L72" s="76">
        <f t="shared" si="19"/>
        <v>0.18</v>
      </c>
      <c r="M72" s="76">
        <v>0</v>
      </c>
      <c r="N72" s="83"/>
      <c r="O72" s="84">
        <v>0</v>
      </c>
      <c r="P72" s="203"/>
      <c r="Q72" s="89">
        <v>0</v>
      </c>
    </row>
    <row r="73" s="136" customFormat="1" ht="19.9" customHeight="1" spans="1:17">
      <c r="A73" s="195"/>
      <c r="B73" s="196"/>
      <c r="C73" s="180" t="s">
        <v>48</v>
      </c>
      <c r="D73" s="180" t="s">
        <v>30</v>
      </c>
      <c r="E73" s="83" t="s">
        <v>84</v>
      </c>
      <c r="F73" s="108">
        <v>2434.76</v>
      </c>
      <c r="G73" s="109">
        <v>42.88</v>
      </c>
      <c r="H73" s="76">
        <f t="shared" si="18"/>
        <v>10.44025088</v>
      </c>
      <c r="I73" s="76">
        <f>F73*42.67/10000</f>
        <v>10.38912092</v>
      </c>
      <c r="J73" s="76">
        <f>F73*0.21/10000</f>
        <v>0.05112996</v>
      </c>
      <c r="K73" s="76">
        <f>6.35*2000/10000</f>
        <v>1.27</v>
      </c>
      <c r="L73" s="76">
        <f t="shared" si="19"/>
        <v>11.71025088</v>
      </c>
      <c r="M73" s="76">
        <f>17.42*2400/10000</f>
        <v>4.1808</v>
      </c>
      <c r="N73" s="83"/>
      <c r="O73" s="84">
        <v>1</v>
      </c>
      <c r="P73" s="203"/>
      <c r="Q73" s="89">
        <v>0</v>
      </c>
    </row>
    <row r="74" s="136" customFormat="1" ht="19.9" customHeight="1" spans="1:17">
      <c r="A74" s="77"/>
      <c r="B74" s="116"/>
      <c r="C74" s="197" t="s">
        <v>66</v>
      </c>
      <c r="D74" s="198"/>
      <c r="E74" s="83" t="s">
        <v>84</v>
      </c>
      <c r="F74" s="93">
        <v>600</v>
      </c>
      <c r="G74" s="93">
        <v>8</v>
      </c>
      <c r="H74" s="93">
        <f t="shared" si="18"/>
        <v>0.48</v>
      </c>
      <c r="I74" s="93">
        <f>F74*G74/10000</f>
        <v>0.48</v>
      </c>
      <c r="J74" s="93">
        <v>0</v>
      </c>
      <c r="K74" s="93">
        <v>0</v>
      </c>
      <c r="L74" s="93">
        <f>I74+J74+K74</f>
        <v>0.48</v>
      </c>
      <c r="M74" s="93">
        <v>0</v>
      </c>
      <c r="N74" s="83"/>
      <c r="O74" s="84"/>
      <c r="P74" s="93"/>
      <c r="Q74" s="93"/>
    </row>
    <row r="75" s="136" customFormat="1" ht="19.9" customHeight="1" spans="1:17">
      <c r="A75" s="95">
        <v>43</v>
      </c>
      <c r="B75" s="116" t="s">
        <v>108</v>
      </c>
      <c r="C75" s="93" t="s">
        <v>48</v>
      </c>
      <c r="D75" s="113" t="s">
        <v>36</v>
      </c>
      <c r="E75" s="83" t="s">
        <v>84</v>
      </c>
      <c r="F75" s="93">
        <v>500</v>
      </c>
      <c r="G75" s="93">
        <v>8</v>
      </c>
      <c r="H75" s="93">
        <f t="shared" si="18"/>
        <v>0.4</v>
      </c>
      <c r="I75" s="93">
        <f>H75</f>
        <v>0.4</v>
      </c>
      <c r="J75" s="93">
        <v>0</v>
      </c>
      <c r="K75" s="93">
        <v>0</v>
      </c>
      <c r="L75" s="93">
        <f>SUM(I75:K75)</f>
        <v>0.4</v>
      </c>
      <c r="M75" s="93">
        <v>0</v>
      </c>
      <c r="N75" s="83">
        <v>0</v>
      </c>
      <c r="O75" s="84">
        <v>0</v>
      </c>
      <c r="P75" s="93"/>
      <c r="Q75" s="93">
        <v>0</v>
      </c>
    </row>
    <row r="76" s="136" customFormat="1" ht="19.9" customHeight="1" spans="1:17">
      <c r="A76" s="126">
        <v>44</v>
      </c>
      <c r="B76" s="94" t="s">
        <v>87</v>
      </c>
      <c r="C76" s="94" t="s">
        <v>95</v>
      </c>
      <c r="D76" s="94" t="s">
        <v>86</v>
      </c>
      <c r="E76" s="83" t="s">
        <v>84</v>
      </c>
      <c r="F76" s="93">
        <v>1400</v>
      </c>
      <c r="G76" s="93">
        <v>20</v>
      </c>
      <c r="H76" s="93">
        <f t="shared" si="18"/>
        <v>2.8</v>
      </c>
      <c r="I76" s="128">
        <f>1400*16/10000</f>
        <v>2.24</v>
      </c>
      <c r="J76" s="93">
        <f>1400*4/10000</f>
        <v>0.56</v>
      </c>
      <c r="K76" s="93">
        <v>0</v>
      </c>
      <c r="L76" s="93">
        <f>I76+J76+K76</f>
        <v>2.8</v>
      </c>
      <c r="M76" s="93">
        <f>1400*2/10000</f>
        <v>0.28</v>
      </c>
      <c r="N76" s="83"/>
      <c r="O76" s="84">
        <v>0</v>
      </c>
      <c r="P76" s="94"/>
      <c r="Q76" s="94">
        <v>0</v>
      </c>
    </row>
    <row r="77" s="136" customFormat="1" ht="19.9" customHeight="1" spans="1:17">
      <c r="A77" s="126">
        <v>45</v>
      </c>
      <c r="B77" s="116" t="s">
        <v>109</v>
      </c>
      <c r="C77" s="116" t="s">
        <v>41</v>
      </c>
      <c r="D77" s="116" t="s">
        <v>110</v>
      </c>
      <c r="E77" s="116" t="s">
        <v>84</v>
      </c>
      <c r="F77" s="117">
        <v>758.18</v>
      </c>
      <c r="G77" s="118">
        <v>21.78</v>
      </c>
      <c r="H77" s="76">
        <f t="shared" si="18"/>
        <v>1.65131604</v>
      </c>
      <c r="I77" s="76">
        <f>F77*14.67/10000</f>
        <v>1.11225006</v>
      </c>
      <c r="J77" s="76">
        <f>F77*7.11/10000</f>
        <v>0.53906598</v>
      </c>
      <c r="K77" s="76">
        <f>1200*9/10000</f>
        <v>1.08</v>
      </c>
      <c r="L77" s="76">
        <f>SUM(I77:K77)</f>
        <v>2.73131604</v>
      </c>
      <c r="M77" s="76">
        <f>2.5*1000/10000</f>
        <v>0.25</v>
      </c>
      <c r="N77" s="83"/>
      <c r="O77" s="84">
        <v>16</v>
      </c>
      <c r="P77" s="203" t="s">
        <v>21</v>
      </c>
      <c r="Q77" s="89">
        <v>0</v>
      </c>
    </row>
    <row r="78" s="137" customFormat="1" ht="17.25" customHeight="1" spans="1:216">
      <c r="A78" s="199" t="s">
        <v>53</v>
      </c>
      <c r="B78" s="200"/>
      <c r="C78" s="122">
        <f>COUNT(A53:A77)</f>
        <v>16</v>
      </c>
      <c r="D78" s="201"/>
      <c r="E78" s="122"/>
      <c r="F78" s="91">
        <f>SUM(F53:F77)</f>
        <v>19742.74</v>
      </c>
      <c r="G78" s="91"/>
      <c r="H78" s="91">
        <f t="shared" ref="H78:O78" si="20">SUM(H53:H77)</f>
        <v>45.94342181</v>
      </c>
      <c r="I78" s="91">
        <f t="shared" si="20"/>
        <v>35.70757294</v>
      </c>
      <c r="J78" s="91">
        <f t="shared" si="20"/>
        <v>9.4449757</v>
      </c>
      <c r="K78" s="91">
        <f t="shared" si="20"/>
        <v>7.0977</v>
      </c>
      <c r="L78" s="91">
        <f t="shared" si="20"/>
        <v>53.09792656</v>
      </c>
      <c r="M78" s="91">
        <f t="shared" si="20"/>
        <v>4.7428</v>
      </c>
      <c r="N78" s="122">
        <f t="shared" si="20"/>
        <v>0</v>
      </c>
      <c r="O78" s="204">
        <f t="shared" si="20"/>
        <v>19</v>
      </c>
      <c r="P78" s="205"/>
      <c r="Q78" s="205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8"/>
      <c r="FX78" s="88"/>
      <c r="FY78" s="88"/>
      <c r="FZ78" s="88"/>
      <c r="GA78" s="88"/>
      <c r="GB78" s="88"/>
      <c r="GC78" s="88"/>
      <c r="GD78" s="88"/>
      <c r="GE78" s="88"/>
      <c r="GF78" s="88"/>
      <c r="GG78" s="88"/>
      <c r="GH78" s="88"/>
      <c r="GI78" s="88"/>
      <c r="GJ78" s="88"/>
      <c r="GK78" s="88"/>
      <c r="GL78" s="88"/>
      <c r="GM78" s="88"/>
      <c r="GN78" s="88"/>
      <c r="GO78" s="88"/>
      <c r="GP78" s="88"/>
      <c r="GQ78" s="88"/>
      <c r="GR78" s="88"/>
      <c r="GS78" s="88"/>
      <c r="GT78" s="88"/>
      <c r="GU78" s="88"/>
      <c r="GV78" s="88"/>
      <c r="GW78" s="88"/>
      <c r="GX78" s="88"/>
      <c r="GY78" s="88"/>
      <c r="GZ78" s="88"/>
      <c r="HA78" s="88"/>
      <c r="HB78" s="88"/>
      <c r="HC78" s="88"/>
      <c r="HD78" s="88"/>
      <c r="HE78" s="88"/>
      <c r="HF78" s="88"/>
      <c r="HG78" s="88"/>
      <c r="HH78" s="88"/>
    </row>
    <row r="79" s="68" customFormat="1" ht="24" customHeight="1" spans="1:17">
      <c r="A79" s="78" t="s">
        <v>111</v>
      </c>
      <c r="B79" s="78"/>
      <c r="C79" s="79">
        <f t="shared" ref="C79:O79" si="21">C78+C52+C25</f>
        <v>45</v>
      </c>
      <c r="D79" s="80"/>
      <c r="E79" s="81"/>
      <c r="F79" s="82">
        <f t="shared" si="21"/>
        <v>57485.75</v>
      </c>
      <c r="G79" s="82"/>
      <c r="H79" s="82">
        <f>H78+H52+H25</f>
        <v>165.86048667</v>
      </c>
      <c r="I79" s="82">
        <f t="shared" si="21"/>
        <v>130.4470667</v>
      </c>
      <c r="J79" s="82">
        <f t="shared" si="21"/>
        <v>34.64450519</v>
      </c>
      <c r="K79" s="82">
        <f t="shared" si="21"/>
        <v>21.156</v>
      </c>
      <c r="L79" s="82">
        <f t="shared" si="21"/>
        <v>187.09524981</v>
      </c>
      <c r="M79" s="82">
        <f t="shared" si="21"/>
        <v>12.2728</v>
      </c>
      <c r="N79" s="82">
        <f t="shared" si="21"/>
        <v>5</v>
      </c>
      <c r="O79" s="82">
        <f t="shared" si="21"/>
        <v>430</v>
      </c>
      <c r="P79" s="82"/>
      <c r="Q79" s="82">
        <f>Q78+Q70+Q37</f>
        <v>0</v>
      </c>
    </row>
  </sheetData>
  <mergeCells count="47">
    <mergeCell ref="C4:D4"/>
    <mergeCell ref="C12:D12"/>
    <mergeCell ref="C13:D13"/>
    <mergeCell ref="C18:D18"/>
    <mergeCell ref="C20:D20"/>
    <mergeCell ref="C21:D21"/>
    <mergeCell ref="C22:D22"/>
    <mergeCell ref="C23:D23"/>
    <mergeCell ref="A25:B25"/>
    <mergeCell ref="C33:D33"/>
    <mergeCell ref="C34:D34"/>
    <mergeCell ref="A52:B52"/>
    <mergeCell ref="C70:D70"/>
    <mergeCell ref="C71:D71"/>
    <mergeCell ref="C72:D72"/>
    <mergeCell ref="C74:D74"/>
    <mergeCell ref="A78:B78"/>
    <mergeCell ref="A79:B79"/>
    <mergeCell ref="C79:D79"/>
    <mergeCell ref="A4:A7"/>
    <mergeCell ref="A8:A10"/>
    <mergeCell ref="A12:A14"/>
    <mergeCell ref="A18:A23"/>
    <mergeCell ref="A26:A28"/>
    <mergeCell ref="A29:A30"/>
    <mergeCell ref="A33:A35"/>
    <mergeCell ref="A38:A39"/>
    <mergeCell ref="A40:A41"/>
    <mergeCell ref="A44:A45"/>
    <mergeCell ref="A53:A54"/>
    <mergeCell ref="A62:A65"/>
    <mergeCell ref="A67:A68"/>
    <mergeCell ref="A70:A74"/>
    <mergeCell ref="B4:B7"/>
    <mergeCell ref="B8:B10"/>
    <mergeCell ref="B12:B14"/>
    <mergeCell ref="B18:B23"/>
    <mergeCell ref="B26:B28"/>
    <mergeCell ref="B29:B30"/>
    <mergeCell ref="B33:B35"/>
    <mergeCell ref="B38:B39"/>
    <mergeCell ref="B40:B41"/>
    <mergeCell ref="B44:B45"/>
    <mergeCell ref="B53:B54"/>
    <mergeCell ref="B62:B65"/>
    <mergeCell ref="B67:B68"/>
    <mergeCell ref="B70:B7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1"/>
  <sheetViews>
    <sheetView topLeftCell="A57" workbookViewId="0">
      <selection activeCell="O40" sqref="O40"/>
    </sheetView>
  </sheetViews>
  <sheetFormatPr defaultColWidth="9" defaultRowHeight="15"/>
  <cols>
    <col min="1" max="1" width="9.09090909090909" style="90"/>
    <col min="2" max="2" width="9" style="90"/>
    <col min="3" max="3" width="9.09090909090909" style="90"/>
    <col min="4" max="5" width="9" style="90"/>
    <col min="6" max="6" width="9.36363636363636" style="90"/>
    <col min="7" max="13" width="9.09090909090909" style="90"/>
    <col min="14" max="16384" width="9" style="90"/>
  </cols>
  <sheetData>
    <row r="1" ht="19" spans="1:13">
      <c r="A1" s="69" t="s">
        <v>0</v>
      </c>
      <c r="B1" s="69" t="s">
        <v>112</v>
      </c>
      <c r="C1" s="69" t="s">
        <v>113</v>
      </c>
      <c r="D1" s="69" t="s">
        <v>114</v>
      </c>
      <c r="E1" s="69" t="s">
        <v>4</v>
      </c>
      <c r="F1" s="91" t="s">
        <v>115</v>
      </c>
      <c r="G1" s="91" t="s">
        <v>116</v>
      </c>
      <c r="H1" s="91" t="s">
        <v>117</v>
      </c>
      <c r="I1" s="91" t="s">
        <v>8</v>
      </c>
      <c r="J1" s="91" t="s">
        <v>9</v>
      </c>
      <c r="K1" s="91" t="s">
        <v>10</v>
      </c>
      <c r="L1" s="91" t="s">
        <v>118</v>
      </c>
      <c r="M1" s="91" t="s">
        <v>12</v>
      </c>
    </row>
    <row r="2" spans="1:13">
      <c r="A2" s="83">
        <v>1</v>
      </c>
      <c r="B2" s="83" t="s">
        <v>119</v>
      </c>
      <c r="C2" s="83" t="s">
        <v>18</v>
      </c>
      <c r="D2" s="83" t="s">
        <v>19</v>
      </c>
      <c r="E2" s="92" t="s">
        <v>120</v>
      </c>
      <c r="F2" s="83">
        <v>500</v>
      </c>
      <c r="G2" s="83">
        <v>15</v>
      </c>
      <c r="H2" s="93">
        <f t="shared" ref="H2:H5" si="0">F2*G2/10000</f>
        <v>0.75</v>
      </c>
      <c r="I2" s="97">
        <f t="shared" ref="I2:I13" si="1">F2*G2/10000</f>
        <v>0.75</v>
      </c>
      <c r="J2" s="83"/>
      <c r="K2" s="83">
        <f>50*4/10000</f>
        <v>0.02</v>
      </c>
      <c r="L2" s="97">
        <f t="shared" ref="L2:L5" si="2">I2+J2+K2</f>
        <v>0.77</v>
      </c>
      <c r="M2" s="83"/>
    </row>
    <row r="3" spans="1:13">
      <c r="A3" s="83"/>
      <c r="B3" s="83"/>
      <c r="C3" s="94" t="s">
        <v>121</v>
      </c>
      <c r="D3" s="94" t="s">
        <v>122</v>
      </c>
      <c r="E3" s="92"/>
      <c r="F3" s="94"/>
      <c r="G3" s="94"/>
      <c r="H3" s="94"/>
      <c r="I3" s="119"/>
      <c r="J3" s="119"/>
      <c r="K3" s="93">
        <f>100*7/10000</f>
        <v>0.07</v>
      </c>
      <c r="L3" s="93">
        <v>0.07</v>
      </c>
      <c r="M3" s="119"/>
    </row>
    <row r="4" spans="1:13">
      <c r="A4" s="83">
        <v>2</v>
      </c>
      <c r="B4" s="83" t="s">
        <v>123</v>
      </c>
      <c r="C4" s="83" t="s">
        <v>37</v>
      </c>
      <c r="D4" s="83" t="s">
        <v>124</v>
      </c>
      <c r="E4" s="92"/>
      <c r="F4" s="83">
        <v>400</v>
      </c>
      <c r="G4" s="83">
        <v>10</v>
      </c>
      <c r="H4" s="93">
        <f t="shared" si="0"/>
        <v>0.4</v>
      </c>
      <c r="I4" s="97">
        <f t="shared" si="1"/>
        <v>0.4</v>
      </c>
      <c r="J4" s="83"/>
      <c r="K4" s="83"/>
      <c r="L4" s="97">
        <f t="shared" si="2"/>
        <v>0.4</v>
      </c>
      <c r="M4" s="83"/>
    </row>
    <row r="5" spans="1:13">
      <c r="A5" s="83">
        <v>3</v>
      </c>
      <c r="B5" s="83" t="s">
        <v>125</v>
      </c>
      <c r="C5" s="83" t="s">
        <v>17</v>
      </c>
      <c r="D5" s="83" t="s">
        <v>124</v>
      </c>
      <c r="E5" s="92"/>
      <c r="F5" s="83">
        <v>400</v>
      </c>
      <c r="G5" s="83">
        <v>15</v>
      </c>
      <c r="H5" s="93">
        <f t="shared" si="0"/>
        <v>0.6</v>
      </c>
      <c r="I5" s="97">
        <f>400*11/10000</f>
        <v>0.44</v>
      </c>
      <c r="J5" s="83">
        <f>400*2*2/10000</f>
        <v>0.16</v>
      </c>
      <c r="K5" s="83"/>
      <c r="L5" s="97">
        <f t="shared" si="2"/>
        <v>0.6</v>
      </c>
      <c r="M5" s="83"/>
    </row>
    <row r="6" ht="19" spans="1:13">
      <c r="A6" s="95"/>
      <c r="B6" s="95"/>
      <c r="C6" s="94" t="s">
        <v>126</v>
      </c>
      <c r="D6" s="94" t="s">
        <v>127</v>
      </c>
      <c r="E6" s="92"/>
      <c r="F6" s="94"/>
      <c r="G6" s="94"/>
      <c r="H6" s="94"/>
      <c r="I6" s="120" t="s">
        <v>47</v>
      </c>
      <c r="J6" s="119"/>
      <c r="K6" s="93">
        <f>110*5/10000</f>
        <v>0.055</v>
      </c>
      <c r="L6" s="93">
        <v>0.06</v>
      </c>
      <c r="M6" s="119"/>
    </row>
    <row r="7" spans="1:13">
      <c r="A7" s="83">
        <v>4</v>
      </c>
      <c r="B7" s="83" t="s">
        <v>128</v>
      </c>
      <c r="C7" s="83" t="s">
        <v>45</v>
      </c>
      <c r="D7" s="83" t="s">
        <v>42</v>
      </c>
      <c r="E7" s="92"/>
      <c r="F7" s="83">
        <v>110</v>
      </c>
      <c r="G7" s="83">
        <v>11.6</v>
      </c>
      <c r="H7" s="93">
        <f t="shared" ref="H7:H35" si="3">F7*G7/10000</f>
        <v>0.1276</v>
      </c>
      <c r="I7" s="97">
        <f t="shared" si="1"/>
        <v>0.1276</v>
      </c>
      <c r="J7" s="83"/>
      <c r="K7" s="83"/>
      <c r="L7" s="97">
        <f t="shared" ref="L7:L24" si="4">I7+J7+K7</f>
        <v>0.1276</v>
      </c>
      <c r="M7" s="83"/>
    </row>
    <row r="8" spans="1:13">
      <c r="A8" s="83">
        <v>5</v>
      </c>
      <c r="B8" s="83" t="s">
        <v>129</v>
      </c>
      <c r="C8" s="83" t="s">
        <v>130</v>
      </c>
      <c r="D8" s="83" t="s">
        <v>131</v>
      </c>
      <c r="E8" s="92"/>
      <c r="F8" s="83">
        <v>100</v>
      </c>
      <c r="G8" s="83">
        <v>15</v>
      </c>
      <c r="H8" s="93">
        <f t="shared" si="3"/>
        <v>0.15</v>
      </c>
      <c r="I8" s="97">
        <f t="shared" si="1"/>
        <v>0.15</v>
      </c>
      <c r="J8" s="83"/>
      <c r="K8" s="83"/>
      <c r="L8" s="97">
        <f t="shared" si="4"/>
        <v>0.15</v>
      </c>
      <c r="M8" s="83"/>
    </row>
    <row r="9" ht="19" spans="1:13">
      <c r="A9" s="95">
        <v>6</v>
      </c>
      <c r="B9" s="83" t="s">
        <v>132</v>
      </c>
      <c r="C9" s="83" t="s">
        <v>133</v>
      </c>
      <c r="D9" s="83" t="s">
        <v>134</v>
      </c>
      <c r="E9" s="92"/>
      <c r="F9" s="83">
        <v>500</v>
      </c>
      <c r="G9" s="83">
        <v>15</v>
      </c>
      <c r="H9" s="93">
        <f t="shared" si="3"/>
        <v>0.75</v>
      </c>
      <c r="I9" s="97">
        <f t="shared" si="1"/>
        <v>0.75</v>
      </c>
      <c r="J9" s="83"/>
      <c r="K9" s="83"/>
      <c r="L9" s="97">
        <f t="shared" si="4"/>
        <v>0.75</v>
      </c>
      <c r="M9" s="83"/>
    </row>
    <row r="10" ht="19" spans="1:13">
      <c r="A10" s="96"/>
      <c r="B10" s="83"/>
      <c r="C10" s="83" t="s">
        <v>133</v>
      </c>
      <c r="D10" s="83" t="s">
        <v>135</v>
      </c>
      <c r="E10" s="92"/>
      <c r="F10" s="83">
        <v>300</v>
      </c>
      <c r="G10" s="83">
        <v>15</v>
      </c>
      <c r="H10" s="93">
        <f t="shared" si="3"/>
        <v>0.45</v>
      </c>
      <c r="I10" s="97">
        <f t="shared" si="1"/>
        <v>0.45</v>
      </c>
      <c r="J10" s="83"/>
      <c r="K10" s="83"/>
      <c r="L10" s="97">
        <f t="shared" si="4"/>
        <v>0.45</v>
      </c>
      <c r="M10" s="83"/>
    </row>
    <row r="11" ht="19" spans="1:13">
      <c r="A11" s="83">
        <v>7</v>
      </c>
      <c r="B11" s="83" t="s">
        <v>136</v>
      </c>
      <c r="C11" s="83" t="s">
        <v>137</v>
      </c>
      <c r="D11" s="83" t="s">
        <v>134</v>
      </c>
      <c r="E11" s="92"/>
      <c r="F11" s="83">
        <v>300</v>
      </c>
      <c r="G11" s="83">
        <v>6</v>
      </c>
      <c r="H11" s="93">
        <f t="shared" si="3"/>
        <v>0.18</v>
      </c>
      <c r="I11" s="97">
        <f t="shared" si="1"/>
        <v>0.18</v>
      </c>
      <c r="J11" s="83"/>
      <c r="K11" s="83"/>
      <c r="L11" s="97">
        <f t="shared" si="4"/>
        <v>0.18</v>
      </c>
      <c r="M11" s="83"/>
    </row>
    <row r="12" ht="19" spans="1:13">
      <c r="A12" s="83">
        <v>8</v>
      </c>
      <c r="B12" s="83" t="s">
        <v>138</v>
      </c>
      <c r="C12" s="83" t="s">
        <v>42</v>
      </c>
      <c r="D12" s="83" t="s">
        <v>139</v>
      </c>
      <c r="E12" s="92"/>
      <c r="F12" s="83">
        <v>57</v>
      </c>
      <c r="G12" s="83">
        <v>24</v>
      </c>
      <c r="H12" s="93">
        <f t="shared" si="3"/>
        <v>0.1368</v>
      </c>
      <c r="I12" s="97">
        <f t="shared" si="1"/>
        <v>0.1368</v>
      </c>
      <c r="J12" s="83"/>
      <c r="K12" s="83"/>
      <c r="L12" s="97">
        <f t="shared" si="4"/>
        <v>0.1368</v>
      </c>
      <c r="M12" s="83"/>
    </row>
    <row r="13" ht="19" spans="1:13">
      <c r="A13" s="83">
        <v>9</v>
      </c>
      <c r="B13" s="83" t="s">
        <v>140</v>
      </c>
      <c r="C13" s="83" t="s">
        <v>141</v>
      </c>
      <c r="D13" s="83" t="s">
        <v>142</v>
      </c>
      <c r="E13" s="92"/>
      <c r="F13" s="83">
        <v>300</v>
      </c>
      <c r="G13" s="83">
        <v>12</v>
      </c>
      <c r="H13" s="93">
        <f t="shared" si="3"/>
        <v>0.36</v>
      </c>
      <c r="I13" s="97">
        <f t="shared" si="1"/>
        <v>0.36</v>
      </c>
      <c r="J13" s="93"/>
      <c r="K13" s="83">
        <f>20*20/10000</f>
        <v>0.04</v>
      </c>
      <c r="L13" s="93">
        <f t="shared" si="4"/>
        <v>0.4</v>
      </c>
      <c r="M13" s="83"/>
    </row>
    <row r="14" ht="19" spans="1:13">
      <c r="A14" s="83">
        <v>10</v>
      </c>
      <c r="B14" s="83" t="s">
        <v>143</v>
      </c>
      <c r="C14" s="83" t="s">
        <v>142</v>
      </c>
      <c r="D14" s="83" t="s">
        <v>144</v>
      </c>
      <c r="E14" s="92"/>
      <c r="F14" s="83">
        <v>500</v>
      </c>
      <c r="G14" s="83">
        <v>10</v>
      </c>
      <c r="H14" s="93">
        <f t="shared" si="3"/>
        <v>0.5</v>
      </c>
      <c r="I14" s="97">
        <f>500*6/10000</f>
        <v>0.3</v>
      </c>
      <c r="J14" s="93">
        <f>500*2*2/10000</f>
        <v>0.2</v>
      </c>
      <c r="K14" s="83"/>
      <c r="L14" s="93">
        <f t="shared" si="4"/>
        <v>0.5</v>
      </c>
      <c r="M14" s="83"/>
    </row>
    <row r="15" ht="28.5" spans="1:13">
      <c r="A15" s="83">
        <v>11</v>
      </c>
      <c r="B15" s="83" t="s">
        <v>145</v>
      </c>
      <c r="C15" s="83" t="s">
        <v>146</v>
      </c>
      <c r="D15" s="83" t="s">
        <v>147</v>
      </c>
      <c r="E15" s="92"/>
      <c r="F15" s="83">
        <v>200</v>
      </c>
      <c r="G15" s="83">
        <v>14</v>
      </c>
      <c r="H15" s="93">
        <f t="shared" si="3"/>
        <v>0.28</v>
      </c>
      <c r="I15" s="97">
        <f t="shared" ref="I15:I21" si="5">F15*G15/10000</f>
        <v>0.28</v>
      </c>
      <c r="J15" s="93"/>
      <c r="K15" s="83"/>
      <c r="L15" s="93">
        <f t="shared" si="4"/>
        <v>0.28</v>
      </c>
      <c r="M15" s="83"/>
    </row>
    <row r="16" spans="1:13">
      <c r="A16" s="95">
        <v>12</v>
      </c>
      <c r="B16" s="95" t="s">
        <v>148</v>
      </c>
      <c r="C16" s="95" t="s">
        <v>141</v>
      </c>
      <c r="D16" s="95" t="s">
        <v>144</v>
      </c>
      <c r="E16" s="92"/>
      <c r="F16" s="83">
        <v>250</v>
      </c>
      <c r="G16" s="83">
        <v>14</v>
      </c>
      <c r="H16" s="93">
        <f t="shared" si="3"/>
        <v>0.35</v>
      </c>
      <c r="I16" s="97">
        <f>250*10/10000</f>
        <v>0.25</v>
      </c>
      <c r="J16" s="93">
        <f>250*2*2/10000</f>
        <v>0.1</v>
      </c>
      <c r="K16" s="83"/>
      <c r="L16" s="93">
        <f t="shared" si="4"/>
        <v>0.35</v>
      </c>
      <c r="M16" s="83"/>
    </row>
    <row r="17" spans="1:13">
      <c r="A17" s="96"/>
      <c r="B17" s="96"/>
      <c r="C17" s="96"/>
      <c r="D17" s="96"/>
      <c r="E17" s="92"/>
      <c r="F17" s="83">
        <v>300</v>
      </c>
      <c r="G17" s="83">
        <v>8.7</v>
      </c>
      <c r="H17" s="93">
        <f t="shared" si="3"/>
        <v>0.261</v>
      </c>
      <c r="I17" s="97">
        <f t="shared" si="5"/>
        <v>0.261</v>
      </c>
      <c r="J17" s="93"/>
      <c r="K17" s="83"/>
      <c r="L17" s="93">
        <f t="shared" si="4"/>
        <v>0.261</v>
      </c>
      <c r="M17" s="83"/>
    </row>
    <row r="18" spans="1:13">
      <c r="A18" s="83">
        <v>13</v>
      </c>
      <c r="B18" s="83" t="s">
        <v>149</v>
      </c>
      <c r="C18" s="83" t="s">
        <v>145</v>
      </c>
      <c r="D18" s="83" t="s">
        <v>43</v>
      </c>
      <c r="E18" s="92"/>
      <c r="F18" s="83">
        <v>300</v>
      </c>
      <c r="G18" s="83">
        <v>12</v>
      </c>
      <c r="H18" s="93">
        <f t="shared" si="3"/>
        <v>0.36</v>
      </c>
      <c r="I18" s="97">
        <f>300*8/10000</f>
        <v>0.24</v>
      </c>
      <c r="J18" s="93">
        <f>300*2*2/10000</f>
        <v>0.12</v>
      </c>
      <c r="K18" s="83"/>
      <c r="L18" s="93">
        <f t="shared" si="4"/>
        <v>0.36</v>
      </c>
      <c r="M18" s="83"/>
    </row>
    <row r="19" ht="19" spans="1:13">
      <c r="A19" s="83">
        <v>14</v>
      </c>
      <c r="B19" s="83" t="s">
        <v>150</v>
      </c>
      <c r="C19" s="83" t="s">
        <v>134</v>
      </c>
      <c r="D19" s="83" t="s">
        <v>141</v>
      </c>
      <c r="E19" s="92"/>
      <c r="F19" s="83">
        <v>200</v>
      </c>
      <c r="G19" s="83">
        <v>7.7</v>
      </c>
      <c r="H19" s="93">
        <f t="shared" si="3"/>
        <v>0.154</v>
      </c>
      <c r="I19" s="97">
        <f t="shared" si="5"/>
        <v>0.154</v>
      </c>
      <c r="J19" s="93"/>
      <c r="K19" s="83"/>
      <c r="L19" s="93">
        <f t="shared" si="4"/>
        <v>0.154</v>
      </c>
      <c r="M19" s="83"/>
    </row>
    <row r="20" ht="19" spans="1:13">
      <c r="A20" s="83">
        <v>15</v>
      </c>
      <c r="B20" s="83" t="s">
        <v>151</v>
      </c>
      <c r="C20" s="83" t="s">
        <v>141</v>
      </c>
      <c r="D20" s="83" t="s">
        <v>142</v>
      </c>
      <c r="E20" s="92"/>
      <c r="F20" s="83">
        <v>200</v>
      </c>
      <c r="G20" s="83">
        <v>8.3</v>
      </c>
      <c r="H20" s="93">
        <f t="shared" si="3"/>
        <v>0.166</v>
      </c>
      <c r="I20" s="97">
        <f t="shared" si="5"/>
        <v>0.166</v>
      </c>
      <c r="J20" s="93"/>
      <c r="K20" s="83"/>
      <c r="L20" s="93">
        <f t="shared" si="4"/>
        <v>0.166</v>
      </c>
      <c r="M20" s="83"/>
    </row>
    <row r="21" spans="1:13">
      <c r="A21" s="83">
        <v>16</v>
      </c>
      <c r="B21" s="83" t="s">
        <v>152</v>
      </c>
      <c r="C21" s="83" t="s">
        <v>44</v>
      </c>
      <c r="D21" s="83" t="s">
        <v>153</v>
      </c>
      <c r="E21" s="92"/>
      <c r="F21" s="83">
        <v>150</v>
      </c>
      <c r="G21" s="83">
        <v>12</v>
      </c>
      <c r="H21" s="93">
        <f t="shared" si="3"/>
        <v>0.18</v>
      </c>
      <c r="I21" s="97">
        <f t="shared" si="5"/>
        <v>0.18</v>
      </c>
      <c r="J21" s="93"/>
      <c r="K21" s="83"/>
      <c r="L21" s="93">
        <f t="shared" si="4"/>
        <v>0.18</v>
      </c>
      <c r="M21" s="83"/>
    </row>
    <row r="22" spans="1:13">
      <c r="A22" s="83">
        <v>17</v>
      </c>
      <c r="B22" s="83" t="s">
        <v>154</v>
      </c>
      <c r="C22" s="83" t="s">
        <v>28</v>
      </c>
      <c r="D22" s="83" t="s">
        <v>42</v>
      </c>
      <c r="E22" s="92"/>
      <c r="F22" s="83">
        <v>350</v>
      </c>
      <c r="G22" s="83">
        <v>12.5</v>
      </c>
      <c r="H22" s="97">
        <f t="shared" si="3"/>
        <v>0.4375</v>
      </c>
      <c r="I22" s="97">
        <f>350*8.5/10000</f>
        <v>0.2975</v>
      </c>
      <c r="J22" s="93">
        <f>350*2*2/10000</f>
        <v>0.14</v>
      </c>
      <c r="K22" s="83"/>
      <c r="L22" s="97">
        <f t="shared" si="4"/>
        <v>0.4375</v>
      </c>
      <c r="M22" s="83"/>
    </row>
    <row r="23" spans="1:13">
      <c r="A23" s="95">
        <v>18</v>
      </c>
      <c r="B23" s="95" t="s">
        <v>155</v>
      </c>
      <c r="C23" s="95" t="s">
        <v>37</v>
      </c>
      <c r="D23" s="95" t="s">
        <v>156</v>
      </c>
      <c r="E23" s="92"/>
      <c r="F23" s="83">
        <v>600</v>
      </c>
      <c r="G23" s="83">
        <v>12</v>
      </c>
      <c r="H23" s="97">
        <f t="shared" si="3"/>
        <v>0.72</v>
      </c>
      <c r="I23" s="97">
        <f t="shared" ref="I23:I28" si="6">F23*G23/10000</f>
        <v>0.72</v>
      </c>
      <c r="J23" s="93"/>
      <c r="K23" s="83"/>
      <c r="L23" s="97">
        <f t="shared" si="4"/>
        <v>0.72</v>
      </c>
      <c r="M23" s="83"/>
    </row>
    <row r="24" spans="1:13">
      <c r="A24" s="96"/>
      <c r="B24" s="96"/>
      <c r="C24" s="96"/>
      <c r="D24" s="96"/>
      <c r="E24" s="92"/>
      <c r="F24" s="83">
        <v>150</v>
      </c>
      <c r="G24" s="83">
        <v>5</v>
      </c>
      <c r="H24" s="97">
        <f t="shared" si="3"/>
        <v>0.075</v>
      </c>
      <c r="I24" s="97">
        <f t="shared" si="6"/>
        <v>0.075</v>
      </c>
      <c r="J24" s="93"/>
      <c r="K24" s="83"/>
      <c r="L24" s="97">
        <f t="shared" si="4"/>
        <v>0.075</v>
      </c>
      <c r="M24" s="83"/>
    </row>
    <row r="25" spans="1:13">
      <c r="A25" s="83">
        <v>19</v>
      </c>
      <c r="B25" s="98" t="s">
        <v>157</v>
      </c>
      <c r="C25" s="98" t="s">
        <v>71</v>
      </c>
      <c r="D25" s="98" t="s">
        <v>35</v>
      </c>
      <c r="E25" s="92"/>
      <c r="F25" s="98">
        <v>370</v>
      </c>
      <c r="G25" s="99">
        <v>14</v>
      </c>
      <c r="H25" s="99">
        <f t="shared" si="3"/>
        <v>0.518</v>
      </c>
      <c r="I25" s="113">
        <f>370*8/10000</f>
        <v>0.296</v>
      </c>
      <c r="J25" s="113">
        <f>370*6/10000</f>
        <v>0.222</v>
      </c>
      <c r="K25" s="113">
        <v>0</v>
      </c>
      <c r="L25" s="93">
        <f>H25+K25</f>
        <v>0.518</v>
      </c>
      <c r="M25" s="113"/>
    </row>
    <row r="26" spans="1:13">
      <c r="A26" s="83"/>
      <c r="B26" s="98"/>
      <c r="C26" s="83" t="s">
        <v>71</v>
      </c>
      <c r="D26" s="83" t="s">
        <v>61</v>
      </c>
      <c r="E26" s="92"/>
      <c r="F26" s="83">
        <v>380</v>
      </c>
      <c r="G26" s="83">
        <v>16</v>
      </c>
      <c r="H26" s="97">
        <f t="shared" si="3"/>
        <v>0.608</v>
      </c>
      <c r="I26" s="93">
        <f t="shared" ref="I26:I31" si="7">F26*10/10000</f>
        <v>0.38</v>
      </c>
      <c r="J26" s="93">
        <f>380*3*2/10000</f>
        <v>0.228</v>
      </c>
      <c r="K26" s="93"/>
      <c r="L26" s="93">
        <f t="shared" ref="L26:L35" si="8">I26+J26+K26</f>
        <v>0.608</v>
      </c>
      <c r="M26" s="83"/>
    </row>
    <row r="27" spans="1:13">
      <c r="A27" s="95">
        <v>20</v>
      </c>
      <c r="B27" s="95" t="s">
        <v>158</v>
      </c>
      <c r="C27" s="83" t="s">
        <v>30</v>
      </c>
      <c r="D27" s="83" t="s">
        <v>159</v>
      </c>
      <c r="E27" s="92"/>
      <c r="F27" s="83">
        <v>430</v>
      </c>
      <c r="G27" s="83">
        <v>12</v>
      </c>
      <c r="H27" s="97">
        <f t="shared" si="3"/>
        <v>0.516</v>
      </c>
      <c r="I27" s="93">
        <f>F27*6/10000</f>
        <v>0.258</v>
      </c>
      <c r="J27" s="93">
        <f>430*3*2/10000</f>
        <v>0.258</v>
      </c>
      <c r="K27" s="93">
        <f>50*15*2/10000</f>
        <v>0.15</v>
      </c>
      <c r="L27" s="93">
        <f t="shared" si="8"/>
        <v>0.666</v>
      </c>
      <c r="M27" s="83"/>
    </row>
    <row r="28" spans="1:13">
      <c r="A28" s="96"/>
      <c r="B28" s="96"/>
      <c r="C28" s="94" t="s">
        <v>160</v>
      </c>
      <c r="D28" s="94" t="s">
        <v>61</v>
      </c>
      <c r="E28" s="92"/>
      <c r="F28" s="93">
        <v>250</v>
      </c>
      <c r="G28" s="93">
        <v>15</v>
      </c>
      <c r="H28" s="93">
        <f t="shared" si="3"/>
        <v>0.375</v>
      </c>
      <c r="I28" s="93">
        <f t="shared" si="6"/>
        <v>0.375</v>
      </c>
      <c r="J28" s="93">
        <v>0</v>
      </c>
      <c r="K28" s="93">
        <v>0</v>
      </c>
      <c r="L28" s="93">
        <f>H28+K28</f>
        <v>0.375</v>
      </c>
      <c r="M28" s="93"/>
    </row>
    <row r="29" spans="1:13">
      <c r="A29" s="83">
        <v>21</v>
      </c>
      <c r="B29" s="83" t="s">
        <v>161</v>
      </c>
      <c r="C29" s="83" t="s">
        <v>158</v>
      </c>
      <c r="D29" s="83" t="s">
        <v>162</v>
      </c>
      <c r="E29" s="92"/>
      <c r="F29" s="83">
        <v>520</v>
      </c>
      <c r="G29" s="83">
        <v>13</v>
      </c>
      <c r="H29" s="97">
        <f t="shared" si="3"/>
        <v>0.676</v>
      </c>
      <c r="I29" s="93">
        <f>F29*7/10000</f>
        <v>0.364</v>
      </c>
      <c r="J29" s="93">
        <f>520*3*2/10000</f>
        <v>0.312</v>
      </c>
      <c r="K29" s="93">
        <f>80*30/10000</f>
        <v>0.24</v>
      </c>
      <c r="L29" s="93">
        <f t="shared" si="8"/>
        <v>0.916</v>
      </c>
      <c r="M29" s="83"/>
    </row>
    <row r="30" spans="1:13">
      <c r="A30" s="83">
        <v>22</v>
      </c>
      <c r="B30" s="100" t="s">
        <v>163</v>
      </c>
      <c r="C30" s="83" t="s">
        <v>102</v>
      </c>
      <c r="D30" s="83" t="s">
        <v>88</v>
      </c>
      <c r="E30" s="92"/>
      <c r="F30" s="83">
        <v>360</v>
      </c>
      <c r="G30" s="83">
        <v>20</v>
      </c>
      <c r="H30" s="101">
        <f t="shared" si="3"/>
        <v>0.72</v>
      </c>
      <c r="I30" s="93">
        <f t="shared" si="7"/>
        <v>0.36</v>
      </c>
      <c r="J30" s="93">
        <f>360*5*2/10000</f>
        <v>0.36</v>
      </c>
      <c r="K30" s="93"/>
      <c r="L30" s="93">
        <f t="shared" si="8"/>
        <v>0.72</v>
      </c>
      <c r="M30" s="83"/>
    </row>
    <row r="31" spans="1:13">
      <c r="A31" s="95">
        <v>23</v>
      </c>
      <c r="B31" s="102" t="s">
        <v>164</v>
      </c>
      <c r="C31" s="83" t="s">
        <v>88</v>
      </c>
      <c r="D31" s="83" t="s">
        <v>58</v>
      </c>
      <c r="E31" s="92"/>
      <c r="F31" s="83">
        <v>380</v>
      </c>
      <c r="G31" s="83">
        <v>20</v>
      </c>
      <c r="H31" s="101">
        <f t="shared" si="3"/>
        <v>0.76</v>
      </c>
      <c r="I31" s="93">
        <f t="shared" si="7"/>
        <v>0.38</v>
      </c>
      <c r="J31" s="93">
        <f>380*5*2/10000</f>
        <v>0.38</v>
      </c>
      <c r="K31" s="93"/>
      <c r="L31" s="93">
        <f t="shared" si="8"/>
        <v>0.76</v>
      </c>
      <c r="M31" s="83"/>
    </row>
    <row r="32" spans="1:13">
      <c r="A32" s="103"/>
      <c r="B32" s="104"/>
      <c r="C32" s="83" t="s">
        <v>58</v>
      </c>
      <c r="D32" s="83" t="s">
        <v>91</v>
      </c>
      <c r="E32" s="92"/>
      <c r="F32" s="83">
        <v>350</v>
      </c>
      <c r="G32" s="83">
        <v>16</v>
      </c>
      <c r="H32" s="101">
        <f t="shared" si="3"/>
        <v>0.56</v>
      </c>
      <c r="I32" s="93">
        <f t="shared" ref="I32:I35" si="9">F32*8/10000</f>
        <v>0.28</v>
      </c>
      <c r="J32" s="93">
        <f>350*4*2/10000</f>
        <v>0.28</v>
      </c>
      <c r="K32" s="93"/>
      <c r="L32" s="93">
        <f t="shared" si="8"/>
        <v>0.56</v>
      </c>
      <c r="M32" s="83"/>
    </row>
    <row r="33" spans="1:13">
      <c r="A33" s="103"/>
      <c r="B33" s="104"/>
      <c r="C33" s="83" t="s">
        <v>91</v>
      </c>
      <c r="D33" s="83" t="s">
        <v>89</v>
      </c>
      <c r="E33" s="92"/>
      <c r="F33" s="83">
        <v>380</v>
      </c>
      <c r="G33" s="83">
        <v>16</v>
      </c>
      <c r="H33" s="101">
        <f t="shared" si="3"/>
        <v>0.608</v>
      </c>
      <c r="I33" s="93">
        <f t="shared" si="9"/>
        <v>0.304</v>
      </c>
      <c r="J33" s="93">
        <f>380*4*2/10000</f>
        <v>0.304</v>
      </c>
      <c r="K33" s="93"/>
      <c r="L33" s="93">
        <f t="shared" si="8"/>
        <v>0.608</v>
      </c>
      <c r="M33" s="83"/>
    </row>
    <row r="34" spans="1:13">
      <c r="A34" s="103"/>
      <c r="B34" s="104"/>
      <c r="C34" s="83" t="s">
        <v>89</v>
      </c>
      <c r="D34" s="83" t="s">
        <v>165</v>
      </c>
      <c r="E34" s="92"/>
      <c r="F34" s="83">
        <v>250</v>
      </c>
      <c r="G34" s="83">
        <v>16</v>
      </c>
      <c r="H34" s="101">
        <f t="shared" si="3"/>
        <v>0.4</v>
      </c>
      <c r="I34" s="93">
        <f t="shared" si="9"/>
        <v>0.2</v>
      </c>
      <c r="J34" s="93">
        <f>250*4*2/10000</f>
        <v>0.2</v>
      </c>
      <c r="K34" s="93"/>
      <c r="L34" s="93">
        <f t="shared" si="8"/>
        <v>0.4</v>
      </c>
      <c r="M34" s="83"/>
    </row>
    <row r="35" spans="1:13">
      <c r="A35" s="103"/>
      <c r="B35" s="104"/>
      <c r="C35" s="83" t="s">
        <v>165</v>
      </c>
      <c r="D35" s="83" t="s">
        <v>68</v>
      </c>
      <c r="E35" s="92"/>
      <c r="F35" s="83">
        <v>400</v>
      </c>
      <c r="G35" s="83">
        <v>14</v>
      </c>
      <c r="H35" s="101">
        <f t="shared" si="3"/>
        <v>0.56</v>
      </c>
      <c r="I35" s="93">
        <f t="shared" si="9"/>
        <v>0.32</v>
      </c>
      <c r="J35" s="93">
        <f>400*3*2/10000</f>
        <v>0.24</v>
      </c>
      <c r="K35" s="93"/>
      <c r="L35" s="93">
        <f t="shared" si="8"/>
        <v>0.56</v>
      </c>
      <c r="M35" s="83"/>
    </row>
    <row r="36" ht="19" spans="1:13">
      <c r="A36" s="96"/>
      <c r="B36" s="105"/>
      <c r="C36" s="94" t="s">
        <v>166</v>
      </c>
      <c r="D36" s="94" t="s">
        <v>167</v>
      </c>
      <c r="E36" s="92"/>
      <c r="F36" s="94"/>
      <c r="G36" s="94"/>
      <c r="H36" s="99"/>
      <c r="I36" s="113"/>
      <c r="J36" s="113"/>
      <c r="K36" s="113">
        <f>70*10/10000</f>
        <v>0.07</v>
      </c>
      <c r="L36" s="93">
        <v>0.07</v>
      </c>
      <c r="M36" s="113"/>
    </row>
    <row r="37" spans="1:13">
      <c r="A37" s="83">
        <v>24</v>
      </c>
      <c r="B37" s="102" t="s">
        <v>165</v>
      </c>
      <c r="C37" s="83" t="s">
        <v>168</v>
      </c>
      <c r="D37" s="83" t="s">
        <v>92</v>
      </c>
      <c r="E37" s="92"/>
      <c r="F37" s="83">
        <v>600</v>
      </c>
      <c r="G37" s="83">
        <v>20</v>
      </c>
      <c r="H37" s="101">
        <f t="shared" ref="H37:H64" si="10">F37*G37/10000</f>
        <v>1.2</v>
      </c>
      <c r="I37" s="93">
        <f t="shared" ref="I37:I41" si="11">F37*12/10000</f>
        <v>0.72</v>
      </c>
      <c r="J37" s="93">
        <f>600*4*2/10000</f>
        <v>0.48</v>
      </c>
      <c r="K37" s="93"/>
      <c r="L37" s="93">
        <f t="shared" ref="L37:L43" si="12">I37+J37+K37</f>
        <v>1.2</v>
      </c>
      <c r="M37" s="83"/>
    </row>
    <row r="38" spans="1:13">
      <c r="A38" s="83"/>
      <c r="B38" s="105"/>
      <c r="C38" s="83" t="s">
        <v>92</v>
      </c>
      <c r="D38" s="83" t="s">
        <v>35</v>
      </c>
      <c r="E38" s="92"/>
      <c r="F38" s="83">
        <v>280</v>
      </c>
      <c r="G38" s="83">
        <v>20</v>
      </c>
      <c r="H38" s="101">
        <f t="shared" si="10"/>
        <v>0.56</v>
      </c>
      <c r="I38" s="93">
        <f t="shared" si="11"/>
        <v>0.336</v>
      </c>
      <c r="J38" s="93">
        <f>280*4*2/10000</f>
        <v>0.224</v>
      </c>
      <c r="K38" s="93"/>
      <c r="L38" s="93">
        <f t="shared" si="12"/>
        <v>0.56</v>
      </c>
      <c r="M38" s="83"/>
    </row>
    <row r="39" spans="1:13">
      <c r="A39" s="83">
        <v>25</v>
      </c>
      <c r="B39" s="100" t="s">
        <v>73</v>
      </c>
      <c r="C39" s="83" t="s">
        <v>71</v>
      </c>
      <c r="D39" s="83" t="s">
        <v>76</v>
      </c>
      <c r="E39" s="92"/>
      <c r="F39" s="83">
        <v>550</v>
      </c>
      <c r="G39" s="83">
        <v>21</v>
      </c>
      <c r="H39" s="101">
        <f t="shared" si="10"/>
        <v>1.155</v>
      </c>
      <c r="I39" s="93">
        <f>F39*13/10000</f>
        <v>0.715</v>
      </c>
      <c r="J39" s="93">
        <f>550*4*2/10000</f>
        <v>0.44</v>
      </c>
      <c r="K39" s="93">
        <f>500*10/10000</f>
        <v>0.5</v>
      </c>
      <c r="L39" s="93">
        <f t="shared" si="12"/>
        <v>1.655</v>
      </c>
      <c r="M39" s="83"/>
    </row>
    <row r="40" spans="1:13">
      <c r="A40" s="83">
        <v>26</v>
      </c>
      <c r="B40" s="100" t="s">
        <v>169</v>
      </c>
      <c r="C40" s="83" t="s">
        <v>170</v>
      </c>
      <c r="D40" s="83" t="s">
        <v>171</v>
      </c>
      <c r="E40" s="92"/>
      <c r="F40" s="83">
        <v>500</v>
      </c>
      <c r="G40" s="83">
        <v>24</v>
      </c>
      <c r="H40" s="101">
        <f t="shared" si="10"/>
        <v>1.2</v>
      </c>
      <c r="I40" s="93">
        <f>F40*16/10000</f>
        <v>0.8</v>
      </c>
      <c r="J40" s="93">
        <f>500*4*2/10000</f>
        <v>0.4</v>
      </c>
      <c r="K40" s="93">
        <f>400*10*2/10000</f>
        <v>0.8</v>
      </c>
      <c r="L40" s="93">
        <f t="shared" si="12"/>
        <v>2</v>
      </c>
      <c r="M40" s="83"/>
    </row>
    <row r="41" ht="19" spans="1:13">
      <c r="A41" s="83">
        <v>27</v>
      </c>
      <c r="B41" s="100" t="s">
        <v>170</v>
      </c>
      <c r="C41" s="83" t="s">
        <v>75</v>
      </c>
      <c r="D41" s="83" t="s">
        <v>172</v>
      </c>
      <c r="E41" s="92"/>
      <c r="F41" s="83">
        <v>3100</v>
      </c>
      <c r="G41" s="83">
        <v>20</v>
      </c>
      <c r="H41" s="101">
        <f t="shared" si="10"/>
        <v>6.2</v>
      </c>
      <c r="I41" s="93">
        <f t="shared" si="11"/>
        <v>3.72</v>
      </c>
      <c r="J41" s="93">
        <f>3100*4*2/10000</f>
        <v>2.48</v>
      </c>
      <c r="K41" s="93"/>
      <c r="L41" s="93">
        <f t="shared" si="12"/>
        <v>6.2</v>
      </c>
      <c r="M41" s="83"/>
    </row>
    <row r="42" spans="1:13">
      <c r="A42" s="83">
        <v>28</v>
      </c>
      <c r="B42" s="100" t="s">
        <v>171</v>
      </c>
      <c r="C42" s="83" t="s">
        <v>75</v>
      </c>
      <c r="D42" s="83" t="s">
        <v>76</v>
      </c>
      <c r="E42" s="92"/>
      <c r="F42" s="83">
        <v>600</v>
      </c>
      <c r="G42" s="83">
        <v>13</v>
      </c>
      <c r="H42" s="101">
        <f t="shared" si="10"/>
        <v>0.78</v>
      </c>
      <c r="I42" s="93">
        <f t="shared" ref="I42:I45" si="13">F42*G42/10000</f>
        <v>0.78</v>
      </c>
      <c r="J42" s="93"/>
      <c r="K42" s="93"/>
      <c r="L42" s="93">
        <f t="shared" si="12"/>
        <v>0.78</v>
      </c>
      <c r="M42" s="83"/>
    </row>
    <row r="43" ht="28.5" spans="1:13">
      <c r="A43" s="83">
        <v>29</v>
      </c>
      <c r="B43" s="83" t="s">
        <v>173</v>
      </c>
      <c r="C43" s="83" t="s">
        <v>174</v>
      </c>
      <c r="D43" s="83" t="s">
        <v>175</v>
      </c>
      <c r="E43" s="92"/>
      <c r="F43" s="83">
        <v>400</v>
      </c>
      <c r="G43" s="83">
        <v>19</v>
      </c>
      <c r="H43" s="97">
        <f t="shared" si="10"/>
        <v>0.76</v>
      </c>
      <c r="I43" s="93">
        <f>F43*11/10000</f>
        <v>0.44</v>
      </c>
      <c r="J43" s="93">
        <f>400*4*2/10000</f>
        <v>0.32</v>
      </c>
      <c r="K43" s="93"/>
      <c r="L43" s="93">
        <f t="shared" si="12"/>
        <v>0.76</v>
      </c>
      <c r="M43" s="83"/>
    </row>
    <row r="44" ht="28.5" spans="1:13">
      <c r="A44" s="83">
        <v>30</v>
      </c>
      <c r="B44" s="94" t="s">
        <v>176</v>
      </c>
      <c r="C44" s="94" t="s">
        <v>45</v>
      </c>
      <c r="D44" s="94" t="s">
        <v>177</v>
      </c>
      <c r="E44" s="92"/>
      <c r="F44" s="93">
        <v>230</v>
      </c>
      <c r="G44" s="93">
        <v>20</v>
      </c>
      <c r="H44" s="93">
        <f t="shared" si="10"/>
        <v>0.46</v>
      </c>
      <c r="I44" s="93">
        <f t="shared" si="13"/>
        <v>0.46</v>
      </c>
      <c r="J44" s="93">
        <v>0</v>
      </c>
      <c r="K44" s="93">
        <v>0</v>
      </c>
      <c r="L44" s="93">
        <f>H44+K44</f>
        <v>0.46</v>
      </c>
      <c r="M44" s="93"/>
    </row>
    <row r="45" ht="19" spans="1:13">
      <c r="A45" s="83">
        <v>31</v>
      </c>
      <c r="B45" s="94" t="s">
        <v>178</v>
      </c>
      <c r="C45" s="94" t="s">
        <v>179</v>
      </c>
      <c r="D45" s="94" t="s">
        <v>180</v>
      </c>
      <c r="E45" s="92"/>
      <c r="F45" s="93">
        <v>400</v>
      </c>
      <c r="G45" s="93">
        <v>11</v>
      </c>
      <c r="H45" s="93">
        <f t="shared" si="10"/>
        <v>0.44</v>
      </c>
      <c r="I45" s="93">
        <f t="shared" si="13"/>
        <v>0.44</v>
      </c>
      <c r="J45" s="93">
        <v>0</v>
      </c>
      <c r="K45" s="93">
        <v>0</v>
      </c>
      <c r="L45" s="93">
        <f>H45+K45</f>
        <v>0.44</v>
      </c>
      <c r="M45" s="93"/>
    </row>
    <row r="46" ht="19" spans="1:13">
      <c r="A46" s="83">
        <v>32</v>
      </c>
      <c r="B46" s="83" t="s">
        <v>181</v>
      </c>
      <c r="C46" s="83" t="s">
        <v>141</v>
      </c>
      <c r="D46" s="83" t="s">
        <v>143</v>
      </c>
      <c r="E46" s="92"/>
      <c r="F46" s="83">
        <v>400</v>
      </c>
      <c r="G46" s="83">
        <v>10</v>
      </c>
      <c r="H46" s="93">
        <f t="shared" si="10"/>
        <v>0.4</v>
      </c>
      <c r="I46" s="97">
        <f>400*6/10000</f>
        <v>0.24</v>
      </c>
      <c r="J46" s="93">
        <f>400*2*2/10000</f>
        <v>0.16</v>
      </c>
      <c r="K46" s="83"/>
      <c r="L46" s="93">
        <f t="shared" ref="L46:L53" si="14">I46+J46+K46</f>
        <v>0.4</v>
      </c>
      <c r="M46" s="83"/>
    </row>
    <row r="47" ht="28.5" spans="1:13">
      <c r="A47" s="83">
        <v>33</v>
      </c>
      <c r="B47" s="83" t="s">
        <v>182</v>
      </c>
      <c r="C47" s="83" t="s">
        <v>183</v>
      </c>
      <c r="D47" s="83" t="s">
        <v>146</v>
      </c>
      <c r="E47" s="92"/>
      <c r="F47" s="83">
        <v>300</v>
      </c>
      <c r="G47" s="83">
        <v>7</v>
      </c>
      <c r="H47" s="93">
        <f t="shared" si="10"/>
        <v>0.21</v>
      </c>
      <c r="I47" s="97">
        <f t="shared" ref="I47:I53" si="15">F47*G47/10000</f>
        <v>0.21</v>
      </c>
      <c r="J47" s="93"/>
      <c r="K47" s="83"/>
      <c r="L47" s="93">
        <f t="shared" si="14"/>
        <v>0.21</v>
      </c>
      <c r="M47" s="83"/>
    </row>
    <row r="48" spans="1:13">
      <c r="A48" s="83">
        <v>34</v>
      </c>
      <c r="B48" s="83" t="s">
        <v>184</v>
      </c>
      <c r="C48" s="83" t="s">
        <v>38</v>
      </c>
      <c r="D48" s="83" t="s">
        <v>185</v>
      </c>
      <c r="E48" s="92"/>
      <c r="F48" s="83">
        <v>80</v>
      </c>
      <c r="G48" s="83">
        <v>6</v>
      </c>
      <c r="H48" s="93">
        <f t="shared" si="10"/>
        <v>0.048</v>
      </c>
      <c r="I48" s="97">
        <f t="shared" si="15"/>
        <v>0.048</v>
      </c>
      <c r="J48" s="93"/>
      <c r="K48" s="83"/>
      <c r="L48" s="93">
        <f t="shared" si="14"/>
        <v>0.048</v>
      </c>
      <c r="M48" s="83"/>
    </row>
    <row r="49" ht="19" spans="1:13">
      <c r="A49" s="83">
        <v>35</v>
      </c>
      <c r="B49" s="83" t="s">
        <v>186</v>
      </c>
      <c r="C49" s="83" t="s">
        <v>44</v>
      </c>
      <c r="D49" s="83" t="s">
        <v>142</v>
      </c>
      <c r="E49" s="92"/>
      <c r="F49" s="83">
        <v>400</v>
      </c>
      <c r="G49" s="83">
        <v>10.2</v>
      </c>
      <c r="H49" s="93">
        <f t="shared" si="10"/>
        <v>0.408</v>
      </c>
      <c r="I49" s="97">
        <f t="shared" si="15"/>
        <v>0.408</v>
      </c>
      <c r="J49" s="93"/>
      <c r="K49" s="83"/>
      <c r="L49" s="93">
        <f t="shared" si="14"/>
        <v>0.408</v>
      </c>
      <c r="M49" s="83"/>
    </row>
    <row r="50" ht="19" spans="1:13">
      <c r="A50" s="83">
        <v>36</v>
      </c>
      <c r="B50" s="83" t="s">
        <v>187</v>
      </c>
      <c r="C50" s="83" t="s">
        <v>144</v>
      </c>
      <c r="D50" s="83" t="s">
        <v>142</v>
      </c>
      <c r="E50" s="92"/>
      <c r="F50" s="83">
        <v>400</v>
      </c>
      <c r="G50" s="83">
        <v>8.6</v>
      </c>
      <c r="H50" s="93">
        <f t="shared" si="10"/>
        <v>0.344</v>
      </c>
      <c r="I50" s="97">
        <f t="shared" si="15"/>
        <v>0.344</v>
      </c>
      <c r="J50" s="93"/>
      <c r="K50" s="83">
        <f>20*10/10000</f>
        <v>0.02</v>
      </c>
      <c r="L50" s="93">
        <f t="shared" si="14"/>
        <v>0.364</v>
      </c>
      <c r="M50" s="83"/>
    </row>
    <row r="51" ht="19" spans="1:13">
      <c r="A51" s="83">
        <v>37</v>
      </c>
      <c r="B51" s="83" t="s">
        <v>188</v>
      </c>
      <c r="C51" s="83" t="s">
        <v>189</v>
      </c>
      <c r="D51" s="83" t="s">
        <v>187</v>
      </c>
      <c r="E51" s="92"/>
      <c r="F51" s="83">
        <v>250</v>
      </c>
      <c r="G51" s="83">
        <v>6.5</v>
      </c>
      <c r="H51" s="93">
        <f t="shared" si="10"/>
        <v>0.1625</v>
      </c>
      <c r="I51" s="97">
        <f t="shared" si="15"/>
        <v>0.1625</v>
      </c>
      <c r="J51" s="93"/>
      <c r="K51" s="83">
        <f>200*2*4/10000</f>
        <v>0.16</v>
      </c>
      <c r="L51" s="93">
        <f t="shared" si="14"/>
        <v>0.3225</v>
      </c>
      <c r="M51" s="83"/>
    </row>
    <row r="52" ht="19" spans="1:13">
      <c r="A52" s="83">
        <v>38</v>
      </c>
      <c r="B52" s="83" t="s">
        <v>153</v>
      </c>
      <c r="C52" s="83" t="s">
        <v>190</v>
      </c>
      <c r="D52" s="83" t="s">
        <v>187</v>
      </c>
      <c r="E52" s="92"/>
      <c r="F52" s="83">
        <v>300</v>
      </c>
      <c r="G52" s="83">
        <v>8</v>
      </c>
      <c r="H52" s="93">
        <f t="shared" si="10"/>
        <v>0.24</v>
      </c>
      <c r="I52" s="97">
        <f t="shared" si="15"/>
        <v>0.24</v>
      </c>
      <c r="J52" s="93"/>
      <c r="K52" s="83"/>
      <c r="L52" s="93">
        <f t="shared" si="14"/>
        <v>0.24</v>
      </c>
      <c r="M52" s="83"/>
    </row>
    <row r="53" ht="19" spans="1:13">
      <c r="A53" s="83">
        <v>39</v>
      </c>
      <c r="B53" s="83" t="s">
        <v>191</v>
      </c>
      <c r="C53" s="83" t="s">
        <v>147</v>
      </c>
      <c r="D53" s="83" t="s">
        <v>187</v>
      </c>
      <c r="E53" s="92"/>
      <c r="F53" s="83">
        <v>100</v>
      </c>
      <c r="G53" s="83">
        <v>11.85</v>
      </c>
      <c r="H53" s="93">
        <f t="shared" si="10"/>
        <v>0.1185</v>
      </c>
      <c r="I53" s="97">
        <f t="shared" si="15"/>
        <v>0.1185</v>
      </c>
      <c r="J53" s="93"/>
      <c r="K53" s="83"/>
      <c r="L53" s="93">
        <f t="shared" si="14"/>
        <v>0.1185</v>
      </c>
      <c r="M53" s="83"/>
    </row>
    <row r="54" ht="19" spans="1:13">
      <c r="A54" s="83">
        <v>40</v>
      </c>
      <c r="B54" s="106" t="s">
        <v>192</v>
      </c>
      <c r="C54" s="94" t="s">
        <v>42</v>
      </c>
      <c r="D54" s="94" t="s">
        <v>193</v>
      </c>
      <c r="E54" s="92"/>
      <c r="F54" s="93">
        <v>70</v>
      </c>
      <c r="G54" s="93">
        <v>18</v>
      </c>
      <c r="H54" s="91">
        <f t="shared" si="10"/>
        <v>0.126</v>
      </c>
      <c r="I54" s="93">
        <f>F54*15/10000</f>
        <v>0.105</v>
      </c>
      <c r="J54" s="93">
        <f>F54*1.5*2/10000</f>
        <v>0.021</v>
      </c>
      <c r="K54" s="93">
        <v>0</v>
      </c>
      <c r="L54" s="93">
        <f t="shared" ref="L54:L63" si="16">H54+K54</f>
        <v>0.126</v>
      </c>
      <c r="M54" s="93">
        <v>0</v>
      </c>
    </row>
    <row r="55" ht="28.5" spans="1:13">
      <c r="A55" s="83">
        <v>41</v>
      </c>
      <c r="B55" s="107" t="s">
        <v>194</v>
      </c>
      <c r="C55" s="94" t="s">
        <v>42</v>
      </c>
      <c r="D55" s="94" t="s">
        <v>193</v>
      </c>
      <c r="E55" s="92"/>
      <c r="F55" s="93">
        <v>87</v>
      </c>
      <c r="G55" s="93">
        <v>19</v>
      </c>
      <c r="H55" s="91">
        <f t="shared" si="10"/>
        <v>0.1653</v>
      </c>
      <c r="I55" s="93">
        <f>F55*15/10000</f>
        <v>0.1305</v>
      </c>
      <c r="J55" s="93">
        <f>F55*2*2/10000</f>
        <v>0.0348</v>
      </c>
      <c r="K55" s="93">
        <v>0</v>
      </c>
      <c r="L55" s="93">
        <f t="shared" si="16"/>
        <v>0.1653</v>
      </c>
      <c r="M55" s="93">
        <v>0</v>
      </c>
    </row>
    <row r="56" ht="19" spans="1:13">
      <c r="A56" s="83">
        <v>42</v>
      </c>
      <c r="B56" s="107" t="s">
        <v>195</v>
      </c>
      <c r="C56" s="107" t="s">
        <v>30</v>
      </c>
      <c r="D56" s="107" t="s">
        <v>72</v>
      </c>
      <c r="E56" s="92"/>
      <c r="F56" s="108">
        <v>692.87</v>
      </c>
      <c r="G56" s="109">
        <v>8.81</v>
      </c>
      <c r="H56" s="76">
        <f t="shared" si="10"/>
        <v>0.61041847</v>
      </c>
      <c r="I56" s="76">
        <f>F56*6.06/10000</f>
        <v>0.41987922</v>
      </c>
      <c r="J56" s="76">
        <f>F56*2.74/10000</f>
        <v>0.18984638</v>
      </c>
      <c r="K56" s="76">
        <f>130*20/10000</f>
        <v>0.26</v>
      </c>
      <c r="L56" s="76">
        <f t="shared" ref="L56:L58" si="17">SUM(I56:K56)</f>
        <v>0.8697256</v>
      </c>
      <c r="M56" s="76">
        <v>0</v>
      </c>
    </row>
    <row r="57" ht="28.5" spans="1:13">
      <c r="A57" s="83">
        <v>43</v>
      </c>
      <c r="B57" s="110" t="s">
        <v>196</v>
      </c>
      <c r="C57" s="110" t="s">
        <v>81</v>
      </c>
      <c r="D57" s="110" t="s">
        <v>197</v>
      </c>
      <c r="E57" s="92"/>
      <c r="F57" s="111">
        <v>66.71</v>
      </c>
      <c r="G57" s="112">
        <v>8.81</v>
      </c>
      <c r="H57" s="76">
        <f t="shared" si="10"/>
        <v>0.05877151</v>
      </c>
      <c r="I57" s="76">
        <f>F57*8.81/10000</f>
        <v>0.05877151</v>
      </c>
      <c r="J57" s="76">
        <f>F57*0/10000</f>
        <v>0</v>
      </c>
      <c r="K57" s="76">
        <v>0</v>
      </c>
      <c r="L57" s="76">
        <f t="shared" si="17"/>
        <v>0.05877151</v>
      </c>
      <c r="M57" s="76">
        <v>0</v>
      </c>
    </row>
    <row r="58" ht="28.5" spans="1:13">
      <c r="A58" s="83">
        <v>44</v>
      </c>
      <c r="B58" s="110" t="s">
        <v>198</v>
      </c>
      <c r="C58" s="110" t="s">
        <v>199</v>
      </c>
      <c r="D58" s="110" t="s">
        <v>200</v>
      </c>
      <c r="E58" s="92"/>
      <c r="F58" s="111">
        <v>105.96</v>
      </c>
      <c r="G58" s="112">
        <v>15.99</v>
      </c>
      <c r="H58" s="76">
        <f t="shared" si="10"/>
        <v>0.16943004</v>
      </c>
      <c r="I58" s="76">
        <f>F58*7.5/10000</f>
        <v>0.07947</v>
      </c>
      <c r="J58" s="76">
        <f>F58*8.49/10000</f>
        <v>0.08996004</v>
      </c>
      <c r="K58" s="76">
        <v>0</v>
      </c>
      <c r="L58" s="76">
        <f t="shared" si="17"/>
        <v>0.16943004</v>
      </c>
      <c r="M58" s="76">
        <v>0</v>
      </c>
    </row>
    <row r="59" spans="1:13">
      <c r="A59" s="83">
        <v>45</v>
      </c>
      <c r="B59" s="98" t="s">
        <v>201</v>
      </c>
      <c r="C59" s="98" t="s">
        <v>62</v>
      </c>
      <c r="D59" s="98" t="s">
        <v>61</v>
      </c>
      <c r="E59" s="92"/>
      <c r="F59" s="113">
        <v>650</v>
      </c>
      <c r="G59" s="113">
        <v>25</v>
      </c>
      <c r="H59" s="113">
        <f t="shared" si="10"/>
        <v>1.625</v>
      </c>
      <c r="I59" s="113">
        <f>650*15/10000</f>
        <v>0.975</v>
      </c>
      <c r="J59" s="113">
        <f>650*5*2/10000</f>
        <v>0.65</v>
      </c>
      <c r="K59" s="113">
        <f>270*25/10000</f>
        <v>0.675</v>
      </c>
      <c r="L59" s="113">
        <f t="shared" si="16"/>
        <v>2.3</v>
      </c>
      <c r="M59" s="113">
        <v>0</v>
      </c>
    </row>
    <row r="60" spans="1:13">
      <c r="A60" s="83">
        <v>46</v>
      </c>
      <c r="B60" s="98" t="s">
        <v>202</v>
      </c>
      <c r="C60" s="98" t="s">
        <v>201</v>
      </c>
      <c r="D60" s="98" t="s">
        <v>58</v>
      </c>
      <c r="E60" s="92"/>
      <c r="F60" s="113">
        <v>350</v>
      </c>
      <c r="G60" s="113">
        <v>23</v>
      </c>
      <c r="H60" s="113">
        <f t="shared" si="10"/>
        <v>0.805</v>
      </c>
      <c r="I60" s="113">
        <f>H60</f>
        <v>0.805</v>
      </c>
      <c r="J60" s="113">
        <v>0</v>
      </c>
      <c r="K60" s="113">
        <v>0</v>
      </c>
      <c r="L60" s="113">
        <f t="shared" si="16"/>
        <v>0.805</v>
      </c>
      <c r="M60" s="113">
        <v>0</v>
      </c>
    </row>
    <row r="61" spans="1:13">
      <c r="A61" s="83">
        <v>47</v>
      </c>
      <c r="B61" s="114" t="s">
        <v>203</v>
      </c>
      <c r="C61" s="98" t="s">
        <v>170</v>
      </c>
      <c r="D61" s="98" t="s">
        <v>204</v>
      </c>
      <c r="E61" s="92"/>
      <c r="F61" s="98">
        <v>350</v>
      </c>
      <c r="G61" s="98">
        <v>30</v>
      </c>
      <c r="H61" s="99">
        <f t="shared" si="10"/>
        <v>1.05</v>
      </c>
      <c r="I61" s="99">
        <f>350*15/10000</f>
        <v>0.525</v>
      </c>
      <c r="J61" s="99">
        <f>350*15/10000</f>
        <v>0.525</v>
      </c>
      <c r="K61" s="99">
        <f>250*12/10000</f>
        <v>0.3</v>
      </c>
      <c r="L61" s="99">
        <f t="shared" si="16"/>
        <v>1.35</v>
      </c>
      <c r="M61" s="99">
        <v>0</v>
      </c>
    </row>
    <row r="62" ht="28.5" spans="1:13">
      <c r="A62" s="83">
        <v>48</v>
      </c>
      <c r="B62" s="98" t="s">
        <v>205</v>
      </c>
      <c r="C62" s="98" t="s">
        <v>170</v>
      </c>
      <c r="D62" s="98" t="s">
        <v>206</v>
      </c>
      <c r="E62" s="92"/>
      <c r="F62" s="113">
        <v>110</v>
      </c>
      <c r="G62" s="113">
        <v>6.5</v>
      </c>
      <c r="H62" s="113">
        <f t="shared" si="10"/>
        <v>0.0715</v>
      </c>
      <c r="I62" s="113">
        <f t="shared" ref="I62:I87" si="18">F62*G62/10000</f>
        <v>0.0715</v>
      </c>
      <c r="J62" s="113">
        <v>0</v>
      </c>
      <c r="K62" s="113">
        <v>0</v>
      </c>
      <c r="L62" s="99">
        <f t="shared" si="16"/>
        <v>0.0715</v>
      </c>
      <c r="M62" s="93"/>
    </row>
    <row r="63" ht="28.5" spans="1:13">
      <c r="A63" s="83">
        <v>49</v>
      </c>
      <c r="B63" s="98" t="s">
        <v>207</v>
      </c>
      <c r="C63" s="98" t="s">
        <v>208</v>
      </c>
      <c r="D63" s="98" t="s">
        <v>209</v>
      </c>
      <c r="E63" s="92"/>
      <c r="F63" s="113">
        <v>50</v>
      </c>
      <c r="G63" s="113">
        <v>5.5</v>
      </c>
      <c r="H63" s="113">
        <f t="shared" si="10"/>
        <v>0.0275</v>
      </c>
      <c r="I63" s="113">
        <f t="shared" si="18"/>
        <v>0.0275</v>
      </c>
      <c r="J63" s="113">
        <v>0</v>
      </c>
      <c r="K63" s="113">
        <v>0</v>
      </c>
      <c r="L63" s="99">
        <f t="shared" si="16"/>
        <v>0.0275</v>
      </c>
      <c r="M63" s="93"/>
    </row>
    <row r="64" spans="1:13">
      <c r="A64" s="83">
        <v>50</v>
      </c>
      <c r="B64" s="115" t="s">
        <v>28</v>
      </c>
      <c r="C64" s="116" t="s">
        <v>154</v>
      </c>
      <c r="D64" s="116" t="s">
        <v>24</v>
      </c>
      <c r="E64" s="92"/>
      <c r="F64" s="117">
        <v>538.27</v>
      </c>
      <c r="G64" s="118">
        <v>18.65</v>
      </c>
      <c r="H64" s="76">
        <f t="shared" si="10"/>
        <v>1.00387355</v>
      </c>
      <c r="I64" s="76">
        <f>F64*14.5/10000</f>
        <v>0.7804915</v>
      </c>
      <c r="J64" s="76">
        <f>F64*4.09/10000</f>
        <v>0.22015243</v>
      </c>
      <c r="K64" s="76">
        <f>2.1*2*500/10000</f>
        <v>0.21</v>
      </c>
      <c r="L64" s="76">
        <f>SUM(I64:K64)</f>
        <v>1.21064393</v>
      </c>
      <c r="M64" s="76">
        <f>400*1*2/10000</f>
        <v>0.08</v>
      </c>
    </row>
    <row r="65" spans="1:13">
      <c r="A65" s="121"/>
      <c r="B65" s="121" t="s">
        <v>53</v>
      </c>
      <c r="C65" s="122">
        <f>COUNT(A2:A64)</f>
        <v>50</v>
      </c>
      <c r="D65" s="122"/>
      <c r="E65" s="123"/>
      <c r="F65" s="91">
        <f t="shared" ref="F65:M65" si="19">SUM(F2:F64)</f>
        <v>22197.81</v>
      </c>
      <c r="G65" s="91"/>
      <c r="H65" s="91">
        <f t="shared" si="19"/>
        <v>34.08769357</v>
      </c>
      <c r="I65" s="91">
        <f t="shared" si="19"/>
        <v>24.34501223</v>
      </c>
      <c r="J65" s="91">
        <f t="shared" si="19"/>
        <v>9.73875885</v>
      </c>
      <c r="K65" s="91">
        <f t="shared" si="19"/>
        <v>3.57</v>
      </c>
      <c r="L65" s="91">
        <f t="shared" si="19"/>
        <v>37.65877108</v>
      </c>
      <c r="M65" s="91">
        <f t="shared" si="19"/>
        <v>0.08</v>
      </c>
    </row>
    <row r="66" spans="1:13">
      <c r="A66" s="95">
        <v>51</v>
      </c>
      <c r="B66" s="95" t="s">
        <v>210</v>
      </c>
      <c r="C66" s="83" t="s">
        <v>18</v>
      </c>
      <c r="D66" s="83" t="s">
        <v>211</v>
      </c>
      <c r="E66" s="92" t="s">
        <v>212</v>
      </c>
      <c r="F66" s="83">
        <v>400</v>
      </c>
      <c r="G66" s="83">
        <v>10</v>
      </c>
      <c r="H66" s="93">
        <f t="shared" ref="H66:H117" si="20">F66*G66/10000</f>
        <v>0.4</v>
      </c>
      <c r="I66" s="97">
        <f t="shared" si="18"/>
        <v>0.4</v>
      </c>
      <c r="J66" s="83"/>
      <c r="K66" s="83">
        <f>200*2/10000</f>
        <v>0.04</v>
      </c>
      <c r="L66" s="97">
        <f t="shared" ref="L66:L88" si="21">I66+J66+K66</f>
        <v>0.44</v>
      </c>
      <c r="M66" s="83"/>
    </row>
    <row r="67" ht="19" spans="1:13">
      <c r="A67" s="103"/>
      <c r="B67" s="103"/>
      <c r="C67" s="83" t="s">
        <v>210</v>
      </c>
      <c r="D67" s="83" t="s">
        <v>213</v>
      </c>
      <c r="E67" s="92"/>
      <c r="F67" s="83">
        <v>500</v>
      </c>
      <c r="G67" s="83">
        <v>10</v>
      </c>
      <c r="H67" s="93">
        <f t="shared" si="20"/>
        <v>0.5</v>
      </c>
      <c r="I67" s="97">
        <f t="shared" si="18"/>
        <v>0.5</v>
      </c>
      <c r="J67" s="83"/>
      <c r="K67" s="83"/>
      <c r="L67" s="97">
        <f t="shared" si="21"/>
        <v>0.5</v>
      </c>
      <c r="M67" s="83"/>
    </row>
    <row r="68" spans="1:13">
      <c r="A68" s="96"/>
      <c r="B68" s="96"/>
      <c r="C68" s="83" t="s">
        <v>214</v>
      </c>
      <c r="D68" s="83" t="s">
        <v>215</v>
      </c>
      <c r="E68" s="92"/>
      <c r="F68" s="83">
        <v>250</v>
      </c>
      <c r="G68" s="83">
        <v>11</v>
      </c>
      <c r="H68" s="93">
        <f t="shared" si="20"/>
        <v>0.275</v>
      </c>
      <c r="I68" s="97">
        <f t="shared" si="18"/>
        <v>0.275</v>
      </c>
      <c r="J68" s="83"/>
      <c r="K68" s="83"/>
      <c r="L68" s="97">
        <f t="shared" si="21"/>
        <v>0.275</v>
      </c>
      <c r="M68" s="83"/>
    </row>
    <row r="69" spans="1:13">
      <c r="A69" s="83">
        <v>52</v>
      </c>
      <c r="B69" s="83" t="s">
        <v>216</v>
      </c>
      <c r="C69" s="83" t="s">
        <v>18</v>
      </c>
      <c r="D69" s="83" t="s">
        <v>17</v>
      </c>
      <c r="E69" s="92"/>
      <c r="F69" s="83">
        <v>100</v>
      </c>
      <c r="G69" s="83">
        <v>10</v>
      </c>
      <c r="H69" s="93">
        <f t="shared" si="20"/>
        <v>0.1</v>
      </c>
      <c r="I69" s="97">
        <f t="shared" si="18"/>
        <v>0.1</v>
      </c>
      <c r="J69" s="83"/>
      <c r="K69" s="83"/>
      <c r="L69" s="97">
        <f t="shared" si="21"/>
        <v>0.1</v>
      </c>
      <c r="M69" s="83"/>
    </row>
    <row r="70" spans="1:13">
      <c r="A70" s="95">
        <v>53</v>
      </c>
      <c r="B70" s="83" t="s">
        <v>217</v>
      </c>
      <c r="C70" s="83" t="s">
        <v>130</v>
      </c>
      <c r="D70" s="83" t="s">
        <v>218</v>
      </c>
      <c r="E70" s="92"/>
      <c r="F70" s="83">
        <v>500</v>
      </c>
      <c r="G70" s="83">
        <v>11.6</v>
      </c>
      <c r="H70" s="93">
        <f t="shared" si="20"/>
        <v>0.58</v>
      </c>
      <c r="I70" s="97">
        <f t="shared" si="18"/>
        <v>0.58</v>
      </c>
      <c r="J70" s="83"/>
      <c r="K70" s="83"/>
      <c r="L70" s="97">
        <f t="shared" si="21"/>
        <v>0.58</v>
      </c>
      <c r="M70" s="83"/>
    </row>
    <row r="71" spans="1:13">
      <c r="A71" s="96"/>
      <c r="B71" s="83"/>
      <c r="C71" s="83"/>
      <c r="D71" s="83"/>
      <c r="E71" s="92"/>
      <c r="F71" s="83">
        <v>400</v>
      </c>
      <c r="G71" s="83">
        <v>17.2</v>
      </c>
      <c r="H71" s="93">
        <f t="shared" si="20"/>
        <v>0.688</v>
      </c>
      <c r="I71" s="97">
        <f t="shared" si="18"/>
        <v>0.688</v>
      </c>
      <c r="J71" s="83"/>
      <c r="K71" s="83"/>
      <c r="L71" s="97">
        <f t="shared" si="21"/>
        <v>0.688</v>
      </c>
      <c r="M71" s="83"/>
    </row>
    <row r="72" spans="1:13">
      <c r="A72" s="95">
        <v>54</v>
      </c>
      <c r="B72" s="95" t="s">
        <v>219</v>
      </c>
      <c r="C72" s="83" t="s">
        <v>37</v>
      </c>
      <c r="D72" s="83" t="s">
        <v>220</v>
      </c>
      <c r="E72" s="92"/>
      <c r="F72" s="83">
        <v>210</v>
      </c>
      <c r="G72" s="83">
        <v>10</v>
      </c>
      <c r="H72" s="93">
        <f t="shared" si="20"/>
        <v>0.21</v>
      </c>
      <c r="I72" s="97">
        <f t="shared" si="18"/>
        <v>0.21</v>
      </c>
      <c r="J72" s="83"/>
      <c r="K72" s="83"/>
      <c r="L72" s="97">
        <f t="shared" si="21"/>
        <v>0.21</v>
      </c>
      <c r="M72" s="83"/>
    </row>
    <row r="73" spans="1:13">
      <c r="A73" s="96"/>
      <c r="B73" s="96"/>
      <c r="C73" s="83" t="s">
        <v>220</v>
      </c>
      <c r="D73" s="83" t="s">
        <v>221</v>
      </c>
      <c r="E73" s="92"/>
      <c r="F73" s="83">
        <v>150</v>
      </c>
      <c r="G73" s="83">
        <v>10</v>
      </c>
      <c r="H73" s="93">
        <f t="shared" si="20"/>
        <v>0.15</v>
      </c>
      <c r="I73" s="97">
        <f t="shared" si="18"/>
        <v>0.15</v>
      </c>
      <c r="J73" s="83"/>
      <c r="K73" s="83"/>
      <c r="L73" s="97">
        <f t="shared" si="21"/>
        <v>0.15</v>
      </c>
      <c r="M73" s="83"/>
    </row>
    <row r="74" ht="19" spans="1:13">
      <c r="A74" s="83">
        <v>55</v>
      </c>
      <c r="B74" s="83" t="s">
        <v>222</v>
      </c>
      <c r="C74" s="83" t="s">
        <v>223</v>
      </c>
      <c r="D74" s="83" t="s">
        <v>38</v>
      </c>
      <c r="E74" s="92"/>
      <c r="F74" s="83">
        <v>265</v>
      </c>
      <c r="G74" s="83">
        <v>6</v>
      </c>
      <c r="H74" s="93">
        <f t="shared" si="20"/>
        <v>0.159</v>
      </c>
      <c r="I74" s="97">
        <f t="shared" si="18"/>
        <v>0.159</v>
      </c>
      <c r="J74" s="83"/>
      <c r="K74" s="83"/>
      <c r="L74" s="97">
        <f t="shared" si="21"/>
        <v>0.159</v>
      </c>
      <c r="M74" s="83"/>
    </row>
    <row r="75" spans="1:13">
      <c r="A75" s="83">
        <v>56</v>
      </c>
      <c r="B75" s="83" t="s">
        <v>224</v>
      </c>
      <c r="C75" s="83" t="s">
        <v>220</v>
      </c>
      <c r="D75" s="83" t="s">
        <v>38</v>
      </c>
      <c r="E75" s="92"/>
      <c r="F75" s="83">
        <v>290</v>
      </c>
      <c r="G75" s="83">
        <v>7</v>
      </c>
      <c r="H75" s="93">
        <f t="shared" si="20"/>
        <v>0.203</v>
      </c>
      <c r="I75" s="97">
        <f t="shared" si="18"/>
        <v>0.203</v>
      </c>
      <c r="J75" s="83"/>
      <c r="K75" s="83"/>
      <c r="L75" s="97">
        <f t="shared" si="21"/>
        <v>0.203</v>
      </c>
      <c r="M75" s="83"/>
    </row>
    <row r="76" spans="1:13">
      <c r="A76" s="95">
        <v>57</v>
      </c>
      <c r="B76" s="95" t="s">
        <v>225</v>
      </c>
      <c r="C76" s="83" t="s">
        <v>65</v>
      </c>
      <c r="D76" s="83" t="s">
        <v>226</v>
      </c>
      <c r="E76" s="92"/>
      <c r="F76" s="83">
        <v>700</v>
      </c>
      <c r="G76" s="83">
        <v>7.6</v>
      </c>
      <c r="H76" s="93">
        <f t="shared" si="20"/>
        <v>0.532</v>
      </c>
      <c r="I76" s="97">
        <f t="shared" si="18"/>
        <v>0.532</v>
      </c>
      <c r="J76" s="83"/>
      <c r="K76" s="83"/>
      <c r="L76" s="97">
        <f t="shared" si="21"/>
        <v>0.532</v>
      </c>
      <c r="M76" s="83"/>
    </row>
    <row r="77" spans="1:13">
      <c r="A77" s="96"/>
      <c r="B77" s="96"/>
      <c r="C77" s="83" t="s">
        <v>226</v>
      </c>
      <c r="D77" s="83" t="s">
        <v>19</v>
      </c>
      <c r="E77" s="92"/>
      <c r="F77" s="83">
        <v>170</v>
      </c>
      <c r="G77" s="83">
        <v>7</v>
      </c>
      <c r="H77" s="93">
        <f t="shared" si="20"/>
        <v>0.119</v>
      </c>
      <c r="I77" s="97">
        <f t="shared" si="18"/>
        <v>0.119</v>
      </c>
      <c r="J77" s="83"/>
      <c r="K77" s="83"/>
      <c r="L77" s="97">
        <f t="shared" si="21"/>
        <v>0.119</v>
      </c>
      <c r="M77" s="83"/>
    </row>
    <row r="78" spans="1:13">
      <c r="A78" s="95">
        <v>58</v>
      </c>
      <c r="B78" s="95" t="s">
        <v>227</v>
      </c>
      <c r="C78" s="83" t="s">
        <v>65</v>
      </c>
      <c r="D78" s="83" t="s">
        <v>225</v>
      </c>
      <c r="E78" s="92"/>
      <c r="F78" s="83">
        <v>140</v>
      </c>
      <c r="G78" s="83">
        <v>6</v>
      </c>
      <c r="H78" s="93">
        <f t="shared" si="20"/>
        <v>0.084</v>
      </c>
      <c r="I78" s="97">
        <f t="shared" si="18"/>
        <v>0.084</v>
      </c>
      <c r="J78" s="83"/>
      <c r="K78" s="83"/>
      <c r="L78" s="97">
        <f t="shared" si="21"/>
        <v>0.084</v>
      </c>
      <c r="M78" s="83"/>
    </row>
    <row r="79" spans="1:13">
      <c r="A79" s="96"/>
      <c r="B79" s="96"/>
      <c r="C79" s="83" t="s">
        <v>228</v>
      </c>
      <c r="D79" s="83" t="s">
        <v>225</v>
      </c>
      <c r="E79" s="92"/>
      <c r="F79" s="83">
        <v>150</v>
      </c>
      <c r="G79" s="83">
        <v>5.5</v>
      </c>
      <c r="H79" s="93">
        <f t="shared" si="20"/>
        <v>0.0825</v>
      </c>
      <c r="I79" s="97">
        <f t="shared" si="18"/>
        <v>0.0825</v>
      </c>
      <c r="J79" s="83"/>
      <c r="K79" s="83"/>
      <c r="L79" s="97">
        <f t="shared" si="21"/>
        <v>0.0825</v>
      </c>
      <c r="M79" s="83"/>
    </row>
    <row r="80" ht="19" spans="1:13">
      <c r="A80" s="83">
        <v>59</v>
      </c>
      <c r="B80" s="83" t="s">
        <v>229</v>
      </c>
      <c r="C80" s="83" t="s">
        <v>230</v>
      </c>
      <c r="D80" s="83" t="s">
        <v>231</v>
      </c>
      <c r="E80" s="92"/>
      <c r="F80" s="83">
        <v>150</v>
      </c>
      <c r="G80" s="83">
        <v>8</v>
      </c>
      <c r="H80" s="93">
        <f t="shared" si="20"/>
        <v>0.12</v>
      </c>
      <c r="I80" s="97">
        <f t="shared" si="18"/>
        <v>0.12</v>
      </c>
      <c r="J80" s="83"/>
      <c r="K80" s="83"/>
      <c r="L80" s="97">
        <f t="shared" si="21"/>
        <v>0.12</v>
      </c>
      <c r="M80" s="83"/>
    </row>
    <row r="81" ht="19" spans="1:13">
      <c r="A81" s="83">
        <v>60</v>
      </c>
      <c r="B81" s="83" t="s">
        <v>232</v>
      </c>
      <c r="C81" s="83" t="s">
        <v>230</v>
      </c>
      <c r="D81" s="83" t="s">
        <v>233</v>
      </c>
      <c r="E81" s="92"/>
      <c r="F81" s="83">
        <v>160</v>
      </c>
      <c r="G81" s="83">
        <v>7</v>
      </c>
      <c r="H81" s="93">
        <f t="shared" si="20"/>
        <v>0.112</v>
      </c>
      <c r="I81" s="97">
        <f t="shared" si="18"/>
        <v>0.112</v>
      </c>
      <c r="J81" s="83"/>
      <c r="K81" s="83"/>
      <c r="L81" s="97">
        <f t="shared" si="21"/>
        <v>0.112</v>
      </c>
      <c r="M81" s="83"/>
    </row>
    <row r="82" ht="19" spans="1:13">
      <c r="A82" s="83">
        <v>61</v>
      </c>
      <c r="B82" s="83" t="s">
        <v>234</v>
      </c>
      <c r="C82" s="83" t="s">
        <v>230</v>
      </c>
      <c r="D82" s="83" t="s">
        <v>235</v>
      </c>
      <c r="E82" s="92"/>
      <c r="F82" s="83">
        <v>150</v>
      </c>
      <c r="G82" s="83">
        <v>6</v>
      </c>
      <c r="H82" s="93">
        <f t="shared" si="20"/>
        <v>0.09</v>
      </c>
      <c r="I82" s="97">
        <f t="shared" si="18"/>
        <v>0.09</v>
      </c>
      <c r="J82" s="83"/>
      <c r="K82" s="83"/>
      <c r="L82" s="97">
        <f t="shared" si="21"/>
        <v>0.09</v>
      </c>
      <c r="M82" s="83"/>
    </row>
    <row r="83" ht="28.5" spans="1:13">
      <c r="A83" s="83">
        <v>62</v>
      </c>
      <c r="B83" s="83" t="s">
        <v>236</v>
      </c>
      <c r="C83" s="83" t="s">
        <v>63</v>
      </c>
      <c r="D83" s="83" t="s">
        <v>237</v>
      </c>
      <c r="E83" s="92"/>
      <c r="F83" s="83">
        <v>150</v>
      </c>
      <c r="G83" s="83">
        <v>32</v>
      </c>
      <c r="H83" s="93">
        <f t="shared" si="20"/>
        <v>0.48</v>
      </c>
      <c r="I83" s="97">
        <f t="shared" si="18"/>
        <v>0.48</v>
      </c>
      <c r="J83" s="83"/>
      <c r="K83" s="83"/>
      <c r="L83" s="97">
        <f t="shared" si="21"/>
        <v>0.48</v>
      </c>
      <c r="M83" s="83"/>
    </row>
    <row r="84" ht="28.5" spans="1:13">
      <c r="A84" s="83">
        <v>63</v>
      </c>
      <c r="B84" s="83" t="s">
        <v>238</v>
      </c>
      <c r="C84" s="83" t="s">
        <v>146</v>
      </c>
      <c r="D84" s="83" t="s">
        <v>239</v>
      </c>
      <c r="E84" s="92"/>
      <c r="F84" s="83">
        <v>150</v>
      </c>
      <c r="G84" s="83">
        <v>8</v>
      </c>
      <c r="H84" s="93">
        <f t="shared" si="20"/>
        <v>0.12</v>
      </c>
      <c r="I84" s="97">
        <f t="shared" si="18"/>
        <v>0.12</v>
      </c>
      <c r="J84" s="83"/>
      <c r="K84" s="83"/>
      <c r="L84" s="97">
        <f t="shared" si="21"/>
        <v>0.12</v>
      </c>
      <c r="M84" s="83"/>
    </row>
    <row r="85" spans="1:13">
      <c r="A85" s="83">
        <v>64</v>
      </c>
      <c r="B85" s="83" t="s">
        <v>240</v>
      </c>
      <c r="C85" s="83" t="s">
        <v>42</v>
      </c>
      <c r="D85" s="83" t="s">
        <v>28</v>
      </c>
      <c r="E85" s="92"/>
      <c r="F85" s="83">
        <v>500</v>
      </c>
      <c r="G85" s="83">
        <v>6.5</v>
      </c>
      <c r="H85" s="97">
        <f t="shared" si="20"/>
        <v>0.325</v>
      </c>
      <c r="I85" s="97">
        <f t="shared" si="18"/>
        <v>0.325</v>
      </c>
      <c r="J85" s="93"/>
      <c r="K85" s="83"/>
      <c r="L85" s="97">
        <f t="shared" si="21"/>
        <v>0.325</v>
      </c>
      <c r="M85" s="83"/>
    </row>
    <row r="86" spans="1:13">
      <c r="A86" s="83">
        <v>65</v>
      </c>
      <c r="B86" s="83" t="s">
        <v>156</v>
      </c>
      <c r="C86" s="83" t="s">
        <v>28</v>
      </c>
      <c r="D86" s="83" t="s">
        <v>241</v>
      </c>
      <c r="E86" s="92"/>
      <c r="F86" s="83">
        <v>350</v>
      </c>
      <c r="G86" s="83">
        <v>6</v>
      </c>
      <c r="H86" s="97">
        <f t="shared" si="20"/>
        <v>0.21</v>
      </c>
      <c r="I86" s="97">
        <f t="shared" si="18"/>
        <v>0.21</v>
      </c>
      <c r="J86" s="93"/>
      <c r="K86" s="83"/>
      <c r="L86" s="97">
        <f t="shared" si="21"/>
        <v>0.21</v>
      </c>
      <c r="M86" s="83"/>
    </row>
    <row r="87" spans="1:13">
      <c r="A87" s="83">
        <v>66</v>
      </c>
      <c r="B87" s="83" t="s">
        <v>241</v>
      </c>
      <c r="C87" s="83" t="s">
        <v>156</v>
      </c>
      <c r="D87" s="83" t="s">
        <v>37</v>
      </c>
      <c r="E87" s="92"/>
      <c r="F87" s="83">
        <v>290</v>
      </c>
      <c r="G87" s="83">
        <v>3.8</v>
      </c>
      <c r="H87" s="97">
        <f t="shared" si="20"/>
        <v>0.1102</v>
      </c>
      <c r="I87" s="97">
        <f t="shared" si="18"/>
        <v>0.1102</v>
      </c>
      <c r="J87" s="93"/>
      <c r="K87" s="83"/>
      <c r="L87" s="97">
        <f t="shared" si="21"/>
        <v>0.1102</v>
      </c>
      <c r="M87" s="83"/>
    </row>
    <row r="88" ht="19" spans="1:13">
      <c r="A88" s="83">
        <v>67</v>
      </c>
      <c r="B88" s="83" t="s">
        <v>242</v>
      </c>
      <c r="C88" s="83" t="s">
        <v>41</v>
      </c>
      <c r="D88" s="83" t="s">
        <v>241</v>
      </c>
      <c r="E88" s="92"/>
      <c r="F88" s="83">
        <v>320</v>
      </c>
      <c r="G88" s="83">
        <v>9.5</v>
      </c>
      <c r="H88" s="97">
        <f t="shared" si="20"/>
        <v>0.304</v>
      </c>
      <c r="I88" s="97">
        <f>320*5.5/10000</f>
        <v>0.176</v>
      </c>
      <c r="J88" s="93">
        <f>320*2*2/10000</f>
        <v>0.128</v>
      </c>
      <c r="K88" s="83"/>
      <c r="L88" s="97">
        <f t="shared" si="21"/>
        <v>0.304</v>
      </c>
      <c r="M88" s="83"/>
    </row>
    <row r="89" spans="1:13">
      <c r="A89" s="83">
        <v>68</v>
      </c>
      <c r="B89" s="94" t="s">
        <v>243</v>
      </c>
      <c r="C89" s="94" t="s">
        <v>37</v>
      </c>
      <c r="D89" s="94" t="s">
        <v>244</v>
      </c>
      <c r="E89" s="92"/>
      <c r="F89" s="94">
        <v>250</v>
      </c>
      <c r="G89" s="94">
        <v>12</v>
      </c>
      <c r="H89" s="94">
        <f t="shared" si="20"/>
        <v>0.3</v>
      </c>
      <c r="I89" s="93">
        <v>0.3</v>
      </c>
      <c r="J89" s="93"/>
      <c r="K89" s="93">
        <v>0</v>
      </c>
      <c r="L89" s="93">
        <f>H89+K89</f>
        <v>0.3</v>
      </c>
      <c r="M89" s="119"/>
    </row>
    <row r="90" spans="1:13">
      <c r="A90" s="83">
        <v>69</v>
      </c>
      <c r="B90" s="83" t="s">
        <v>245</v>
      </c>
      <c r="C90" s="83" t="s">
        <v>241</v>
      </c>
      <c r="D90" s="83" t="s">
        <v>155</v>
      </c>
      <c r="E90" s="92"/>
      <c r="F90" s="83">
        <v>80</v>
      </c>
      <c r="G90" s="83">
        <v>7</v>
      </c>
      <c r="H90" s="97">
        <f t="shared" si="20"/>
        <v>0.056</v>
      </c>
      <c r="I90" s="97">
        <f t="shared" ref="I90:I95" si="22">F90*G90/10000</f>
        <v>0.056</v>
      </c>
      <c r="J90" s="93"/>
      <c r="K90" s="83"/>
      <c r="L90" s="97">
        <f t="shared" ref="L90:L103" si="23">I90+J90+K90</f>
        <v>0.056</v>
      </c>
      <c r="M90" s="83"/>
    </row>
    <row r="91" ht="19" spans="1:13">
      <c r="A91" s="83">
        <v>70</v>
      </c>
      <c r="B91" s="83" t="s">
        <v>246</v>
      </c>
      <c r="C91" s="83" t="s">
        <v>30</v>
      </c>
      <c r="D91" s="83" t="s">
        <v>247</v>
      </c>
      <c r="E91" s="92"/>
      <c r="F91" s="83">
        <v>132</v>
      </c>
      <c r="G91" s="83">
        <v>6.5</v>
      </c>
      <c r="H91" s="97">
        <f t="shared" si="20"/>
        <v>0.0858</v>
      </c>
      <c r="I91" s="93">
        <f t="shared" si="22"/>
        <v>0.0858</v>
      </c>
      <c r="J91" s="93"/>
      <c r="K91" s="93"/>
      <c r="L91" s="93">
        <f t="shared" si="23"/>
        <v>0.0858</v>
      </c>
      <c r="M91" s="83"/>
    </row>
    <row r="92" ht="28.5" spans="1:13">
      <c r="A92" s="83">
        <v>71</v>
      </c>
      <c r="B92" s="83" t="s">
        <v>248</v>
      </c>
      <c r="C92" s="83" t="s">
        <v>72</v>
      </c>
      <c r="D92" s="83" t="s">
        <v>249</v>
      </c>
      <c r="E92" s="92"/>
      <c r="F92" s="83">
        <v>110</v>
      </c>
      <c r="G92" s="83">
        <v>8.5</v>
      </c>
      <c r="H92" s="97">
        <f t="shared" si="20"/>
        <v>0.0935</v>
      </c>
      <c r="I92" s="93">
        <f t="shared" si="22"/>
        <v>0.0935</v>
      </c>
      <c r="J92" s="93"/>
      <c r="K92" s="93"/>
      <c r="L92" s="93">
        <f t="shared" si="23"/>
        <v>0.0935</v>
      </c>
      <c r="M92" s="83"/>
    </row>
    <row r="93" ht="19" spans="1:13">
      <c r="A93" s="83">
        <v>72</v>
      </c>
      <c r="B93" s="83" t="s">
        <v>250</v>
      </c>
      <c r="C93" s="83" t="s">
        <v>81</v>
      </c>
      <c r="D93" s="83" t="s">
        <v>251</v>
      </c>
      <c r="E93" s="92"/>
      <c r="F93" s="83">
        <v>60</v>
      </c>
      <c r="G93" s="83">
        <v>8</v>
      </c>
      <c r="H93" s="97">
        <f t="shared" si="20"/>
        <v>0.048</v>
      </c>
      <c r="I93" s="93">
        <f t="shared" si="22"/>
        <v>0.048</v>
      </c>
      <c r="J93" s="93"/>
      <c r="K93" s="93"/>
      <c r="L93" s="93">
        <f t="shared" si="23"/>
        <v>0.048</v>
      </c>
      <c r="M93" s="83"/>
    </row>
    <row r="94" ht="19" spans="1:13">
      <c r="A94" s="83">
        <v>73</v>
      </c>
      <c r="B94" s="83" t="s">
        <v>252</v>
      </c>
      <c r="C94" s="83" t="s">
        <v>253</v>
      </c>
      <c r="D94" s="83" t="s">
        <v>254</v>
      </c>
      <c r="E94" s="92"/>
      <c r="F94" s="83">
        <v>34</v>
      </c>
      <c r="G94" s="83">
        <v>12</v>
      </c>
      <c r="H94" s="97">
        <f t="shared" si="20"/>
        <v>0.0408</v>
      </c>
      <c r="I94" s="93">
        <f t="shared" si="22"/>
        <v>0.0408</v>
      </c>
      <c r="J94" s="93"/>
      <c r="K94" s="93"/>
      <c r="L94" s="93">
        <f t="shared" si="23"/>
        <v>0.0408</v>
      </c>
      <c r="M94" s="83"/>
    </row>
    <row r="95" ht="19" spans="1:13">
      <c r="A95" s="83">
        <v>74</v>
      </c>
      <c r="B95" s="83" t="s">
        <v>255</v>
      </c>
      <c r="C95" s="83" t="s">
        <v>158</v>
      </c>
      <c r="D95" s="83" t="s">
        <v>256</v>
      </c>
      <c r="E95" s="92"/>
      <c r="F95" s="83">
        <v>80</v>
      </c>
      <c r="G95" s="83">
        <v>8</v>
      </c>
      <c r="H95" s="97">
        <f t="shared" si="20"/>
        <v>0.064</v>
      </c>
      <c r="I95" s="93">
        <f t="shared" si="22"/>
        <v>0.064</v>
      </c>
      <c r="J95" s="93"/>
      <c r="K95" s="93">
        <f>60*3/10000</f>
        <v>0.018</v>
      </c>
      <c r="L95" s="93">
        <f t="shared" si="23"/>
        <v>0.082</v>
      </c>
      <c r="M95" s="83"/>
    </row>
    <row r="96" ht="19" spans="1:13">
      <c r="A96" s="83">
        <v>75</v>
      </c>
      <c r="B96" s="83" t="s">
        <v>257</v>
      </c>
      <c r="C96" s="83" t="s">
        <v>161</v>
      </c>
      <c r="D96" s="83" t="s">
        <v>30</v>
      </c>
      <c r="E96" s="92"/>
      <c r="F96" s="83">
        <v>200</v>
      </c>
      <c r="G96" s="83">
        <v>11</v>
      </c>
      <c r="H96" s="97">
        <f t="shared" si="20"/>
        <v>0.22</v>
      </c>
      <c r="I96" s="93">
        <f>F96*7/10000</f>
        <v>0.14</v>
      </c>
      <c r="J96" s="93">
        <f>200*2*2/10000</f>
        <v>0.08</v>
      </c>
      <c r="K96" s="93"/>
      <c r="L96" s="93">
        <f t="shared" si="23"/>
        <v>0.22</v>
      </c>
      <c r="M96" s="83"/>
    </row>
    <row r="97" ht="28.5" spans="1:13">
      <c r="A97" s="83">
        <v>76</v>
      </c>
      <c r="B97" s="83" t="s">
        <v>258</v>
      </c>
      <c r="C97" s="124" t="s">
        <v>259</v>
      </c>
      <c r="D97" s="83" t="s">
        <v>161</v>
      </c>
      <c r="E97" s="92"/>
      <c r="F97" s="83">
        <v>140</v>
      </c>
      <c r="G97" s="83">
        <v>28</v>
      </c>
      <c r="H97" s="97">
        <f t="shared" si="20"/>
        <v>0.392</v>
      </c>
      <c r="I97" s="93">
        <f t="shared" ref="I97:I104" si="24">F97*G97/10000</f>
        <v>0.392</v>
      </c>
      <c r="J97" s="93"/>
      <c r="K97" s="93">
        <f>50*40/10000</f>
        <v>0.2</v>
      </c>
      <c r="L97" s="93">
        <f t="shared" si="23"/>
        <v>0.592</v>
      </c>
      <c r="M97" s="83"/>
    </row>
    <row r="98" ht="19" spans="1:13">
      <c r="A98" s="83">
        <v>77</v>
      </c>
      <c r="B98" s="83" t="s">
        <v>260</v>
      </c>
      <c r="C98" s="83" t="s">
        <v>261</v>
      </c>
      <c r="D98" s="83" t="s">
        <v>262</v>
      </c>
      <c r="E98" s="92"/>
      <c r="F98" s="83">
        <v>300</v>
      </c>
      <c r="G98" s="83">
        <v>9</v>
      </c>
      <c r="H98" s="97">
        <f t="shared" si="20"/>
        <v>0.27</v>
      </c>
      <c r="I98" s="93">
        <f t="shared" si="24"/>
        <v>0.27</v>
      </c>
      <c r="J98" s="93"/>
      <c r="K98" s="93"/>
      <c r="L98" s="93">
        <f t="shared" si="23"/>
        <v>0.27</v>
      </c>
      <c r="M98" s="83"/>
    </row>
    <row r="99" spans="1:13">
      <c r="A99" s="83">
        <v>78</v>
      </c>
      <c r="B99" s="83" t="s">
        <v>261</v>
      </c>
      <c r="C99" s="83" t="s">
        <v>161</v>
      </c>
      <c r="D99" s="83" t="s">
        <v>158</v>
      </c>
      <c r="E99" s="92"/>
      <c r="F99" s="83">
        <v>150</v>
      </c>
      <c r="G99" s="83">
        <v>7</v>
      </c>
      <c r="H99" s="97">
        <f t="shared" si="20"/>
        <v>0.105</v>
      </c>
      <c r="I99" s="93">
        <f t="shared" si="24"/>
        <v>0.105</v>
      </c>
      <c r="J99" s="93"/>
      <c r="K99" s="93"/>
      <c r="L99" s="93">
        <f t="shared" si="23"/>
        <v>0.105</v>
      </c>
      <c r="M99" s="83"/>
    </row>
    <row r="100" ht="28.5" spans="1:13">
      <c r="A100" s="83">
        <v>79</v>
      </c>
      <c r="B100" s="83" t="s">
        <v>263</v>
      </c>
      <c r="C100" s="83" t="s">
        <v>264</v>
      </c>
      <c r="D100" s="83" t="s">
        <v>265</v>
      </c>
      <c r="E100" s="92"/>
      <c r="F100" s="83">
        <v>250</v>
      </c>
      <c r="G100" s="83">
        <v>9</v>
      </c>
      <c r="H100" s="97">
        <f t="shared" si="20"/>
        <v>0.225</v>
      </c>
      <c r="I100" s="93">
        <f t="shared" si="24"/>
        <v>0.225</v>
      </c>
      <c r="J100" s="83"/>
      <c r="K100" s="83"/>
      <c r="L100" s="93">
        <f t="shared" si="23"/>
        <v>0.225</v>
      </c>
      <c r="M100" s="83"/>
    </row>
    <row r="101" spans="1:13">
      <c r="A101" s="95">
        <v>80</v>
      </c>
      <c r="B101" s="95" t="s">
        <v>162</v>
      </c>
      <c r="C101" s="83" t="s">
        <v>161</v>
      </c>
      <c r="D101" s="83" t="s">
        <v>30</v>
      </c>
      <c r="E101" s="92"/>
      <c r="F101" s="83">
        <v>150</v>
      </c>
      <c r="G101" s="83">
        <v>12</v>
      </c>
      <c r="H101" s="97">
        <f t="shared" si="20"/>
        <v>0.18</v>
      </c>
      <c r="I101" s="93">
        <f t="shared" si="24"/>
        <v>0.18</v>
      </c>
      <c r="J101" s="83"/>
      <c r="K101" s="83"/>
      <c r="L101" s="93">
        <f t="shared" si="23"/>
        <v>0.18</v>
      </c>
      <c r="M101" s="83"/>
    </row>
    <row r="102" spans="1:13">
      <c r="A102" s="96"/>
      <c r="B102" s="96"/>
      <c r="C102" s="83" t="s">
        <v>161</v>
      </c>
      <c r="D102" s="83" t="s">
        <v>260</v>
      </c>
      <c r="E102" s="92"/>
      <c r="F102" s="83">
        <v>50</v>
      </c>
      <c r="G102" s="83">
        <v>6</v>
      </c>
      <c r="H102" s="97">
        <f t="shared" si="20"/>
        <v>0.03</v>
      </c>
      <c r="I102" s="93">
        <f t="shared" si="24"/>
        <v>0.03</v>
      </c>
      <c r="J102" s="83"/>
      <c r="K102" s="83"/>
      <c r="L102" s="93">
        <f t="shared" si="23"/>
        <v>0.03</v>
      </c>
      <c r="M102" s="83"/>
    </row>
    <row r="103" ht="28.5" spans="1:13">
      <c r="A103" s="95">
        <v>81</v>
      </c>
      <c r="B103" s="95" t="s">
        <v>160</v>
      </c>
      <c r="C103" s="83" t="s">
        <v>161</v>
      </c>
      <c r="D103" s="83" t="s">
        <v>266</v>
      </c>
      <c r="E103" s="92"/>
      <c r="F103" s="83">
        <v>150</v>
      </c>
      <c r="G103" s="83">
        <v>13</v>
      </c>
      <c r="H103" s="97">
        <f t="shared" si="20"/>
        <v>0.195</v>
      </c>
      <c r="I103" s="93">
        <f t="shared" si="24"/>
        <v>0.195</v>
      </c>
      <c r="J103" s="127"/>
      <c r="K103" s="127">
        <f>15*50*2/10000</f>
        <v>0.15</v>
      </c>
      <c r="L103" s="93">
        <f t="shared" si="23"/>
        <v>0.345</v>
      </c>
      <c r="M103" s="95"/>
    </row>
    <row r="104" spans="1:13">
      <c r="A104" s="96"/>
      <c r="B104" s="96"/>
      <c r="C104" s="94" t="s">
        <v>158</v>
      </c>
      <c r="D104" s="94" t="s">
        <v>72</v>
      </c>
      <c r="E104" s="92"/>
      <c r="F104" s="93">
        <v>200</v>
      </c>
      <c r="G104" s="93">
        <v>15</v>
      </c>
      <c r="H104" s="93">
        <f t="shared" si="20"/>
        <v>0.3</v>
      </c>
      <c r="I104" s="93">
        <f t="shared" si="24"/>
        <v>0.3</v>
      </c>
      <c r="J104" s="128">
        <v>0</v>
      </c>
      <c r="K104" s="128">
        <v>0</v>
      </c>
      <c r="L104" s="93">
        <f>H104+K104</f>
        <v>0.3</v>
      </c>
      <c r="M104" s="128"/>
    </row>
    <row r="105" ht="19" spans="1:13">
      <c r="A105" s="83">
        <v>82</v>
      </c>
      <c r="B105" s="100" t="s">
        <v>267</v>
      </c>
      <c r="C105" s="83" t="s">
        <v>35</v>
      </c>
      <c r="D105" s="83" t="s">
        <v>92</v>
      </c>
      <c r="E105" s="92"/>
      <c r="F105" s="83">
        <v>300</v>
      </c>
      <c r="G105" s="83">
        <v>24</v>
      </c>
      <c r="H105" s="101">
        <f t="shared" si="20"/>
        <v>0.72</v>
      </c>
      <c r="I105" s="93">
        <f>F105*16/10000</f>
        <v>0.48</v>
      </c>
      <c r="J105" s="93">
        <f>300*4*2/10000</f>
        <v>0.24</v>
      </c>
      <c r="K105" s="93"/>
      <c r="L105" s="93">
        <f t="shared" ref="L105:L111" si="25">I105+J105+K105</f>
        <v>0.72</v>
      </c>
      <c r="M105" s="83"/>
    </row>
    <row r="106" ht="19" spans="1:13">
      <c r="A106" s="83">
        <v>83</v>
      </c>
      <c r="B106" s="100" t="s">
        <v>268</v>
      </c>
      <c r="C106" s="83" t="s">
        <v>75</v>
      </c>
      <c r="D106" s="83" t="s">
        <v>35</v>
      </c>
      <c r="E106" s="92"/>
      <c r="F106" s="83">
        <v>300</v>
      </c>
      <c r="G106" s="83">
        <v>20</v>
      </c>
      <c r="H106" s="101">
        <f t="shared" si="20"/>
        <v>0.6</v>
      </c>
      <c r="I106" s="93">
        <f>F106*10/10000</f>
        <v>0.3</v>
      </c>
      <c r="J106" s="93">
        <f>300*5*2/10000</f>
        <v>0.3</v>
      </c>
      <c r="K106" s="93">
        <f>300*50/10000</f>
        <v>1.5</v>
      </c>
      <c r="L106" s="93">
        <f t="shared" si="25"/>
        <v>2.1</v>
      </c>
      <c r="M106" s="83"/>
    </row>
    <row r="107" ht="19" spans="1:13">
      <c r="A107" s="83">
        <v>84</v>
      </c>
      <c r="B107" s="100" t="s">
        <v>269</v>
      </c>
      <c r="C107" s="83" t="s">
        <v>35</v>
      </c>
      <c r="D107" s="83" t="s">
        <v>75</v>
      </c>
      <c r="E107" s="92"/>
      <c r="F107" s="83">
        <v>250</v>
      </c>
      <c r="G107" s="83">
        <v>16</v>
      </c>
      <c r="H107" s="101">
        <f t="shared" si="20"/>
        <v>0.4</v>
      </c>
      <c r="I107" s="93">
        <f>F107*8/10000</f>
        <v>0.2</v>
      </c>
      <c r="J107" s="93">
        <f>250*4*2/10000</f>
        <v>0.2</v>
      </c>
      <c r="K107" s="93"/>
      <c r="L107" s="93">
        <f t="shared" si="25"/>
        <v>0.4</v>
      </c>
      <c r="M107" s="83"/>
    </row>
    <row r="108" spans="1:13">
      <c r="A108" s="83">
        <v>85</v>
      </c>
      <c r="B108" s="100" t="s">
        <v>76</v>
      </c>
      <c r="C108" s="83" t="s">
        <v>48</v>
      </c>
      <c r="D108" s="83" t="s">
        <v>62</v>
      </c>
      <c r="E108" s="92"/>
      <c r="F108" s="83">
        <v>8600</v>
      </c>
      <c r="G108" s="83">
        <v>17</v>
      </c>
      <c r="H108" s="101">
        <f t="shared" si="20"/>
        <v>14.62</v>
      </c>
      <c r="I108" s="93">
        <f>F108*11/10000</f>
        <v>9.46</v>
      </c>
      <c r="J108" s="93">
        <f>8600*3*2/10000</f>
        <v>5.16</v>
      </c>
      <c r="K108" s="93">
        <f>500*15*2/10000</f>
        <v>1.5</v>
      </c>
      <c r="L108" s="93">
        <f t="shared" si="25"/>
        <v>16.12</v>
      </c>
      <c r="M108" s="83"/>
    </row>
    <row r="109" ht="28.5" spans="1:13">
      <c r="A109" s="83">
        <v>86</v>
      </c>
      <c r="B109" s="100" t="s">
        <v>270</v>
      </c>
      <c r="C109" s="83" t="s">
        <v>271</v>
      </c>
      <c r="D109" s="83" t="s">
        <v>272</v>
      </c>
      <c r="E109" s="92"/>
      <c r="F109" s="83">
        <v>600</v>
      </c>
      <c r="G109" s="83">
        <v>13</v>
      </c>
      <c r="H109" s="101">
        <f t="shared" si="20"/>
        <v>0.78</v>
      </c>
      <c r="I109" s="93">
        <f>F109*G109/10000</f>
        <v>0.78</v>
      </c>
      <c r="J109" s="93"/>
      <c r="K109" s="93"/>
      <c r="L109" s="93">
        <f t="shared" si="25"/>
        <v>0.78</v>
      </c>
      <c r="M109" s="83"/>
    </row>
    <row r="110" spans="1:13">
      <c r="A110" s="83">
        <v>87</v>
      </c>
      <c r="B110" s="100" t="s">
        <v>273</v>
      </c>
      <c r="C110" s="83" t="s">
        <v>170</v>
      </c>
      <c r="D110" s="83" t="s">
        <v>73</v>
      </c>
      <c r="E110" s="92"/>
      <c r="F110" s="83">
        <v>400</v>
      </c>
      <c r="G110" s="83">
        <v>20</v>
      </c>
      <c r="H110" s="101">
        <f t="shared" si="20"/>
        <v>0.8</v>
      </c>
      <c r="I110" s="93">
        <f>F110*14/10000</f>
        <v>0.56</v>
      </c>
      <c r="J110" s="93">
        <f>400*3*2/10000</f>
        <v>0.24</v>
      </c>
      <c r="K110" s="93"/>
      <c r="L110" s="93">
        <f t="shared" si="25"/>
        <v>0.8</v>
      </c>
      <c r="M110" s="83"/>
    </row>
    <row r="111" spans="1:13">
      <c r="A111" s="83">
        <v>88</v>
      </c>
      <c r="B111" s="100" t="s">
        <v>272</v>
      </c>
      <c r="C111" s="83" t="s">
        <v>273</v>
      </c>
      <c r="D111" s="83" t="s">
        <v>73</v>
      </c>
      <c r="E111" s="92"/>
      <c r="F111" s="83">
        <v>400</v>
      </c>
      <c r="G111" s="83">
        <v>11</v>
      </c>
      <c r="H111" s="101">
        <f t="shared" si="20"/>
        <v>0.44</v>
      </c>
      <c r="I111" s="93">
        <f>F111*G111/10000</f>
        <v>0.44</v>
      </c>
      <c r="J111" s="93"/>
      <c r="K111" s="93"/>
      <c r="L111" s="93">
        <f t="shared" si="25"/>
        <v>0.44</v>
      </c>
      <c r="M111" s="83"/>
    </row>
    <row r="112" ht="19" spans="1:13">
      <c r="A112" s="83">
        <v>89</v>
      </c>
      <c r="B112" s="94" t="s">
        <v>274</v>
      </c>
      <c r="C112" s="94" t="s">
        <v>76</v>
      </c>
      <c r="D112" s="94" t="s">
        <v>275</v>
      </c>
      <c r="E112" s="92"/>
      <c r="F112" s="94">
        <v>240</v>
      </c>
      <c r="G112" s="94">
        <v>7</v>
      </c>
      <c r="H112" s="99">
        <f t="shared" si="20"/>
        <v>0.168</v>
      </c>
      <c r="I112" s="113">
        <v>0.17</v>
      </c>
      <c r="J112" s="113"/>
      <c r="K112" s="113" t="s">
        <v>47</v>
      </c>
      <c r="L112" s="93">
        <f>F112*G112/10000</f>
        <v>0.168</v>
      </c>
      <c r="M112" s="113"/>
    </row>
    <row r="113" ht="19" spans="1:13">
      <c r="A113" s="83">
        <v>90</v>
      </c>
      <c r="B113" s="94" t="s">
        <v>276</v>
      </c>
      <c r="C113" s="94" t="s">
        <v>76</v>
      </c>
      <c r="D113" s="94" t="s">
        <v>275</v>
      </c>
      <c r="E113" s="92"/>
      <c r="F113" s="94">
        <v>240</v>
      </c>
      <c r="G113" s="94">
        <v>7</v>
      </c>
      <c r="H113" s="99">
        <f t="shared" si="20"/>
        <v>0.168</v>
      </c>
      <c r="I113" s="113">
        <v>0.17</v>
      </c>
      <c r="J113" s="113"/>
      <c r="K113" s="113" t="s">
        <v>47</v>
      </c>
      <c r="L113" s="93">
        <f>F113*G113/10000</f>
        <v>0.168</v>
      </c>
      <c r="M113" s="113"/>
    </row>
    <row r="114" ht="38" spans="1:13">
      <c r="A114" s="83">
        <v>91</v>
      </c>
      <c r="B114" s="94" t="s">
        <v>277</v>
      </c>
      <c r="C114" s="94" t="s">
        <v>278</v>
      </c>
      <c r="D114" s="94" t="s">
        <v>279</v>
      </c>
      <c r="E114" s="92"/>
      <c r="F114" s="93">
        <v>340</v>
      </c>
      <c r="G114" s="93">
        <v>12.2</v>
      </c>
      <c r="H114" s="93">
        <f t="shared" si="20"/>
        <v>0.4148</v>
      </c>
      <c r="I114" s="113">
        <f>340*7/10000</f>
        <v>0.238</v>
      </c>
      <c r="J114" s="113">
        <f>340*5.2/10000</f>
        <v>0.1768</v>
      </c>
      <c r="K114" s="113"/>
      <c r="L114" s="93">
        <f t="shared" ref="L114:L117" si="26">H114+K114</f>
        <v>0.4148</v>
      </c>
      <c r="M114" s="119"/>
    </row>
    <row r="115" ht="23" spans="1:13">
      <c r="A115" s="83">
        <v>92</v>
      </c>
      <c r="B115" s="94" t="s">
        <v>280</v>
      </c>
      <c r="C115" s="94" t="s">
        <v>48</v>
      </c>
      <c r="D115" s="94" t="s">
        <v>275</v>
      </c>
      <c r="E115" s="92"/>
      <c r="F115" s="93">
        <v>100</v>
      </c>
      <c r="G115" s="93">
        <v>22</v>
      </c>
      <c r="H115" s="93">
        <f t="shared" si="20"/>
        <v>0.22</v>
      </c>
      <c r="I115" s="93">
        <f>100*16/10000</f>
        <v>0.16</v>
      </c>
      <c r="J115" s="93">
        <f>100*6/10000</f>
        <v>0.06</v>
      </c>
      <c r="K115" s="93">
        <f>40*20/10000</f>
        <v>0.08</v>
      </c>
      <c r="L115" s="93">
        <f t="shared" si="26"/>
        <v>0.3</v>
      </c>
      <c r="M115" s="129"/>
    </row>
    <row r="116" spans="1:13">
      <c r="A116" s="83">
        <v>93</v>
      </c>
      <c r="B116" s="114" t="s">
        <v>275</v>
      </c>
      <c r="C116" s="98" t="s">
        <v>75</v>
      </c>
      <c r="D116" s="98" t="s">
        <v>204</v>
      </c>
      <c r="E116" s="92"/>
      <c r="F116" s="113">
        <v>550</v>
      </c>
      <c r="G116" s="113">
        <v>15</v>
      </c>
      <c r="H116" s="93">
        <f t="shared" si="20"/>
        <v>0.825</v>
      </c>
      <c r="I116" s="113">
        <f>550*9/10000</f>
        <v>0.495</v>
      </c>
      <c r="J116" s="113">
        <f>550*6/10000</f>
        <v>0.33</v>
      </c>
      <c r="K116" s="113"/>
      <c r="L116" s="93">
        <f t="shared" si="26"/>
        <v>0.825</v>
      </c>
      <c r="M116" s="129"/>
    </row>
    <row r="117" ht="19" spans="1:13">
      <c r="A117" s="83"/>
      <c r="B117" s="125"/>
      <c r="C117" s="94" t="s">
        <v>76</v>
      </c>
      <c r="D117" s="94" t="s">
        <v>281</v>
      </c>
      <c r="E117" s="92"/>
      <c r="F117" s="93">
        <v>200</v>
      </c>
      <c r="G117" s="93">
        <v>12</v>
      </c>
      <c r="H117" s="93">
        <f t="shared" si="20"/>
        <v>0.24</v>
      </c>
      <c r="I117" s="113">
        <f>200*8/10000</f>
        <v>0.16</v>
      </c>
      <c r="J117" s="113">
        <f>200*4/10000</f>
        <v>0.08</v>
      </c>
      <c r="K117" s="113">
        <f>200*6/10000</f>
        <v>0.12</v>
      </c>
      <c r="L117" s="93">
        <f t="shared" si="26"/>
        <v>0.36</v>
      </c>
      <c r="M117" s="129"/>
    </row>
    <row r="118" ht="19" spans="1:13">
      <c r="A118" s="126">
        <v>94</v>
      </c>
      <c r="B118" s="83" t="s">
        <v>282</v>
      </c>
      <c r="C118" s="83" t="s">
        <v>283</v>
      </c>
      <c r="D118" s="83" t="s">
        <v>170</v>
      </c>
      <c r="E118" s="92"/>
      <c r="F118" s="83">
        <v>30</v>
      </c>
      <c r="G118" s="83">
        <v>3</v>
      </c>
      <c r="H118" s="83">
        <v>0.1</v>
      </c>
      <c r="I118" s="83">
        <v>0.01</v>
      </c>
      <c r="J118" s="83">
        <v>0</v>
      </c>
      <c r="K118" s="83">
        <v>0</v>
      </c>
      <c r="L118" s="83">
        <v>0.01</v>
      </c>
      <c r="M118" s="83"/>
    </row>
    <row r="119" ht="19" spans="1:13">
      <c r="A119" s="126">
        <v>95</v>
      </c>
      <c r="B119" s="83" t="s">
        <v>284</v>
      </c>
      <c r="C119" s="83" t="s">
        <v>76</v>
      </c>
      <c r="D119" s="83" t="s">
        <v>170</v>
      </c>
      <c r="E119" s="92"/>
      <c r="F119" s="83">
        <v>170</v>
      </c>
      <c r="G119" s="83">
        <v>6</v>
      </c>
      <c r="H119" s="83">
        <v>0.1</v>
      </c>
      <c r="I119" s="83">
        <v>0.1</v>
      </c>
      <c r="J119" s="83">
        <v>0</v>
      </c>
      <c r="K119" s="83">
        <v>0</v>
      </c>
      <c r="L119" s="83">
        <v>0.1</v>
      </c>
      <c r="M119" s="83"/>
    </row>
    <row r="120" spans="1:13">
      <c r="A120" s="126">
        <v>96</v>
      </c>
      <c r="B120" s="83" t="s">
        <v>285</v>
      </c>
      <c r="C120" s="83" t="s">
        <v>35</v>
      </c>
      <c r="D120" s="83" t="s">
        <v>286</v>
      </c>
      <c r="E120" s="92"/>
      <c r="F120" s="83">
        <v>70</v>
      </c>
      <c r="G120" s="83">
        <v>8</v>
      </c>
      <c r="H120" s="83">
        <v>0.06</v>
      </c>
      <c r="I120" s="83">
        <v>0.06</v>
      </c>
      <c r="J120" s="83">
        <v>0</v>
      </c>
      <c r="K120" s="83">
        <v>0</v>
      </c>
      <c r="L120" s="83">
        <v>0.06</v>
      </c>
      <c r="M120" s="83"/>
    </row>
    <row r="121" ht="19" spans="1:13">
      <c r="A121" s="126">
        <v>97</v>
      </c>
      <c r="B121" s="83" t="s">
        <v>287</v>
      </c>
      <c r="C121" s="83" t="s">
        <v>92</v>
      </c>
      <c r="D121" s="83" t="s">
        <v>288</v>
      </c>
      <c r="E121" s="92"/>
      <c r="F121" s="83">
        <v>30</v>
      </c>
      <c r="G121" s="83">
        <v>14</v>
      </c>
      <c r="H121" s="83">
        <v>0.04</v>
      </c>
      <c r="I121" s="83">
        <v>0.04</v>
      </c>
      <c r="J121" s="83">
        <v>0</v>
      </c>
      <c r="K121" s="83">
        <v>0</v>
      </c>
      <c r="L121" s="83">
        <v>0.04</v>
      </c>
      <c r="M121" s="83"/>
    </row>
    <row r="122" ht="19" spans="1:13">
      <c r="A122" s="126">
        <v>98</v>
      </c>
      <c r="B122" s="83" t="s">
        <v>289</v>
      </c>
      <c r="C122" s="83" t="s">
        <v>92</v>
      </c>
      <c r="D122" s="83" t="s">
        <v>290</v>
      </c>
      <c r="E122" s="92"/>
      <c r="F122" s="83">
        <v>50</v>
      </c>
      <c r="G122" s="83">
        <v>6</v>
      </c>
      <c r="H122" s="83">
        <v>0.03</v>
      </c>
      <c r="I122" s="83">
        <v>0.03</v>
      </c>
      <c r="J122" s="83">
        <v>0</v>
      </c>
      <c r="K122" s="83">
        <v>0</v>
      </c>
      <c r="L122" s="83">
        <v>0.03</v>
      </c>
      <c r="M122" s="83"/>
    </row>
    <row r="123" ht="38" spans="1:13">
      <c r="A123" s="83">
        <v>99</v>
      </c>
      <c r="B123" s="83" t="s">
        <v>291</v>
      </c>
      <c r="C123" s="83" t="s">
        <v>58</v>
      </c>
      <c r="D123" s="83" t="s">
        <v>292</v>
      </c>
      <c r="E123" s="92"/>
      <c r="F123" s="83">
        <v>88</v>
      </c>
      <c r="G123" s="83">
        <v>7</v>
      </c>
      <c r="H123" s="83">
        <v>0.06</v>
      </c>
      <c r="I123" s="83">
        <v>0.06</v>
      </c>
      <c r="J123" s="83">
        <v>0</v>
      </c>
      <c r="K123" s="83">
        <v>0</v>
      </c>
      <c r="L123" s="83">
        <v>0.06</v>
      </c>
      <c r="M123" s="83"/>
    </row>
    <row r="124" ht="19" spans="1:13">
      <c r="A124" s="126">
        <v>100</v>
      </c>
      <c r="B124" s="83" t="s">
        <v>293</v>
      </c>
      <c r="C124" s="83" t="s">
        <v>294</v>
      </c>
      <c r="D124" s="83"/>
      <c r="E124" s="92"/>
      <c r="F124" s="83">
        <v>110</v>
      </c>
      <c r="G124" s="83">
        <v>8</v>
      </c>
      <c r="H124" s="83">
        <v>0.09</v>
      </c>
      <c r="I124" s="83">
        <v>0.09</v>
      </c>
      <c r="J124" s="83">
        <v>0</v>
      </c>
      <c r="K124" s="83">
        <v>0</v>
      </c>
      <c r="L124" s="83">
        <v>0.09</v>
      </c>
      <c r="M124" s="83"/>
    </row>
    <row r="125" ht="28.5" spans="1:13">
      <c r="A125" s="126">
        <v>101</v>
      </c>
      <c r="B125" s="83" t="s">
        <v>295</v>
      </c>
      <c r="C125" s="83" t="s">
        <v>296</v>
      </c>
      <c r="D125" s="83" t="s">
        <v>203</v>
      </c>
      <c r="E125" s="92"/>
      <c r="F125" s="83">
        <v>25</v>
      </c>
      <c r="G125" s="83">
        <v>15</v>
      </c>
      <c r="H125" s="83">
        <v>0.04</v>
      </c>
      <c r="I125" s="83">
        <v>0.04</v>
      </c>
      <c r="J125" s="83">
        <v>0</v>
      </c>
      <c r="K125" s="83">
        <v>0</v>
      </c>
      <c r="L125" s="83">
        <v>0.04</v>
      </c>
      <c r="M125" s="83"/>
    </row>
    <row r="126" ht="19" spans="1:13">
      <c r="A126" s="126">
        <v>102</v>
      </c>
      <c r="B126" s="83" t="s">
        <v>297</v>
      </c>
      <c r="C126" s="83" t="s">
        <v>298</v>
      </c>
      <c r="D126" s="83" t="s">
        <v>299</v>
      </c>
      <c r="E126" s="92"/>
      <c r="F126" s="83">
        <v>65</v>
      </c>
      <c r="G126" s="83">
        <v>15</v>
      </c>
      <c r="H126" s="83">
        <v>0.1</v>
      </c>
      <c r="I126" s="83">
        <v>0.1</v>
      </c>
      <c r="J126" s="83">
        <v>0</v>
      </c>
      <c r="K126" s="83">
        <v>0</v>
      </c>
      <c r="L126" s="83">
        <v>0.1</v>
      </c>
      <c r="M126" s="83"/>
    </row>
    <row r="127" ht="28.5" spans="1:13">
      <c r="A127" s="126">
        <v>103</v>
      </c>
      <c r="B127" s="83" t="s">
        <v>300</v>
      </c>
      <c r="C127" s="83" t="s">
        <v>301</v>
      </c>
      <c r="D127" s="83"/>
      <c r="E127" s="92"/>
      <c r="F127" s="83">
        <v>55</v>
      </c>
      <c r="G127" s="83">
        <v>17</v>
      </c>
      <c r="H127" s="83">
        <v>0.09</v>
      </c>
      <c r="I127" s="83">
        <v>0.09</v>
      </c>
      <c r="J127" s="83">
        <v>0</v>
      </c>
      <c r="K127" s="83">
        <v>0</v>
      </c>
      <c r="L127" s="83">
        <v>0.09</v>
      </c>
      <c r="M127" s="83"/>
    </row>
    <row r="128" ht="28.5" spans="1:13">
      <c r="A128" s="126">
        <v>104</v>
      </c>
      <c r="B128" s="83" t="s">
        <v>302</v>
      </c>
      <c r="C128" s="83" t="s">
        <v>68</v>
      </c>
      <c r="D128" s="83" t="s">
        <v>303</v>
      </c>
      <c r="E128" s="92"/>
      <c r="F128" s="83">
        <v>66</v>
      </c>
      <c r="G128" s="83">
        <v>5</v>
      </c>
      <c r="H128" s="83">
        <v>0.03</v>
      </c>
      <c r="I128" s="83">
        <v>0.03</v>
      </c>
      <c r="J128" s="83">
        <v>0</v>
      </c>
      <c r="K128" s="83">
        <v>0</v>
      </c>
      <c r="L128" s="83">
        <v>0.03</v>
      </c>
      <c r="M128" s="83"/>
    </row>
    <row r="129" ht="28.5" spans="1:13">
      <c r="A129" s="126">
        <v>105</v>
      </c>
      <c r="B129" s="83" t="s">
        <v>304</v>
      </c>
      <c r="C129" s="83" t="s">
        <v>305</v>
      </c>
      <c r="D129" s="83" t="s">
        <v>76</v>
      </c>
      <c r="E129" s="92"/>
      <c r="F129" s="83">
        <v>496</v>
      </c>
      <c r="G129" s="83">
        <v>4</v>
      </c>
      <c r="H129" s="83">
        <v>0.2</v>
      </c>
      <c r="I129" s="83">
        <v>0.2</v>
      </c>
      <c r="J129" s="83">
        <v>0</v>
      </c>
      <c r="K129" s="83">
        <v>0</v>
      </c>
      <c r="L129" s="83">
        <v>0.2</v>
      </c>
      <c r="M129" s="83"/>
    </row>
    <row r="130" ht="19" spans="1:13">
      <c r="A130" s="126">
        <v>106</v>
      </c>
      <c r="B130" s="83" t="s">
        <v>306</v>
      </c>
      <c r="C130" s="83" t="s">
        <v>92</v>
      </c>
      <c r="D130" s="83" t="s">
        <v>307</v>
      </c>
      <c r="E130" s="92"/>
      <c r="F130" s="83">
        <v>125</v>
      </c>
      <c r="G130" s="83">
        <v>5</v>
      </c>
      <c r="H130" s="83">
        <v>0.06</v>
      </c>
      <c r="I130" s="83">
        <v>0.06</v>
      </c>
      <c r="J130" s="83">
        <v>0</v>
      </c>
      <c r="K130" s="83">
        <v>0</v>
      </c>
      <c r="L130" s="83">
        <v>0.06</v>
      </c>
      <c r="M130" s="83"/>
    </row>
    <row r="131" ht="19" spans="1:13">
      <c r="A131" s="126">
        <v>107</v>
      </c>
      <c r="B131" s="83" t="s">
        <v>308</v>
      </c>
      <c r="C131" s="83" t="s">
        <v>68</v>
      </c>
      <c r="D131" s="83" t="s">
        <v>309</v>
      </c>
      <c r="E131" s="92"/>
      <c r="F131" s="83">
        <v>41</v>
      </c>
      <c r="G131" s="83">
        <v>6</v>
      </c>
      <c r="H131" s="83">
        <v>0.03</v>
      </c>
      <c r="I131" s="83">
        <v>0.03</v>
      </c>
      <c r="J131" s="83">
        <v>0</v>
      </c>
      <c r="K131" s="83">
        <v>0</v>
      </c>
      <c r="L131" s="83">
        <v>0.03</v>
      </c>
      <c r="M131" s="83"/>
    </row>
    <row r="132" ht="19" spans="1:13">
      <c r="A132" s="126">
        <v>108</v>
      </c>
      <c r="B132" s="83" t="s">
        <v>310</v>
      </c>
      <c r="C132" s="83" t="s">
        <v>301</v>
      </c>
      <c r="D132" s="83"/>
      <c r="E132" s="92"/>
      <c r="F132" s="83">
        <v>287</v>
      </c>
      <c r="G132" s="83">
        <v>48</v>
      </c>
      <c r="H132" s="83">
        <v>0.18</v>
      </c>
      <c r="I132" s="83">
        <v>0.18</v>
      </c>
      <c r="J132" s="83">
        <v>0</v>
      </c>
      <c r="K132" s="83">
        <v>0</v>
      </c>
      <c r="L132" s="83">
        <v>0.18</v>
      </c>
      <c r="M132" s="83"/>
    </row>
    <row r="133" ht="19" spans="1:13">
      <c r="A133" s="126">
        <v>109</v>
      </c>
      <c r="B133" s="83" t="s">
        <v>311</v>
      </c>
      <c r="C133" s="83" t="s">
        <v>88</v>
      </c>
      <c r="D133" s="83" t="s">
        <v>312</v>
      </c>
      <c r="E133" s="92"/>
      <c r="F133" s="83">
        <v>113</v>
      </c>
      <c r="G133" s="83">
        <v>6</v>
      </c>
      <c r="H133" s="83">
        <v>0.07</v>
      </c>
      <c r="I133" s="83">
        <v>0.07</v>
      </c>
      <c r="J133" s="83">
        <v>0</v>
      </c>
      <c r="K133" s="83">
        <v>0</v>
      </c>
      <c r="L133" s="83">
        <v>0.07</v>
      </c>
      <c r="M133" s="83"/>
    </row>
    <row r="134" ht="28.5" spans="1:13">
      <c r="A134" s="126">
        <v>110</v>
      </c>
      <c r="B134" s="83" t="s">
        <v>313</v>
      </c>
      <c r="C134" s="83" t="s">
        <v>91</v>
      </c>
      <c r="D134" s="83" t="s">
        <v>314</v>
      </c>
      <c r="E134" s="92"/>
      <c r="F134" s="83">
        <v>47</v>
      </c>
      <c r="G134" s="83">
        <v>5</v>
      </c>
      <c r="H134" s="83">
        <v>0.02</v>
      </c>
      <c r="I134" s="83">
        <v>0.02</v>
      </c>
      <c r="J134" s="83">
        <v>0</v>
      </c>
      <c r="K134" s="83">
        <v>0</v>
      </c>
      <c r="L134" s="83">
        <v>0.02</v>
      </c>
      <c r="M134" s="83"/>
    </row>
    <row r="135" ht="19" spans="1:13">
      <c r="A135" s="126">
        <v>111</v>
      </c>
      <c r="B135" s="83" t="s">
        <v>315</v>
      </c>
      <c r="C135" s="83" t="s">
        <v>89</v>
      </c>
      <c r="D135" s="83" t="s">
        <v>165</v>
      </c>
      <c r="E135" s="92"/>
      <c r="F135" s="83">
        <v>254</v>
      </c>
      <c r="G135" s="83">
        <v>10</v>
      </c>
      <c r="H135" s="83">
        <v>0.25</v>
      </c>
      <c r="I135" s="83">
        <v>0.25</v>
      </c>
      <c r="J135" s="83">
        <v>0</v>
      </c>
      <c r="K135" s="83">
        <v>0</v>
      </c>
      <c r="L135" s="83">
        <v>0.25</v>
      </c>
      <c r="M135" s="83"/>
    </row>
    <row r="136" ht="38" spans="1:13">
      <c r="A136" s="83">
        <v>112</v>
      </c>
      <c r="B136" s="94" t="s">
        <v>316</v>
      </c>
      <c r="C136" s="94" t="s">
        <v>317</v>
      </c>
      <c r="D136" s="94" t="s">
        <v>318</v>
      </c>
      <c r="E136" s="92"/>
      <c r="F136" s="93">
        <v>500</v>
      </c>
      <c r="G136" s="93">
        <v>24</v>
      </c>
      <c r="H136" s="93">
        <f>F136*G136/10000</f>
        <v>1.2</v>
      </c>
      <c r="I136" s="113">
        <f>500*16/10000</f>
        <v>0.8</v>
      </c>
      <c r="J136" s="113">
        <f>500*8/10000</f>
        <v>0.4</v>
      </c>
      <c r="K136" s="113"/>
      <c r="L136" s="93">
        <f>H136+K136</f>
        <v>1.2</v>
      </c>
      <c r="M136" s="119"/>
    </row>
    <row r="137" spans="1:13">
      <c r="A137" s="126">
        <v>113</v>
      </c>
      <c r="B137" s="83" t="s">
        <v>319</v>
      </c>
      <c r="C137" s="83" t="s">
        <v>320</v>
      </c>
      <c r="D137" s="83" t="s">
        <v>321</v>
      </c>
      <c r="E137" s="92"/>
      <c r="F137" s="120">
        <v>180</v>
      </c>
      <c r="G137" s="120">
        <f>11+5</f>
        <v>16</v>
      </c>
      <c r="H137" s="93">
        <f>I137+J137</f>
        <v>0.288</v>
      </c>
      <c r="I137" s="93">
        <f>F137*11/10000</f>
        <v>0.198</v>
      </c>
      <c r="J137" s="93">
        <f>F137*5/10000</f>
        <v>0.09</v>
      </c>
      <c r="K137" s="93">
        <v>0</v>
      </c>
      <c r="L137" s="93">
        <f>SUM(I137:K137)</f>
        <v>0.288</v>
      </c>
      <c r="M137" s="93"/>
    </row>
    <row r="138" ht="19" spans="1:13">
      <c r="A138" s="126">
        <v>114</v>
      </c>
      <c r="B138" s="83" t="s">
        <v>322</v>
      </c>
      <c r="C138" s="83" t="s">
        <v>312</v>
      </c>
      <c r="D138" s="83" t="s">
        <v>323</v>
      </c>
      <c r="E138" s="92"/>
      <c r="F138" s="120">
        <v>360</v>
      </c>
      <c r="G138" s="120">
        <f>11+16</f>
        <v>27</v>
      </c>
      <c r="H138" s="93">
        <f>I138+J138</f>
        <v>0.972</v>
      </c>
      <c r="I138" s="93">
        <f>F138*11/10000</f>
        <v>0.396</v>
      </c>
      <c r="J138" s="93">
        <f>F138*16/10000</f>
        <v>0.576</v>
      </c>
      <c r="K138" s="93">
        <v>0</v>
      </c>
      <c r="L138" s="93">
        <f>SUM(I138:K138)</f>
        <v>0.972</v>
      </c>
      <c r="M138" s="93"/>
    </row>
    <row r="139" ht="19" spans="1:13">
      <c r="A139" s="126">
        <v>115</v>
      </c>
      <c r="B139" s="98" t="s">
        <v>324</v>
      </c>
      <c r="C139" s="98" t="s">
        <v>325</v>
      </c>
      <c r="D139" s="98" t="s">
        <v>326</v>
      </c>
      <c r="E139" s="92"/>
      <c r="F139" s="98">
        <v>294.188</v>
      </c>
      <c r="G139" s="98">
        <v>8</v>
      </c>
      <c r="H139" s="99">
        <f>F139*G139/10000</f>
        <v>0.2353504</v>
      </c>
      <c r="I139" s="99">
        <f>8*F139/10000</f>
        <v>0.2353504</v>
      </c>
      <c r="J139" s="99">
        <v>0</v>
      </c>
      <c r="K139" s="99">
        <v>0.2</v>
      </c>
      <c r="L139" s="99">
        <f>H139+K139</f>
        <v>0.4353504</v>
      </c>
      <c r="M139" s="99">
        <v>0</v>
      </c>
    </row>
    <row r="140" spans="1:13">
      <c r="A140" s="130" t="s">
        <v>53</v>
      </c>
      <c r="B140" s="131"/>
      <c r="C140" s="122">
        <f>COUNT(A66:A139)</f>
        <v>65</v>
      </c>
      <c r="D140" s="122"/>
      <c r="E140" s="132"/>
      <c r="F140" s="133">
        <f t="shared" ref="F140:M140" si="27">SUM(F66:F139)</f>
        <v>24757.188</v>
      </c>
      <c r="G140" s="133"/>
      <c r="H140" s="133">
        <f t="shared" si="27"/>
        <v>33.1999504</v>
      </c>
      <c r="I140" s="133">
        <f t="shared" si="27"/>
        <v>25.0531504</v>
      </c>
      <c r="J140" s="133">
        <f t="shared" si="27"/>
        <v>8.0608</v>
      </c>
      <c r="K140" s="133">
        <f t="shared" si="27"/>
        <v>3.808</v>
      </c>
      <c r="L140" s="133">
        <f t="shared" si="27"/>
        <v>36.9179504</v>
      </c>
      <c r="M140" s="133">
        <f t="shared" si="27"/>
        <v>0</v>
      </c>
    </row>
    <row r="141" spans="1:13">
      <c r="A141" s="130" t="s">
        <v>327</v>
      </c>
      <c r="B141" s="131"/>
      <c r="C141" s="122">
        <f>C140+C65</f>
        <v>115</v>
      </c>
      <c r="D141" s="122"/>
      <c r="E141" s="132"/>
      <c r="F141" s="133">
        <f t="shared" ref="F141:M141" si="28">F140+F65</f>
        <v>46954.998</v>
      </c>
      <c r="G141" s="133"/>
      <c r="H141" s="133">
        <f t="shared" si="28"/>
        <v>67.28764397</v>
      </c>
      <c r="I141" s="133">
        <f t="shared" si="28"/>
        <v>49.39816263</v>
      </c>
      <c r="J141" s="133">
        <f t="shared" si="28"/>
        <v>17.79955885</v>
      </c>
      <c r="K141" s="133">
        <f t="shared" si="28"/>
        <v>7.378</v>
      </c>
      <c r="L141" s="133">
        <f t="shared" si="28"/>
        <v>74.57672148</v>
      </c>
      <c r="M141" s="133">
        <f t="shared" si="28"/>
        <v>0.08</v>
      </c>
    </row>
  </sheetData>
  <mergeCells count="44">
    <mergeCell ref="A140:B140"/>
    <mergeCell ref="A141:B141"/>
    <mergeCell ref="A2:A3"/>
    <mergeCell ref="A5:A6"/>
    <mergeCell ref="A9:A10"/>
    <mergeCell ref="A16:A17"/>
    <mergeCell ref="A23:A24"/>
    <mergeCell ref="A25:A26"/>
    <mergeCell ref="A27:A28"/>
    <mergeCell ref="A31:A36"/>
    <mergeCell ref="A37:A38"/>
    <mergeCell ref="A66:A68"/>
    <mergeCell ref="A70:A71"/>
    <mergeCell ref="A72:A73"/>
    <mergeCell ref="A76:A77"/>
    <mergeCell ref="A78:A79"/>
    <mergeCell ref="A101:A102"/>
    <mergeCell ref="A103:A104"/>
    <mergeCell ref="A116:A117"/>
    <mergeCell ref="B2:B3"/>
    <mergeCell ref="B5:B6"/>
    <mergeCell ref="B9:B10"/>
    <mergeCell ref="B16:B17"/>
    <mergeCell ref="B23:B24"/>
    <mergeCell ref="B25:B26"/>
    <mergeCell ref="B27:B28"/>
    <mergeCell ref="B31:B36"/>
    <mergeCell ref="B37:B38"/>
    <mergeCell ref="B66:B68"/>
    <mergeCell ref="B70:B71"/>
    <mergeCell ref="B72:B73"/>
    <mergeCell ref="B76:B77"/>
    <mergeCell ref="B78:B79"/>
    <mergeCell ref="B101:B102"/>
    <mergeCell ref="B103:B104"/>
    <mergeCell ref="B116:B117"/>
    <mergeCell ref="C16:C17"/>
    <mergeCell ref="C23:C24"/>
    <mergeCell ref="C70:C71"/>
    <mergeCell ref="D16:D17"/>
    <mergeCell ref="D23:D24"/>
    <mergeCell ref="D70:D71"/>
    <mergeCell ref="E2:E64"/>
    <mergeCell ref="E66:E13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P4"/>
  <sheetViews>
    <sheetView workbookViewId="0">
      <selection activeCell="H13" sqref="H13"/>
    </sheetView>
  </sheetViews>
  <sheetFormatPr defaultColWidth="9" defaultRowHeight="14" outlineLevelRow="3"/>
  <cols>
    <col min="1" max="16384" width="9" style="1"/>
  </cols>
  <sheetData>
    <row r="1" s="67" customFormat="1" ht="28.5" spans="1:198">
      <c r="A1" s="69" t="s">
        <v>0</v>
      </c>
      <c r="B1" s="69" t="s">
        <v>112</v>
      </c>
      <c r="C1" s="69" t="s">
        <v>113</v>
      </c>
      <c r="D1" s="69" t="s">
        <v>114</v>
      </c>
      <c r="E1" s="69" t="s">
        <v>4</v>
      </c>
      <c r="F1" s="69" t="s">
        <v>5</v>
      </c>
      <c r="G1" s="69" t="s">
        <v>6</v>
      </c>
      <c r="H1" s="70" t="s">
        <v>7</v>
      </c>
      <c r="I1" s="70" t="s">
        <v>8</v>
      </c>
      <c r="J1" s="70" t="s">
        <v>9</v>
      </c>
      <c r="K1" s="70" t="s">
        <v>10</v>
      </c>
      <c r="L1" s="70" t="s">
        <v>11</v>
      </c>
      <c r="M1" s="69" t="s">
        <v>12</v>
      </c>
      <c r="N1" s="83" t="s">
        <v>13</v>
      </c>
      <c r="O1" s="84" t="s">
        <v>14</v>
      </c>
      <c r="P1" s="69" t="s">
        <v>15</v>
      </c>
      <c r="Q1" s="69" t="s">
        <v>16</v>
      </c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</row>
    <row r="2" s="67" customFormat="1" ht="25" customHeight="1" spans="1:198">
      <c r="A2" s="71">
        <v>1</v>
      </c>
      <c r="B2" s="72" t="s">
        <v>328</v>
      </c>
      <c r="C2" s="72" t="s">
        <v>95</v>
      </c>
      <c r="D2" s="73" t="s">
        <v>329</v>
      </c>
      <c r="E2" s="72" t="s">
        <v>212</v>
      </c>
      <c r="F2" s="74">
        <v>365</v>
      </c>
      <c r="G2" s="75">
        <v>22</v>
      </c>
      <c r="H2" s="76">
        <v>0.803</v>
      </c>
      <c r="I2" s="76">
        <v>0.584</v>
      </c>
      <c r="J2" s="76">
        <v>0.219</v>
      </c>
      <c r="K2" s="76">
        <v>0</v>
      </c>
      <c r="L2" s="85">
        <v>0.803</v>
      </c>
      <c r="M2" s="76">
        <v>0</v>
      </c>
      <c r="N2" s="83"/>
      <c r="O2" s="84"/>
      <c r="P2" s="86"/>
      <c r="Q2" s="89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</row>
    <row r="3" s="67" customFormat="1" ht="25" customHeight="1" spans="1:198">
      <c r="A3" s="77"/>
      <c r="B3" s="72"/>
      <c r="C3" s="72" t="s">
        <v>329</v>
      </c>
      <c r="D3" s="73" t="s">
        <v>86</v>
      </c>
      <c r="E3" s="72" t="s">
        <v>212</v>
      </c>
      <c r="F3" s="74">
        <v>485.3</v>
      </c>
      <c r="G3" s="75">
        <v>22.1</v>
      </c>
      <c r="H3" s="76">
        <v>1.072513</v>
      </c>
      <c r="I3" s="76">
        <v>0.77648</v>
      </c>
      <c r="J3" s="76">
        <v>0.296033</v>
      </c>
      <c r="K3" s="76">
        <v>0.038824</v>
      </c>
      <c r="L3" s="85">
        <v>1.111337</v>
      </c>
      <c r="M3" s="76">
        <v>0</v>
      </c>
      <c r="N3" s="83"/>
      <c r="O3" s="84"/>
      <c r="P3" s="86"/>
      <c r="Q3" s="89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</row>
    <row r="4" s="68" customFormat="1" ht="24" customHeight="1" spans="1:17">
      <c r="A4" s="78" t="s">
        <v>327</v>
      </c>
      <c r="B4" s="78"/>
      <c r="C4" s="79">
        <v>1</v>
      </c>
      <c r="D4" s="80"/>
      <c r="E4" s="81"/>
      <c r="F4" s="82">
        <f>SUM(F2:F3)</f>
        <v>850.3</v>
      </c>
      <c r="G4" s="82"/>
      <c r="H4" s="82">
        <f t="shared" ref="H4:M4" si="0">SUM(H2:H3)</f>
        <v>1.875513</v>
      </c>
      <c r="I4" s="82">
        <f t="shared" si="0"/>
        <v>1.36048</v>
      </c>
      <c r="J4" s="82">
        <f t="shared" si="0"/>
        <v>0.515033</v>
      </c>
      <c r="K4" s="82">
        <f t="shared" si="0"/>
        <v>0.038824</v>
      </c>
      <c r="L4" s="87">
        <f t="shared" si="0"/>
        <v>1.914337</v>
      </c>
      <c r="M4" s="82">
        <f t="shared" si="0"/>
        <v>0</v>
      </c>
      <c r="N4" s="82"/>
      <c r="O4" s="82"/>
      <c r="P4" s="82"/>
      <c r="Q4" s="82"/>
    </row>
  </sheetData>
  <mergeCells count="4">
    <mergeCell ref="A4:B4"/>
    <mergeCell ref="C4:D4"/>
    <mergeCell ref="A2:A3"/>
    <mergeCell ref="B2:B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84"/>
  <sheetViews>
    <sheetView zoomScale="85" zoomScaleNormal="85" topLeftCell="A76" workbookViewId="0">
      <selection activeCell="BP9" sqref="BP9"/>
    </sheetView>
  </sheetViews>
  <sheetFormatPr defaultColWidth="9" defaultRowHeight="9.5"/>
  <cols>
    <col min="1" max="1" width="4.63636363636364" style="33" customWidth="1"/>
    <col min="2" max="2" width="6.63636363636364" style="33" customWidth="1"/>
    <col min="3" max="3" width="10.6363636363636" style="33" customWidth="1"/>
    <col min="4" max="4" width="6.63636363636364" style="33" customWidth="1"/>
    <col min="5" max="5" width="18.6363636363636" style="33" customWidth="1"/>
    <col min="6" max="65" width="6.63636363636364" style="33" customWidth="1"/>
    <col min="66" max="250" width="9" style="33"/>
    <col min="251" max="251" width="2.90909090909091" style="33" customWidth="1"/>
    <col min="252" max="252" width="4.36363636363636" style="33" customWidth="1"/>
    <col min="253" max="253" width="9.72727272727273" style="33" customWidth="1"/>
    <col min="254" max="254" width="3.72727272727273" style="33" customWidth="1"/>
    <col min="255" max="255" width="19.0909090909091" style="33" customWidth="1"/>
    <col min="256" max="256" width="5" style="33" customWidth="1"/>
    <col min="257" max="257" width="4.72727272727273" style="33" customWidth="1"/>
    <col min="258" max="258" width="4.90909090909091" style="33" customWidth="1"/>
    <col min="259" max="260" width="3.63636363636364" style="33" customWidth="1"/>
    <col min="261" max="261" width="4.09090909090909" style="33" customWidth="1"/>
    <col min="262" max="262" width="3.63636363636364" style="33" customWidth="1"/>
    <col min="263" max="263" width="5" style="33" customWidth="1"/>
    <col min="264" max="297" width="3.63636363636364" style="33" customWidth="1"/>
    <col min="298" max="314" width="3.36363636363636" style="33" customWidth="1"/>
    <col min="315" max="315" width="4.18181818181818" style="33" customWidth="1"/>
    <col min="316" max="316" width="4.72727272727273" style="33" customWidth="1"/>
    <col min="317" max="317" width="6" style="33" customWidth="1"/>
    <col min="318" max="506" width="9" style="33"/>
    <col min="507" max="507" width="2.90909090909091" style="33" customWidth="1"/>
    <col min="508" max="508" width="4.36363636363636" style="33" customWidth="1"/>
    <col min="509" max="509" width="9.72727272727273" style="33" customWidth="1"/>
    <col min="510" max="510" width="3.72727272727273" style="33" customWidth="1"/>
    <col min="511" max="511" width="19.0909090909091" style="33" customWidth="1"/>
    <col min="512" max="512" width="5" style="33" customWidth="1"/>
    <col min="513" max="513" width="4.72727272727273" style="33" customWidth="1"/>
    <col min="514" max="514" width="4.90909090909091" style="33" customWidth="1"/>
    <col min="515" max="516" width="3.63636363636364" style="33" customWidth="1"/>
    <col min="517" max="517" width="4.09090909090909" style="33" customWidth="1"/>
    <col min="518" max="518" width="3.63636363636364" style="33" customWidth="1"/>
    <col min="519" max="519" width="5" style="33" customWidth="1"/>
    <col min="520" max="553" width="3.63636363636364" style="33" customWidth="1"/>
    <col min="554" max="570" width="3.36363636363636" style="33" customWidth="1"/>
    <col min="571" max="571" width="4.18181818181818" style="33" customWidth="1"/>
    <col min="572" max="572" width="4.72727272727273" style="33" customWidth="1"/>
    <col min="573" max="573" width="6" style="33" customWidth="1"/>
    <col min="574" max="762" width="9" style="33"/>
    <col min="763" max="763" width="2.90909090909091" style="33" customWidth="1"/>
    <col min="764" max="764" width="4.36363636363636" style="33" customWidth="1"/>
    <col min="765" max="765" width="9.72727272727273" style="33" customWidth="1"/>
    <col min="766" max="766" width="3.72727272727273" style="33" customWidth="1"/>
    <col min="767" max="767" width="19.0909090909091" style="33" customWidth="1"/>
    <col min="768" max="768" width="5" style="33" customWidth="1"/>
    <col min="769" max="769" width="4.72727272727273" style="33" customWidth="1"/>
    <col min="770" max="770" width="4.90909090909091" style="33" customWidth="1"/>
    <col min="771" max="772" width="3.63636363636364" style="33" customWidth="1"/>
    <col min="773" max="773" width="4.09090909090909" style="33" customWidth="1"/>
    <col min="774" max="774" width="3.63636363636364" style="33" customWidth="1"/>
    <col min="775" max="775" width="5" style="33" customWidth="1"/>
    <col min="776" max="809" width="3.63636363636364" style="33" customWidth="1"/>
    <col min="810" max="826" width="3.36363636363636" style="33" customWidth="1"/>
    <col min="827" max="827" width="4.18181818181818" style="33" customWidth="1"/>
    <col min="828" max="828" width="4.72727272727273" style="33" customWidth="1"/>
    <col min="829" max="829" width="6" style="33" customWidth="1"/>
    <col min="830" max="1018" width="9" style="33"/>
    <col min="1019" max="1019" width="2.90909090909091" style="33" customWidth="1"/>
    <col min="1020" max="1020" width="4.36363636363636" style="33" customWidth="1"/>
    <col min="1021" max="1021" width="9.72727272727273" style="33" customWidth="1"/>
    <col min="1022" max="1022" width="3.72727272727273" style="33" customWidth="1"/>
    <col min="1023" max="1023" width="19.0909090909091" style="33" customWidth="1"/>
    <col min="1024" max="1024" width="5" style="33" customWidth="1"/>
    <col min="1025" max="1025" width="4.72727272727273" style="33" customWidth="1"/>
    <col min="1026" max="1026" width="4.90909090909091" style="33" customWidth="1"/>
    <col min="1027" max="1028" width="3.63636363636364" style="33" customWidth="1"/>
    <col min="1029" max="1029" width="4.09090909090909" style="33" customWidth="1"/>
    <col min="1030" max="1030" width="3.63636363636364" style="33" customWidth="1"/>
    <col min="1031" max="1031" width="5" style="33" customWidth="1"/>
    <col min="1032" max="1065" width="3.63636363636364" style="33" customWidth="1"/>
    <col min="1066" max="1082" width="3.36363636363636" style="33" customWidth="1"/>
    <col min="1083" max="1083" width="4.18181818181818" style="33" customWidth="1"/>
    <col min="1084" max="1084" width="4.72727272727273" style="33" customWidth="1"/>
    <col min="1085" max="1085" width="6" style="33" customWidth="1"/>
    <col min="1086" max="1274" width="9" style="33"/>
    <col min="1275" max="1275" width="2.90909090909091" style="33" customWidth="1"/>
    <col min="1276" max="1276" width="4.36363636363636" style="33" customWidth="1"/>
    <col min="1277" max="1277" width="9.72727272727273" style="33" customWidth="1"/>
    <col min="1278" max="1278" width="3.72727272727273" style="33" customWidth="1"/>
    <col min="1279" max="1279" width="19.0909090909091" style="33" customWidth="1"/>
    <col min="1280" max="1280" width="5" style="33" customWidth="1"/>
    <col min="1281" max="1281" width="4.72727272727273" style="33" customWidth="1"/>
    <col min="1282" max="1282" width="4.90909090909091" style="33" customWidth="1"/>
    <col min="1283" max="1284" width="3.63636363636364" style="33" customWidth="1"/>
    <col min="1285" max="1285" width="4.09090909090909" style="33" customWidth="1"/>
    <col min="1286" max="1286" width="3.63636363636364" style="33" customWidth="1"/>
    <col min="1287" max="1287" width="5" style="33" customWidth="1"/>
    <col min="1288" max="1321" width="3.63636363636364" style="33" customWidth="1"/>
    <col min="1322" max="1338" width="3.36363636363636" style="33" customWidth="1"/>
    <col min="1339" max="1339" width="4.18181818181818" style="33" customWidth="1"/>
    <col min="1340" max="1340" width="4.72727272727273" style="33" customWidth="1"/>
    <col min="1341" max="1341" width="6" style="33" customWidth="1"/>
    <col min="1342" max="1530" width="9" style="33"/>
    <col min="1531" max="1531" width="2.90909090909091" style="33" customWidth="1"/>
    <col min="1532" max="1532" width="4.36363636363636" style="33" customWidth="1"/>
    <col min="1533" max="1533" width="9.72727272727273" style="33" customWidth="1"/>
    <col min="1534" max="1534" width="3.72727272727273" style="33" customWidth="1"/>
    <col min="1535" max="1535" width="19.0909090909091" style="33" customWidth="1"/>
    <col min="1536" max="1536" width="5" style="33" customWidth="1"/>
    <col min="1537" max="1537" width="4.72727272727273" style="33" customWidth="1"/>
    <col min="1538" max="1538" width="4.90909090909091" style="33" customWidth="1"/>
    <col min="1539" max="1540" width="3.63636363636364" style="33" customWidth="1"/>
    <col min="1541" max="1541" width="4.09090909090909" style="33" customWidth="1"/>
    <col min="1542" max="1542" width="3.63636363636364" style="33" customWidth="1"/>
    <col min="1543" max="1543" width="5" style="33" customWidth="1"/>
    <col min="1544" max="1577" width="3.63636363636364" style="33" customWidth="1"/>
    <col min="1578" max="1594" width="3.36363636363636" style="33" customWidth="1"/>
    <col min="1595" max="1595" width="4.18181818181818" style="33" customWidth="1"/>
    <col min="1596" max="1596" width="4.72727272727273" style="33" customWidth="1"/>
    <col min="1597" max="1597" width="6" style="33" customWidth="1"/>
    <col min="1598" max="1786" width="9" style="33"/>
    <col min="1787" max="1787" width="2.90909090909091" style="33" customWidth="1"/>
    <col min="1788" max="1788" width="4.36363636363636" style="33" customWidth="1"/>
    <col min="1789" max="1789" width="9.72727272727273" style="33" customWidth="1"/>
    <col min="1790" max="1790" width="3.72727272727273" style="33" customWidth="1"/>
    <col min="1791" max="1791" width="19.0909090909091" style="33" customWidth="1"/>
    <col min="1792" max="1792" width="5" style="33" customWidth="1"/>
    <col min="1793" max="1793" width="4.72727272727273" style="33" customWidth="1"/>
    <col min="1794" max="1794" width="4.90909090909091" style="33" customWidth="1"/>
    <col min="1795" max="1796" width="3.63636363636364" style="33" customWidth="1"/>
    <col min="1797" max="1797" width="4.09090909090909" style="33" customWidth="1"/>
    <col min="1798" max="1798" width="3.63636363636364" style="33" customWidth="1"/>
    <col min="1799" max="1799" width="5" style="33" customWidth="1"/>
    <col min="1800" max="1833" width="3.63636363636364" style="33" customWidth="1"/>
    <col min="1834" max="1850" width="3.36363636363636" style="33" customWidth="1"/>
    <col min="1851" max="1851" width="4.18181818181818" style="33" customWidth="1"/>
    <col min="1852" max="1852" width="4.72727272727273" style="33" customWidth="1"/>
    <col min="1853" max="1853" width="6" style="33" customWidth="1"/>
    <col min="1854" max="2042" width="9" style="33"/>
    <col min="2043" max="2043" width="2.90909090909091" style="33" customWidth="1"/>
    <col min="2044" max="2044" width="4.36363636363636" style="33" customWidth="1"/>
    <col min="2045" max="2045" width="9.72727272727273" style="33" customWidth="1"/>
    <col min="2046" max="2046" width="3.72727272727273" style="33" customWidth="1"/>
    <col min="2047" max="2047" width="19.0909090909091" style="33" customWidth="1"/>
    <col min="2048" max="2048" width="5" style="33" customWidth="1"/>
    <col min="2049" max="2049" width="4.72727272727273" style="33" customWidth="1"/>
    <col min="2050" max="2050" width="4.90909090909091" style="33" customWidth="1"/>
    <col min="2051" max="2052" width="3.63636363636364" style="33" customWidth="1"/>
    <col min="2053" max="2053" width="4.09090909090909" style="33" customWidth="1"/>
    <col min="2054" max="2054" width="3.63636363636364" style="33" customWidth="1"/>
    <col min="2055" max="2055" width="5" style="33" customWidth="1"/>
    <col min="2056" max="2089" width="3.63636363636364" style="33" customWidth="1"/>
    <col min="2090" max="2106" width="3.36363636363636" style="33" customWidth="1"/>
    <col min="2107" max="2107" width="4.18181818181818" style="33" customWidth="1"/>
    <col min="2108" max="2108" width="4.72727272727273" style="33" customWidth="1"/>
    <col min="2109" max="2109" width="6" style="33" customWidth="1"/>
    <col min="2110" max="2298" width="9" style="33"/>
    <col min="2299" max="2299" width="2.90909090909091" style="33" customWidth="1"/>
    <col min="2300" max="2300" width="4.36363636363636" style="33" customWidth="1"/>
    <col min="2301" max="2301" width="9.72727272727273" style="33" customWidth="1"/>
    <col min="2302" max="2302" width="3.72727272727273" style="33" customWidth="1"/>
    <col min="2303" max="2303" width="19.0909090909091" style="33" customWidth="1"/>
    <col min="2304" max="2304" width="5" style="33" customWidth="1"/>
    <col min="2305" max="2305" width="4.72727272727273" style="33" customWidth="1"/>
    <col min="2306" max="2306" width="4.90909090909091" style="33" customWidth="1"/>
    <col min="2307" max="2308" width="3.63636363636364" style="33" customWidth="1"/>
    <col min="2309" max="2309" width="4.09090909090909" style="33" customWidth="1"/>
    <col min="2310" max="2310" width="3.63636363636364" style="33" customWidth="1"/>
    <col min="2311" max="2311" width="5" style="33" customWidth="1"/>
    <col min="2312" max="2345" width="3.63636363636364" style="33" customWidth="1"/>
    <col min="2346" max="2362" width="3.36363636363636" style="33" customWidth="1"/>
    <col min="2363" max="2363" width="4.18181818181818" style="33" customWidth="1"/>
    <col min="2364" max="2364" width="4.72727272727273" style="33" customWidth="1"/>
    <col min="2365" max="2365" width="6" style="33" customWidth="1"/>
    <col min="2366" max="2554" width="9" style="33"/>
    <col min="2555" max="2555" width="2.90909090909091" style="33" customWidth="1"/>
    <col min="2556" max="2556" width="4.36363636363636" style="33" customWidth="1"/>
    <col min="2557" max="2557" width="9.72727272727273" style="33" customWidth="1"/>
    <col min="2558" max="2558" width="3.72727272727273" style="33" customWidth="1"/>
    <col min="2559" max="2559" width="19.0909090909091" style="33" customWidth="1"/>
    <col min="2560" max="2560" width="5" style="33" customWidth="1"/>
    <col min="2561" max="2561" width="4.72727272727273" style="33" customWidth="1"/>
    <col min="2562" max="2562" width="4.90909090909091" style="33" customWidth="1"/>
    <col min="2563" max="2564" width="3.63636363636364" style="33" customWidth="1"/>
    <col min="2565" max="2565" width="4.09090909090909" style="33" customWidth="1"/>
    <col min="2566" max="2566" width="3.63636363636364" style="33" customWidth="1"/>
    <col min="2567" max="2567" width="5" style="33" customWidth="1"/>
    <col min="2568" max="2601" width="3.63636363636364" style="33" customWidth="1"/>
    <col min="2602" max="2618" width="3.36363636363636" style="33" customWidth="1"/>
    <col min="2619" max="2619" width="4.18181818181818" style="33" customWidth="1"/>
    <col min="2620" max="2620" width="4.72727272727273" style="33" customWidth="1"/>
    <col min="2621" max="2621" width="6" style="33" customWidth="1"/>
    <col min="2622" max="2810" width="9" style="33"/>
    <col min="2811" max="2811" width="2.90909090909091" style="33" customWidth="1"/>
    <col min="2812" max="2812" width="4.36363636363636" style="33" customWidth="1"/>
    <col min="2813" max="2813" width="9.72727272727273" style="33" customWidth="1"/>
    <col min="2814" max="2814" width="3.72727272727273" style="33" customWidth="1"/>
    <col min="2815" max="2815" width="19.0909090909091" style="33" customWidth="1"/>
    <col min="2816" max="2816" width="5" style="33" customWidth="1"/>
    <col min="2817" max="2817" width="4.72727272727273" style="33" customWidth="1"/>
    <col min="2818" max="2818" width="4.90909090909091" style="33" customWidth="1"/>
    <col min="2819" max="2820" width="3.63636363636364" style="33" customWidth="1"/>
    <col min="2821" max="2821" width="4.09090909090909" style="33" customWidth="1"/>
    <col min="2822" max="2822" width="3.63636363636364" style="33" customWidth="1"/>
    <col min="2823" max="2823" width="5" style="33" customWidth="1"/>
    <col min="2824" max="2857" width="3.63636363636364" style="33" customWidth="1"/>
    <col min="2858" max="2874" width="3.36363636363636" style="33" customWidth="1"/>
    <col min="2875" max="2875" width="4.18181818181818" style="33" customWidth="1"/>
    <col min="2876" max="2876" width="4.72727272727273" style="33" customWidth="1"/>
    <col min="2877" max="2877" width="6" style="33" customWidth="1"/>
    <col min="2878" max="3066" width="9" style="33"/>
    <col min="3067" max="3067" width="2.90909090909091" style="33" customWidth="1"/>
    <col min="3068" max="3068" width="4.36363636363636" style="33" customWidth="1"/>
    <col min="3069" max="3069" width="9.72727272727273" style="33" customWidth="1"/>
    <col min="3070" max="3070" width="3.72727272727273" style="33" customWidth="1"/>
    <col min="3071" max="3071" width="19.0909090909091" style="33" customWidth="1"/>
    <col min="3072" max="3072" width="5" style="33" customWidth="1"/>
    <col min="3073" max="3073" width="4.72727272727273" style="33" customWidth="1"/>
    <col min="3074" max="3074" width="4.90909090909091" style="33" customWidth="1"/>
    <col min="3075" max="3076" width="3.63636363636364" style="33" customWidth="1"/>
    <col min="3077" max="3077" width="4.09090909090909" style="33" customWidth="1"/>
    <col min="3078" max="3078" width="3.63636363636364" style="33" customWidth="1"/>
    <col min="3079" max="3079" width="5" style="33" customWidth="1"/>
    <col min="3080" max="3113" width="3.63636363636364" style="33" customWidth="1"/>
    <col min="3114" max="3130" width="3.36363636363636" style="33" customWidth="1"/>
    <col min="3131" max="3131" width="4.18181818181818" style="33" customWidth="1"/>
    <col min="3132" max="3132" width="4.72727272727273" style="33" customWidth="1"/>
    <col min="3133" max="3133" width="6" style="33" customWidth="1"/>
    <col min="3134" max="3322" width="9" style="33"/>
    <col min="3323" max="3323" width="2.90909090909091" style="33" customWidth="1"/>
    <col min="3324" max="3324" width="4.36363636363636" style="33" customWidth="1"/>
    <col min="3325" max="3325" width="9.72727272727273" style="33" customWidth="1"/>
    <col min="3326" max="3326" width="3.72727272727273" style="33" customWidth="1"/>
    <col min="3327" max="3327" width="19.0909090909091" style="33" customWidth="1"/>
    <col min="3328" max="3328" width="5" style="33" customWidth="1"/>
    <col min="3329" max="3329" width="4.72727272727273" style="33" customWidth="1"/>
    <col min="3330" max="3330" width="4.90909090909091" style="33" customWidth="1"/>
    <col min="3331" max="3332" width="3.63636363636364" style="33" customWidth="1"/>
    <col min="3333" max="3333" width="4.09090909090909" style="33" customWidth="1"/>
    <col min="3334" max="3334" width="3.63636363636364" style="33" customWidth="1"/>
    <col min="3335" max="3335" width="5" style="33" customWidth="1"/>
    <col min="3336" max="3369" width="3.63636363636364" style="33" customWidth="1"/>
    <col min="3370" max="3386" width="3.36363636363636" style="33" customWidth="1"/>
    <col min="3387" max="3387" width="4.18181818181818" style="33" customWidth="1"/>
    <col min="3388" max="3388" width="4.72727272727273" style="33" customWidth="1"/>
    <col min="3389" max="3389" width="6" style="33" customWidth="1"/>
    <col min="3390" max="3578" width="9" style="33"/>
    <col min="3579" max="3579" width="2.90909090909091" style="33" customWidth="1"/>
    <col min="3580" max="3580" width="4.36363636363636" style="33" customWidth="1"/>
    <col min="3581" max="3581" width="9.72727272727273" style="33" customWidth="1"/>
    <col min="3582" max="3582" width="3.72727272727273" style="33" customWidth="1"/>
    <col min="3583" max="3583" width="19.0909090909091" style="33" customWidth="1"/>
    <col min="3584" max="3584" width="5" style="33" customWidth="1"/>
    <col min="3585" max="3585" width="4.72727272727273" style="33" customWidth="1"/>
    <col min="3586" max="3586" width="4.90909090909091" style="33" customWidth="1"/>
    <col min="3587" max="3588" width="3.63636363636364" style="33" customWidth="1"/>
    <col min="3589" max="3589" width="4.09090909090909" style="33" customWidth="1"/>
    <col min="3590" max="3590" width="3.63636363636364" style="33" customWidth="1"/>
    <col min="3591" max="3591" width="5" style="33" customWidth="1"/>
    <col min="3592" max="3625" width="3.63636363636364" style="33" customWidth="1"/>
    <col min="3626" max="3642" width="3.36363636363636" style="33" customWidth="1"/>
    <col min="3643" max="3643" width="4.18181818181818" style="33" customWidth="1"/>
    <col min="3644" max="3644" width="4.72727272727273" style="33" customWidth="1"/>
    <col min="3645" max="3645" width="6" style="33" customWidth="1"/>
    <col min="3646" max="3834" width="9" style="33"/>
    <col min="3835" max="3835" width="2.90909090909091" style="33" customWidth="1"/>
    <col min="3836" max="3836" width="4.36363636363636" style="33" customWidth="1"/>
    <col min="3837" max="3837" width="9.72727272727273" style="33" customWidth="1"/>
    <col min="3838" max="3838" width="3.72727272727273" style="33" customWidth="1"/>
    <col min="3839" max="3839" width="19.0909090909091" style="33" customWidth="1"/>
    <col min="3840" max="3840" width="5" style="33" customWidth="1"/>
    <col min="3841" max="3841" width="4.72727272727273" style="33" customWidth="1"/>
    <col min="3842" max="3842" width="4.90909090909091" style="33" customWidth="1"/>
    <col min="3843" max="3844" width="3.63636363636364" style="33" customWidth="1"/>
    <col min="3845" max="3845" width="4.09090909090909" style="33" customWidth="1"/>
    <col min="3846" max="3846" width="3.63636363636364" style="33" customWidth="1"/>
    <col min="3847" max="3847" width="5" style="33" customWidth="1"/>
    <col min="3848" max="3881" width="3.63636363636364" style="33" customWidth="1"/>
    <col min="3882" max="3898" width="3.36363636363636" style="33" customWidth="1"/>
    <col min="3899" max="3899" width="4.18181818181818" style="33" customWidth="1"/>
    <col min="3900" max="3900" width="4.72727272727273" style="33" customWidth="1"/>
    <col min="3901" max="3901" width="6" style="33" customWidth="1"/>
    <col min="3902" max="4090" width="9" style="33"/>
    <col min="4091" max="4091" width="2.90909090909091" style="33" customWidth="1"/>
    <col min="4092" max="4092" width="4.36363636363636" style="33" customWidth="1"/>
    <col min="4093" max="4093" width="9.72727272727273" style="33" customWidth="1"/>
    <col min="4094" max="4094" width="3.72727272727273" style="33" customWidth="1"/>
    <col min="4095" max="4095" width="19.0909090909091" style="33" customWidth="1"/>
    <col min="4096" max="4096" width="5" style="33" customWidth="1"/>
    <col min="4097" max="4097" width="4.72727272727273" style="33" customWidth="1"/>
    <col min="4098" max="4098" width="4.90909090909091" style="33" customWidth="1"/>
    <col min="4099" max="4100" width="3.63636363636364" style="33" customWidth="1"/>
    <col min="4101" max="4101" width="4.09090909090909" style="33" customWidth="1"/>
    <col min="4102" max="4102" width="3.63636363636364" style="33" customWidth="1"/>
    <col min="4103" max="4103" width="5" style="33" customWidth="1"/>
    <col min="4104" max="4137" width="3.63636363636364" style="33" customWidth="1"/>
    <col min="4138" max="4154" width="3.36363636363636" style="33" customWidth="1"/>
    <col min="4155" max="4155" width="4.18181818181818" style="33" customWidth="1"/>
    <col min="4156" max="4156" width="4.72727272727273" style="33" customWidth="1"/>
    <col min="4157" max="4157" width="6" style="33" customWidth="1"/>
    <col min="4158" max="4346" width="9" style="33"/>
    <col min="4347" max="4347" width="2.90909090909091" style="33" customWidth="1"/>
    <col min="4348" max="4348" width="4.36363636363636" style="33" customWidth="1"/>
    <col min="4349" max="4349" width="9.72727272727273" style="33" customWidth="1"/>
    <col min="4350" max="4350" width="3.72727272727273" style="33" customWidth="1"/>
    <col min="4351" max="4351" width="19.0909090909091" style="33" customWidth="1"/>
    <col min="4352" max="4352" width="5" style="33" customWidth="1"/>
    <col min="4353" max="4353" width="4.72727272727273" style="33" customWidth="1"/>
    <col min="4354" max="4354" width="4.90909090909091" style="33" customWidth="1"/>
    <col min="4355" max="4356" width="3.63636363636364" style="33" customWidth="1"/>
    <col min="4357" max="4357" width="4.09090909090909" style="33" customWidth="1"/>
    <col min="4358" max="4358" width="3.63636363636364" style="33" customWidth="1"/>
    <col min="4359" max="4359" width="5" style="33" customWidth="1"/>
    <col min="4360" max="4393" width="3.63636363636364" style="33" customWidth="1"/>
    <col min="4394" max="4410" width="3.36363636363636" style="33" customWidth="1"/>
    <col min="4411" max="4411" width="4.18181818181818" style="33" customWidth="1"/>
    <col min="4412" max="4412" width="4.72727272727273" style="33" customWidth="1"/>
    <col min="4413" max="4413" width="6" style="33" customWidth="1"/>
    <col min="4414" max="4602" width="9" style="33"/>
    <col min="4603" max="4603" width="2.90909090909091" style="33" customWidth="1"/>
    <col min="4604" max="4604" width="4.36363636363636" style="33" customWidth="1"/>
    <col min="4605" max="4605" width="9.72727272727273" style="33" customWidth="1"/>
    <col min="4606" max="4606" width="3.72727272727273" style="33" customWidth="1"/>
    <col min="4607" max="4607" width="19.0909090909091" style="33" customWidth="1"/>
    <col min="4608" max="4608" width="5" style="33" customWidth="1"/>
    <col min="4609" max="4609" width="4.72727272727273" style="33" customWidth="1"/>
    <col min="4610" max="4610" width="4.90909090909091" style="33" customWidth="1"/>
    <col min="4611" max="4612" width="3.63636363636364" style="33" customWidth="1"/>
    <col min="4613" max="4613" width="4.09090909090909" style="33" customWidth="1"/>
    <col min="4614" max="4614" width="3.63636363636364" style="33" customWidth="1"/>
    <col min="4615" max="4615" width="5" style="33" customWidth="1"/>
    <col min="4616" max="4649" width="3.63636363636364" style="33" customWidth="1"/>
    <col min="4650" max="4666" width="3.36363636363636" style="33" customWidth="1"/>
    <col min="4667" max="4667" width="4.18181818181818" style="33" customWidth="1"/>
    <col min="4668" max="4668" width="4.72727272727273" style="33" customWidth="1"/>
    <col min="4669" max="4669" width="6" style="33" customWidth="1"/>
    <col min="4670" max="4858" width="9" style="33"/>
    <col min="4859" max="4859" width="2.90909090909091" style="33" customWidth="1"/>
    <col min="4860" max="4860" width="4.36363636363636" style="33" customWidth="1"/>
    <col min="4861" max="4861" width="9.72727272727273" style="33" customWidth="1"/>
    <col min="4862" max="4862" width="3.72727272727273" style="33" customWidth="1"/>
    <col min="4863" max="4863" width="19.0909090909091" style="33" customWidth="1"/>
    <col min="4864" max="4864" width="5" style="33" customWidth="1"/>
    <col min="4865" max="4865" width="4.72727272727273" style="33" customWidth="1"/>
    <col min="4866" max="4866" width="4.90909090909091" style="33" customWidth="1"/>
    <col min="4867" max="4868" width="3.63636363636364" style="33" customWidth="1"/>
    <col min="4869" max="4869" width="4.09090909090909" style="33" customWidth="1"/>
    <col min="4870" max="4870" width="3.63636363636364" style="33" customWidth="1"/>
    <col min="4871" max="4871" width="5" style="33" customWidth="1"/>
    <col min="4872" max="4905" width="3.63636363636364" style="33" customWidth="1"/>
    <col min="4906" max="4922" width="3.36363636363636" style="33" customWidth="1"/>
    <col min="4923" max="4923" width="4.18181818181818" style="33" customWidth="1"/>
    <col min="4924" max="4924" width="4.72727272727273" style="33" customWidth="1"/>
    <col min="4925" max="4925" width="6" style="33" customWidth="1"/>
    <col min="4926" max="5114" width="9" style="33"/>
    <col min="5115" max="5115" width="2.90909090909091" style="33" customWidth="1"/>
    <col min="5116" max="5116" width="4.36363636363636" style="33" customWidth="1"/>
    <col min="5117" max="5117" width="9.72727272727273" style="33" customWidth="1"/>
    <col min="5118" max="5118" width="3.72727272727273" style="33" customWidth="1"/>
    <col min="5119" max="5119" width="19.0909090909091" style="33" customWidth="1"/>
    <col min="5120" max="5120" width="5" style="33" customWidth="1"/>
    <col min="5121" max="5121" width="4.72727272727273" style="33" customWidth="1"/>
    <col min="5122" max="5122" width="4.90909090909091" style="33" customWidth="1"/>
    <col min="5123" max="5124" width="3.63636363636364" style="33" customWidth="1"/>
    <col min="5125" max="5125" width="4.09090909090909" style="33" customWidth="1"/>
    <col min="5126" max="5126" width="3.63636363636364" style="33" customWidth="1"/>
    <col min="5127" max="5127" width="5" style="33" customWidth="1"/>
    <col min="5128" max="5161" width="3.63636363636364" style="33" customWidth="1"/>
    <col min="5162" max="5178" width="3.36363636363636" style="33" customWidth="1"/>
    <col min="5179" max="5179" width="4.18181818181818" style="33" customWidth="1"/>
    <col min="5180" max="5180" width="4.72727272727273" style="33" customWidth="1"/>
    <col min="5181" max="5181" width="6" style="33" customWidth="1"/>
    <col min="5182" max="5370" width="9" style="33"/>
    <col min="5371" max="5371" width="2.90909090909091" style="33" customWidth="1"/>
    <col min="5372" max="5372" width="4.36363636363636" style="33" customWidth="1"/>
    <col min="5373" max="5373" width="9.72727272727273" style="33" customWidth="1"/>
    <col min="5374" max="5374" width="3.72727272727273" style="33" customWidth="1"/>
    <col min="5375" max="5375" width="19.0909090909091" style="33" customWidth="1"/>
    <col min="5376" max="5376" width="5" style="33" customWidth="1"/>
    <col min="5377" max="5377" width="4.72727272727273" style="33" customWidth="1"/>
    <col min="5378" max="5378" width="4.90909090909091" style="33" customWidth="1"/>
    <col min="5379" max="5380" width="3.63636363636364" style="33" customWidth="1"/>
    <col min="5381" max="5381" width="4.09090909090909" style="33" customWidth="1"/>
    <col min="5382" max="5382" width="3.63636363636364" style="33" customWidth="1"/>
    <col min="5383" max="5383" width="5" style="33" customWidth="1"/>
    <col min="5384" max="5417" width="3.63636363636364" style="33" customWidth="1"/>
    <col min="5418" max="5434" width="3.36363636363636" style="33" customWidth="1"/>
    <col min="5435" max="5435" width="4.18181818181818" style="33" customWidth="1"/>
    <col min="5436" max="5436" width="4.72727272727273" style="33" customWidth="1"/>
    <col min="5437" max="5437" width="6" style="33" customWidth="1"/>
    <col min="5438" max="5626" width="9" style="33"/>
    <col min="5627" max="5627" width="2.90909090909091" style="33" customWidth="1"/>
    <col min="5628" max="5628" width="4.36363636363636" style="33" customWidth="1"/>
    <col min="5629" max="5629" width="9.72727272727273" style="33" customWidth="1"/>
    <col min="5630" max="5630" width="3.72727272727273" style="33" customWidth="1"/>
    <col min="5631" max="5631" width="19.0909090909091" style="33" customWidth="1"/>
    <col min="5632" max="5632" width="5" style="33" customWidth="1"/>
    <col min="5633" max="5633" width="4.72727272727273" style="33" customWidth="1"/>
    <col min="5634" max="5634" width="4.90909090909091" style="33" customWidth="1"/>
    <col min="5635" max="5636" width="3.63636363636364" style="33" customWidth="1"/>
    <col min="5637" max="5637" width="4.09090909090909" style="33" customWidth="1"/>
    <col min="5638" max="5638" width="3.63636363636364" style="33" customWidth="1"/>
    <col min="5639" max="5639" width="5" style="33" customWidth="1"/>
    <col min="5640" max="5673" width="3.63636363636364" style="33" customWidth="1"/>
    <col min="5674" max="5690" width="3.36363636363636" style="33" customWidth="1"/>
    <col min="5691" max="5691" width="4.18181818181818" style="33" customWidth="1"/>
    <col min="5692" max="5692" width="4.72727272727273" style="33" customWidth="1"/>
    <col min="5693" max="5693" width="6" style="33" customWidth="1"/>
    <col min="5694" max="5882" width="9" style="33"/>
    <col min="5883" max="5883" width="2.90909090909091" style="33" customWidth="1"/>
    <col min="5884" max="5884" width="4.36363636363636" style="33" customWidth="1"/>
    <col min="5885" max="5885" width="9.72727272727273" style="33" customWidth="1"/>
    <col min="5886" max="5886" width="3.72727272727273" style="33" customWidth="1"/>
    <col min="5887" max="5887" width="19.0909090909091" style="33" customWidth="1"/>
    <col min="5888" max="5888" width="5" style="33" customWidth="1"/>
    <col min="5889" max="5889" width="4.72727272727273" style="33" customWidth="1"/>
    <col min="5890" max="5890" width="4.90909090909091" style="33" customWidth="1"/>
    <col min="5891" max="5892" width="3.63636363636364" style="33" customWidth="1"/>
    <col min="5893" max="5893" width="4.09090909090909" style="33" customWidth="1"/>
    <col min="5894" max="5894" width="3.63636363636364" style="33" customWidth="1"/>
    <col min="5895" max="5895" width="5" style="33" customWidth="1"/>
    <col min="5896" max="5929" width="3.63636363636364" style="33" customWidth="1"/>
    <col min="5930" max="5946" width="3.36363636363636" style="33" customWidth="1"/>
    <col min="5947" max="5947" width="4.18181818181818" style="33" customWidth="1"/>
    <col min="5948" max="5948" width="4.72727272727273" style="33" customWidth="1"/>
    <col min="5949" max="5949" width="6" style="33" customWidth="1"/>
    <col min="5950" max="6138" width="9" style="33"/>
    <col min="6139" max="6139" width="2.90909090909091" style="33" customWidth="1"/>
    <col min="6140" max="6140" width="4.36363636363636" style="33" customWidth="1"/>
    <col min="6141" max="6141" width="9.72727272727273" style="33" customWidth="1"/>
    <col min="6142" max="6142" width="3.72727272727273" style="33" customWidth="1"/>
    <col min="6143" max="6143" width="19.0909090909091" style="33" customWidth="1"/>
    <col min="6144" max="6144" width="5" style="33" customWidth="1"/>
    <col min="6145" max="6145" width="4.72727272727273" style="33" customWidth="1"/>
    <col min="6146" max="6146" width="4.90909090909091" style="33" customWidth="1"/>
    <col min="6147" max="6148" width="3.63636363636364" style="33" customWidth="1"/>
    <col min="6149" max="6149" width="4.09090909090909" style="33" customWidth="1"/>
    <col min="6150" max="6150" width="3.63636363636364" style="33" customWidth="1"/>
    <col min="6151" max="6151" width="5" style="33" customWidth="1"/>
    <col min="6152" max="6185" width="3.63636363636364" style="33" customWidth="1"/>
    <col min="6186" max="6202" width="3.36363636363636" style="33" customWidth="1"/>
    <col min="6203" max="6203" width="4.18181818181818" style="33" customWidth="1"/>
    <col min="6204" max="6204" width="4.72727272727273" style="33" customWidth="1"/>
    <col min="6205" max="6205" width="6" style="33" customWidth="1"/>
    <col min="6206" max="6394" width="9" style="33"/>
    <col min="6395" max="6395" width="2.90909090909091" style="33" customWidth="1"/>
    <col min="6396" max="6396" width="4.36363636363636" style="33" customWidth="1"/>
    <col min="6397" max="6397" width="9.72727272727273" style="33" customWidth="1"/>
    <col min="6398" max="6398" width="3.72727272727273" style="33" customWidth="1"/>
    <col min="6399" max="6399" width="19.0909090909091" style="33" customWidth="1"/>
    <col min="6400" max="6400" width="5" style="33" customWidth="1"/>
    <col min="6401" max="6401" width="4.72727272727273" style="33" customWidth="1"/>
    <col min="6402" max="6402" width="4.90909090909091" style="33" customWidth="1"/>
    <col min="6403" max="6404" width="3.63636363636364" style="33" customWidth="1"/>
    <col min="6405" max="6405" width="4.09090909090909" style="33" customWidth="1"/>
    <col min="6406" max="6406" width="3.63636363636364" style="33" customWidth="1"/>
    <col min="6407" max="6407" width="5" style="33" customWidth="1"/>
    <col min="6408" max="6441" width="3.63636363636364" style="33" customWidth="1"/>
    <col min="6442" max="6458" width="3.36363636363636" style="33" customWidth="1"/>
    <col min="6459" max="6459" width="4.18181818181818" style="33" customWidth="1"/>
    <col min="6460" max="6460" width="4.72727272727273" style="33" customWidth="1"/>
    <col min="6461" max="6461" width="6" style="33" customWidth="1"/>
    <col min="6462" max="6650" width="9" style="33"/>
    <col min="6651" max="6651" width="2.90909090909091" style="33" customWidth="1"/>
    <col min="6652" max="6652" width="4.36363636363636" style="33" customWidth="1"/>
    <col min="6653" max="6653" width="9.72727272727273" style="33" customWidth="1"/>
    <col min="6654" max="6654" width="3.72727272727273" style="33" customWidth="1"/>
    <col min="6655" max="6655" width="19.0909090909091" style="33" customWidth="1"/>
    <col min="6656" max="6656" width="5" style="33" customWidth="1"/>
    <col min="6657" max="6657" width="4.72727272727273" style="33" customWidth="1"/>
    <col min="6658" max="6658" width="4.90909090909091" style="33" customWidth="1"/>
    <col min="6659" max="6660" width="3.63636363636364" style="33" customWidth="1"/>
    <col min="6661" max="6661" width="4.09090909090909" style="33" customWidth="1"/>
    <col min="6662" max="6662" width="3.63636363636364" style="33" customWidth="1"/>
    <col min="6663" max="6663" width="5" style="33" customWidth="1"/>
    <col min="6664" max="6697" width="3.63636363636364" style="33" customWidth="1"/>
    <col min="6698" max="6714" width="3.36363636363636" style="33" customWidth="1"/>
    <col min="6715" max="6715" width="4.18181818181818" style="33" customWidth="1"/>
    <col min="6716" max="6716" width="4.72727272727273" style="33" customWidth="1"/>
    <col min="6717" max="6717" width="6" style="33" customWidth="1"/>
    <col min="6718" max="6906" width="9" style="33"/>
    <col min="6907" max="6907" width="2.90909090909091" style="33" customWidth="1"/>
    <col min="6908" max="6908" width="4.36363636363636" style="33" customWidth="1"/>
    <col min="6909" max="6909" width="9.72727272727273" style="33" customWidth="1"/>
    <col min="6910" max="6910" width="3.72727272727273" style="33" customWidth="1"/>
    <col min="6911" max="6911" width="19.0909090909091" style="33" customWidth="1"/>
    <col min="6912" max="6912" width="5" style="33" customWidth="1"/>
    <col min="6913" max="6913" width="4.72727272727273" style="33" customWidth="1"/>
    <col min="6914" max="6914" width="4.90909090909091" style="33" customWidth="1"/>
    <col min="6915" max="6916" width="3.63636363636364" style="33" customWidth="1"/>
    <col min="6917" max="6917" width="4.09090909090909" style="33" customWidth="1"/>
    <col min="6918" max="6918" width="3.63636363636364" style="33" customWidth="1"/>
    <col min="6919" max="6919" width="5" style="33" customWidth="1"/>
    <col min="6920" max="6953" width="3.63636363636364" style="33" customWidth="1"/>
    <col min="6954" max="6970" width="3.36363636363636" style="33" customWidth="1"/>
    <col min="6971" max="6971" width="4.18181818181818" style="33" customWidth="1"/>
    <col min="6972" max="6972" width="4.72727272727273" style="33" customWidth="1"/>
    <col min="6973" max="6973" width="6" style="33" customWidth="1"/>
    <col min="6974" max="7162" width="9" style="33"/>
    <col min="7163" max="7163" width="2.90909090909091" style="33" customWidth="1"/>
    <col min="7164" max="7164" width="4.36363636363636" style="33" customWidth="1"/>
    <col min="7165" max="7165" width="9.72727272727273" style="33" customWidth="1"/>
    <col min="7166" max="7166" width="3.72727272727273" style="33" customWidth="1"/>
    <col min="7167" max="7167" width="19.0909090909091" style="33" customWidth="1"/>
    <col min="7168" max="7168" width="5" style="33" customWidth="1"/>
    <col min="7169" max="7169" width="4.72727272727273" style="33" customWidth="1"/>
    <col min="7170" max="7170" width="4.90909090909091" style="33" customWidth="1"/>
    <col min="7171" max="7172" width="3.63636363636364" style="33" customWidth="1"/>
    <col min="7173" max="7173" width="4.09090909090909" style="33" customWidth="1"/>
    <col min="7174" max="7174" width="3.63636363636364" style="33" customWidth="1"/>
    <col min="7175" max="7175" width="5" style="33" customWidth="1"/>
    <col min="7176" max="7209" width="3.63636363636364" style="33" customWidth="1"/>
    <col min="7210" max="7226" width="3.36363636363636" style="33" customWidth="1"/>
    <col min="7227" max="7227" width="4.18181818181818" style="33" customWidth="1"/>
    <col min="7228" max="7228" width="4.72727272727273" style="33" customWidth="1"/>
    <col min="7229" max="7229" width="6" style="33" customWidth="1"/>
    <col min="7230" max="7418" width="9" style="33"/>
    <col min="7419" max="7419" width="2.90909090909091" style="33" customWidth="1"/>
    <col min="7420" max="7420" width="4.36363636363636" style="33" customWidth="1"/>
    <col min="7421" max="7421" width="9.72727272727273" style="33" customWidth="1"/>
    <col min="7422" max="7422" width="3.72727272727273" style="33" customWidth="1"/>
    <col min="7423" max="7423" width="19.0909090909091" style="33" customWidth="1"/>
    <col min="7424" max="7424" width="5" style="33" customWidth="1"/>
    <col min="7425" max="7425" width="4.72727272727273" style="33" customWidth="1"/>
    <col min="7426" max="7426" width="4.90909090909091" style="33" customWidth="1"/>
    <col min="7427" max="7428" width="3.63636363636364" style="33" customWidth="1"/>
    <col min="7429" max="7429" width="4.09090909090909" style="33" customWidth="1"/>
    <col min="7430" max="7430" width="3.63636363636364" style="33" customWidth="1"/>
    <col min="7431" max="7431" width="5" style="33" customWidth="1"/>
    <col min="7432" max="7465" width="3.63636363636364" style="33" customWidth="1"/>
    <col min="7466" max="7482" width="3.36363636363636" style="33" customWidth="1"/>
    <col min="7483" max="7483" width="4.18181818181818" style="33" customWidth="1"/>
    <col min="7484" max="7484" width="4.72727272727273" style="33" customWidth="1"/>
    <col min="7485" max="7485" width="6" style="33" customWidth="1"/>
    <col min="7486" max="7674" width="9" style="33"/>
    <col min="7675" max="7675" width="2.90909090909091" style="33" customWidth="1"/>
    <col min="7676" max="7676" width="4.36363636363636" style="33" customWidth="1"/>
    <col min="7677" max="7677" width="9.72727272727273" style="33" customWidth="1"/>
    <col min="7678" max="7678" width="3.72727272727273" style="33" customWidth="1"/>
    <col min="7679" max="7679" width="19.0909090909091" style="33" customWidth="1"/>
    <col min="7680" max="7680" width="5" style="33" customWidth="1"/>
    <col min="7681" max="7681" width="4.72727272727273" style="33" customWidth="1"/>
    <col min="7682" max="7682" width="4.90909090909091" style="33" customWidth="1"/>
    <col min="7683" max="7684" width="3.63636363636364" style="33" customWidth="1"/>
    <col min="7685" max="7685" width="4.09090909090909" style="33" customWidth="1"/>
    <col min="7686" max="7686" width="3.63636363636364" style="33" customWidth="1"/>
    <col min="7687" max="7687" width="5" style="33" customWidth="1"/>
    <col min="7688" max="7721" width="3.63636363636364" style="33" customWidth="1"/>
    <col min="7722" max="7738" width="3.36363636363636" style="33" customWidth="1"/>
    <col min="7739" max="7739" width="4.18181818181818" style="33" customWidth="1"/>
    <col min="7740" max="7740" width="4.72727272727273" style="33" customWidth="1"/>
    <col min="7741" max="7741" width="6" style="33" customWidth="1"/>
    <col min="7742" max="7930" width="9" style="33"/>
    <col min="7931" max="7931" width="2.90909090909091" style="33" customWidth="1"/>
    <col min="7932" max="7932" width="4.36363636363636" style="33" customWidth="1"/>
    <col min="7933" max="7933" width="9.72727272727273" style="33" customWidth="1"/>
    <col min="7934" max="7934" width="3.72727272727273" style="33" customWidth="1"/>
    <col min="7935" max="7935" width="19.0909090909091" style="33" customWidth="1"/>
    <col min="7936" max="7936" width="5" style="33" customWidth="1"/>
    <col min="7937" max="7937" width="4.72727272727273" style="33" customWidth="1"/>
    <col min="7938" max="7938" width="4.90909090909091" style="33" customWidth="1"/>
    <col min="7939" max="7940" width="3.63636363636364" style="33" customWidth="1"/>
    <col min="7941" max="7941" width="4.09090909090909" style="33" customWidth="1"/>
    <col min="7942" max="7942" width="3.63636363636364" style="33" customWidth="1"/>
    <col min="7943" max="7943" width="5" style="33" customWidth="1"/>
    <col min="7944" max="7977" width="3.63636363636364" style="33" customWidth="1"/>
    <col min="7978" max="7994" width="3.36363636363636" style="33" customWidth="1"/>
    <col min="7995" max="7995" width="4.18181818181818" style="33" customWidth="1"/>
    <col min="7996" max="7996" width="4.72727272727273" style="33" customWidth="1"/>
    <col min="7997" max="7997" width="6" style="33" customWidth="1"/>
    <col min="7998" max="8186" width="9" style="33"/>
    <col min="8187" max="8187" width="2.90909090909091" style="33" customWidth="1"/>
    <col min="8188" max="8188" width="4.36363636363636" style="33" customWidth="1"/>
    <col min="8189" max="8189" width="9.72727272727273" style="33" customWidth="1"/>
    <col min="8190" max="8190" width="3.72727272727273" style="33" customWidth="1"/>
    <col min="8191" max="8191" width="19.0909090909091" style="33" customWidth="1"/>
    <col min="8192" max="8192" width="5" style="33" customWidth="1"/>
    <col min="8193" max="8193" width="4.72727272727273" style="33" customWidth="1"/>
    <col min="8194" max="8194" width="4.90909090909091" style="33" customWidth="1"/>
    <col min="8195" max="8196" width="3.63636363636364" style="33" customWidth="1"/>
    <col min="8197" max="8197" width="4.09090909090909" style="33" customWidth="1"/>
    <col min="8198" max="8198" width="3.63636363636364" style="33" customWidth="1"/>
    <col min="8199" max="8199" width="5" style="33" customWidth="1"/>
    <col min="8200" max="8233" width="3.63636363636364" style="33" customWidth="1"/>
    <col min="8234" max="8250" width="3.36363636363636" style="33" customWidth="1"/>
    <col min="8251" max="8251" width="4.18181818181818" style="33" customWidth="1"/>
    <col min="8252" max="8252" width="4.72727272727273" style="33" customWidth="1"/>
    <col min="8253" max="8253" width="6" style="33" customWidth="1"/>
    <col min="8254" max="8442" width="9" style="33"/>
    <col min="8443" max="8443" width="2.90909090909091" style="33" customWidth="1"/>
    <col min="8444" max="8444" width="4.36363636363636" style="33" customWidth="1"/>
    <col min="8445" max="8445" width="9.72727272727273" style="33" customWidth="1"/>
    <col min="8446" max="8446" width="3.72727272727273" style="33" customWidth="1"/>
    <col min="8447" max="8447" width="19.0909090909091" style="33" customWidth="1"/>
    <col min="8448" max="8448" width="5" style="33" customWidth="1"/>
    <col min="8449" max="8449" width="4.72727272727273" style="33" customWidth="1"/>
    <col min="8450" max="8450" width="4.90909090909091" style="33" customWidth="1"/>
    <col min="8451" max="8452" width="3.63636363636364" style="33" customWidth="1"/>
    <col min="8453" max="8453" width="4.09090909090909" style="33" customWidth="1"/>
    <col min="8454" max="8454" width="3.63636363636364" style="33" customWidth="1"/>
    <col min="8455" max="8455" width="5" style="33" customWidth="1"/>
    <col min="8456" max="8489" width="3.63636363636364" style="33" customWidth="1"/>
    <col min="8490" max="8506" width="3.36363636363636" style="33" customWidth="1"/>
    <col min="8507" max="8507" width="4.18181818181818" style="33" customWidth="1"/>
    <col min="8508" max="8508" width="4.72727272727273" style="33" customWidth="1"/>
    <col min="8509" max="8509" width="6" style="33" customWidth="1"/>
    <col min="8510" max="8698" width="9" style="33"/>
    <col min="8699" max="8699" width="2.90909090909091" style="33" customWidth="1"/>
    <col min="8700" max="8700" width="4.36363636363636" style="33" customWidth="1"/>
    <col min="8701" max="8701" width="9.72727272727273" style="33" customWidth="1"/>
    <col min="8702" max="8702" width="3.72727272727273" style="33" customWidth="1"/>
    <col min="8703" max="8703" width="19.0909090909091" style="33" customWidth="1"/>
    <col min="8704" max="8704" width="5" style="33" customWidth="1"/>
    <col min="8705" max="8705" width="4.72727272727273" style="33" customWidth="1"/>
    <col min="8706" max="8706" width="4.90909090909091" style="33" customWidth="1"/>
    <col min="8707" max="8708" width="3.63636363636364" style="33" customWidth="1"/>
    <col min="8709" max="8709" width="4.09090909090909" style="33" customWidth="1"/>
    <col min="8710" max="8710" width="3.63636363636364" style="33" customWidth="1"/>
    <col min="8711" max="8711" width="5" style="33" customWidth="1"/>
    <col min="8712" max="8745" width="3.63636363636364" style="33" customWidth="1"/>
    <col min="8746" max="8762" width="3.36363636363636" style="33" customWidth="1"/>
    <col min="8763" max="8763" width="4.18181818181818" style="33" customWidth="1"/>
    <col min="8764" max="8764" width="4.72727272727273" style="33" customWidth="1"/>
    <col min="8765" max="8765" width="6" style="33" customWidth="1"/>
    <col min="8766" max="8954" width="9" style="33"/>
    <col min="8955" max="8955" width="2.90909090909091" style="33" customWidth="1"/>
    <col min="8956" max="8956" width="4.36363636363636" style="33" customWidth="1"/>
    <col min="8957" max="8957" width="9.72727272727273" style="33" customWidth="1"/>
    <col min="8958" max="8958" width="3.72727272727273" style="33" customWidth="1"/>
    <col min="8959" max="8959" width="19.0909090909091" style="33" customWidth="1"/>
    <col min="8960" max="8960" width="5" style="33" customWidth="1"/>
    <col min="8961" max="8961" width="4.72727272727273" style="33" customWidth="1"/>
    <col min="8962" max="8962" width="4.90909090909091" style="33" customWidth="1"/>
    <col min="8963" max="8964" width="3.63636363636364" style="33" customWidth="1"/>
    <col min="8965" max="8965" width="4.09090909090909" style="33" customWidth="1"/>
    <col min="8966" max="8966" width="3.63636363636364" style="33" customWidth="1"/>
    <col min="8967" max="8967" width="5" style="33" customWidth="1"/>
    <col min="8968" max="9001" width="3.63636363636364" style="33" customWidth="1"/>
    <col min="9002" max="9018" width="3.36363636363636" style="33" customWidth="1"/>
    <col min="9019" max="9019" width="4.18181818181818" style="33" customWidth="1"/>
    <col min="9020" max="9020" width="4.72727272727273" style="33" customWidth="1"/>
    <col min="9021" max="9021" width="6" style="33" customWidth="1"/>
    <col min="9022" max="9210" width="9" style="33"/>
    <col min="9211" max="9211" width="2.90909090909091" style="33" customWidth="1"/>
    <col min="9212" max="9212" width="4.36363636363636" style="33" customWidth="1"/>
    <col min="9213" max="9213" width="9.72727272727273" style="33" customWidth="1"/>
    <col min="9214" max="9214" width="3.72727272727273" style="33" customWidth="1"/>
    <col min="9215" max="9215" width="19.0909090909091" style="33" customWidth="1"/>
    <col min="9216" max="9216" width="5" style="33" customWidth="1"/>
    <col min="9217" max="9217" width="4.72727272727273" style="33" customWidth="1"/>
    <col min="9218" max="9218" width="4.90909090909091" style="33" customWidth="1"/>
    <col min="9219" max="9220" width="3.63636363636364" style="33" customWidth="1"/>
    <col min="9221" max="9221" width="4.09090909090909" style="33" customWidth="1"/>
    <col min="9222" max="9222" width="3.63636363636364" style="33" customWidth="1"/>
    <col min="9223" max="9223" width="5" style="33" customWidth="1"/>
    <col min="9224" max="9257" width="3.63636363636364" style="33" customWidth="1"/>
    <col min="9258" max="9274" width="3.36363636363636" style="33" customWidth="1"/>
    <col min="9275" max="9275" width="4.18181818181818" style="33" customWidth="1"/>
    <col min="9276" max="9276" width="4.72727272727273" style="33" customWidth="1"/>
    <col min="9277" max="9277" width="6" style="33" customWidth="1"/>
    <col min="9278" max="9466" width="9" style="33"/>
    <col min="9467" max="9467" width="2.90909090909091" style="33" customWidth="1"/>
    <col min="9468" max="9468" width="4.36363636363636" style="33" customWidth="1"/>
    <col min="9469" max="9469" width="9.72727272727273" style="33" customWidth="1"/>
    <col min="9470" max="9470" width="3.72727272727273" style="33" customWidth="1"/>
    <col min="9471" max="9471" width="19.0909090909091" style="33" customWidth="1"/>
    <col min="9472" max="9472" width="5" style="33" customWidth="1"/>
    <col min="9473" max="9473" width="4.72727272727273" style="33" customWidth="1"/>
    <col min="9474" max="9474" width="4.90909090909091" style="33" customWidth="1"/>
    <col min="9475" max="9476" width="3.63636363636364" style="33" customWidth="1"/>
    <col min="9477" max="9477" width="4.09090909090909" style="33" customWidth="1"/>
    <col min="9478" max="9478" width="3.63636363636364" style="33" customWidth="1"/>
    <col min="9479" max="9479" width="5" style="33" customWidth="1"/>
    <col min="9480" max="9513" width="3.63636363636364" style="33" customWidth="1"/>
    <col min="9514" max="9530" width="3.36363636363636" style="33" customWidth="1"/>
    <col min="9531" max="9531" width="4.18181818181818" style="33" customWidth="1"/>
    <col min="9532" max="9532" width="4.72727272727273" style="33" customWidth="1"/>
    <col min="9533" max="9533" width="6" style="33" customWidth="1"/>
    <col min="9534" max="9722" width="9" style="33"/>
    <col min="9723" max="9723" width="2.90909090909091" style="33" customWidth="1"/>
    <col min="9724" max="9724" width="4.36363636363636" style="33" customWidth="1"/>
    <col min="9725" max="9725" width="9.72727272727273" style="33" customWidth="1"/>
    <col min="9726" max="9726" width="3.72727272727273" style="33" customWidth="1"/>
    <col min="9727" max="9727" width="19.0909090909091" style="33" customWidth="1"/>
    <col min="9728" max="9728" width="5" style="33" customWidth="1"/>
    <col min="9729" max="9729" width="4.72727272727273" style="33" customWidth="1"/>
    <col min="9730" max="9730" width="4.90909090909091" style="33" customWidth="1"/>
    <col min="9731" max="9732" width="3.63636363636364" style="33" customWidth="1"/>
    <col min="9733" max="9733" width="4.09090909090909" style="33" customWidth="1"/>
    <col min="9734" max="9734" width="3.63636363636364" style="33" customWidth="1"/>
    <col min="9735" max="9735" width="5" style="33" customWidth="1"/>
    <col min="9736" max="9769" width="3.63636363636364" style="33" customWidth="1"/>
    <col min="9770" max="9786" width="3.36363636363636" style="33" customWidth="1"/>
    <col min="9787" max="9787" width="4.18181818181818" style="33" customWidth="1"/>
    <col min="9788" max="9788" width="4.72727272727273" style="33" customWidth="1"/>
    <col min="9789" max="9789" width="6" style="33" customWidth="1"/>
    <col min="9790" max="9978" width="9" style="33"/>
    <col min="9979" max="9979" width="2.90909090909091" style="33" customWidth="1"/>
    <col min="9980" max="9980" width="4.36363636363636" style="33" customWidth="1"/>
    <col min="9981" max="9981" width="9.72727272727273" style="33" customWidth="1"/>
    <col min="9982" max="9982" width="3.72727272727273" style="33" customWidth="1"/>
    <col min="9983" max="9983" width="19.0909090909091" style="33" customWidth="1"/>
    <col min="9984" max="9984" width="5" style="33" customWidth="1"/>
    <col min="9985" max="9985" width="4.72727272727273" style="33" customWidth="1"/>
    <col min="9986" max="9986" width="4.90909090909091" style="33" customWidth="1"/>
    <col min="9987" max="9988" width="3.63636363636364" style="33" customWidth="1"/>
    <col min="9989" max="9989" width="4.09090909090909" style="33" customWidth="1"/>
    <col min="9990" max="9990" width="3.63636363636364" style="33" customWidth="1"/>
    <col min="9991" max="9991" width="5" style="33" customWidth="1"/>
    <col min="9992" max="10025" width="3.63636363636364" style="33" customWidth="1"/>
    <col min="10026" max="10042" width="3.36363636363636" style="33" customWidth="1"/>
    <col min="10043" max="10043" width="4.18181818181818" style="33" customWidth="1"/>
    <col min="10044" max="10044" width="4.72727272727273" style="33" customWidth="1"/>
    <col min="10045" max="10045" width="6" style="33" customWidth="1"/>
    <col min="10046" max="10234" width="9" style="33"/>
    <col min="10235" max="10235" width="2.90909090909091" style="33" customWidth="1"/>
    <col min="10236" max="10236" width="4.36363636363636" style="33" customWidth="1"/>
    <col min="10237" max="10237" width="9.72727272727273" style="33" customWidth="1"/>
    <col min="10238" max="10238" width="3.72727272727273" style="33" customWidth="1"/>
    <col min="10239" max="10239" width="19.0909090909091" style="33" customWidth="1"/>
    <col min="10240" max="10240" width="5" style="33" customWidth="1"/>
    <col min="10241" max="10241" width="4.72727272727273" style="33" customWidth="1"/>
    <col min="10242" max="10242" width="4.90909090909091" style="33" customWidth="1"/>
    <col min="10243" max="10244" width="3.63636363636364" style="33" customWidth="1"/>
    <col min="10245" max="10245" width="4.09090909090909" style="33" customWidth="1"/>
    <col min="10246" max="10246" width="3.63636363636364" style="33" customWidth="1"/>
    <col min="10247" max="10247" width="5" style="33" customWidth="1"/>
    <col min="10248" max="10281" width="3.63636363636364" style="33" customWidth="1"/>
    <col min="10282" max="10298" width="3.36363636363636" style="33" customWidth="1"/>
    <col min="10299" max="10299" width="4.18181818181818" style="33" customWidth="1"/>
    <col min="10300" max="10300" width="4.72727272727273" style="33" customWidth="1"/>
    <col min="10301" max="10301" width="6" style="33" customWidth="1"/>
    <col min="10302" max="10490" width="9" style="33"/>
    <col min="10491" max="10491" width="2.90909090909091" style="33" customWidth="1"/>
    <col min="10492" max="10492" width="4.36363636363636" style="33" customWidth="1"/>
    <col min="10493" max="10493" width="9.72727272727273" style="33" customWidth="1"/>
    <col min="10494" max="10494" width="3.72727272727273" style="33" customWidth="1"/>
    <col min="10495" max="10495" width="19.0909090909091" style="33" customWidth="1"/>
    <col min="10496" max="10496" width="5" style="33" customWidth="1"/>
    <col min="10497" max="10497" width="4.72727272727273" style="33" customWidth="1"/>
    <col min="10498" max="10498" width="4.90909090909091" style="33" customWidth="1"/>
    <col min="10499" max="10500" width="3.63636363636364" style="33" customWidth="1"/>
    <col min="10501" max="10501" width="4.09090909090909" style="33" customWidth="1"/>
    <col min="10502" max="10502" width="3.63636363636364" style="33" customWidth="1"/>
    <col min="10503" max="10503" width="5" style="33" customWidth="1"/>
    <col min="10504" max="10537" width="3.63636363636364" style="33" customWidth="1"/>
    <col min="10538" max="10554" width="3.36363636363636" style="33" customWidth="1"/>
    <col min="10555" max="10555" width="4.18181818181818" style="33" customWidth="1"/>
    <col min="10556" max="10556" width="4.72727272727273" style="33" customWidth="1"/>
    <col min="10557" max="10557" width="6" style="33" customWidth="1"/>
    <col min="10558" max="10746" width="9" style="33"/>
    <col min="10747" max="10747" width="2.90909090909091" style="33" customWidth="1"/>
    <col min="10748" max="10748" width="4.36363636363636" style="33" customWidth="1"/>
    <col min="10749" max="10749" width="9.72727272727273" style="33" customWidth="1"/>
    <col min="10750" max="10750" width="3.72727272727273" style="33" customWidth="1"/>
    <col min="10751" max="10751" width="19.0909090909091" style="33" customWidth="1"/>
    <col min="10752" max="10752" width="5" style="33" customWidth="1"/>
    <col min="10753" max="10753" width="4.72727272727273" style="33" customWidth="1"/>
    <col min="10754" max="10754" width="4.90909090909091" style="33" customWidth="1"/>
    <col min="10755" max="10756" width="3.63636363636364" style="33" customWidth="1"/>
    <col min="10757" max="10757" width="4.09090909090909" style="33" customWidth="1"/>
    <col min="10758" max="10758" width="3.63636363636364" style="33" customWidth="1"/>
    <col min="10759" max="10759" width="5" style="33" customWidth="1"/>
    <col min="10760" max="10793" width="3.63636363636364" style="33" customWidth="1"/>
    <col min="10794" max="10810" width="3.36363636363636" style="33" customWidth="1"/>
    <col min="10811" max="10811" width="4.18181818181818" style="33" customWidth="1"/>
    <col min="10812" max="10812" width="4.72727272727273" style="33" customWidth="1"/>
    <col min="10813" max="10813" width="6" style="33" customWidth="1"/>
    <col min="10814" max="11002" width="9" style="33"/>
    <col min="11003" max="11003" width="2.90909090909091" style="33" customWidth="1"/>
    <col min="11004" max="11004" width="4.36363636363636" style="33" customWidth="1"/>
    <col min="11005" max="11005" width="9.72727272727273" style="33" customWidth="1"/>
    <col min="11006" max="11006" width="3.72727272727273" style="33" customWidth="1"/>
    <col min="11007" max="11007" width="19.0909090909091" style="33" customWidth="1"/>
    <col min="11008" max="11008" width="5" style="33" customWidth="1"/>
    <col min="11009" max="11009" width="4.72727272727273" style="33" customWidth="1"/>
    <col min="11010" max="11010" width="4.90909090909091" style="33" customWidth="1"/>
    <col min="11011" max="11012" width="3.63636363636364" style="33" customWidth="1"/>
    <col min="11013" max="11013" width="4.09090909090909" style="33" customWidth="1"/>
    <col min="11014" max="11014" width="3.63636363636364" style="33" customWidth="1"/>
    <col min="11015" max="11015" width="5" style="33" customWidth="1"/>
    <col min="11016" max="11049" width="3.63636363636364" style="33" customWidth="1"/>
    <col min="11050" max="11066" width="3.36363636363636" style="33" customWidth="1"/>
    <col min="11067" max="11067" width="4.18181818181818" style="33" customWidth="1"/>
    <col min="11068" max="11068" width="4.72727272727273" style="33" customWidth="1"/>
    <col min="11069" max="11069" width="6" style="33" customWidth="1"/>
    <col min="11070" max="11258" width="9" style="33"/>
    <col min="11259" max="11259" width="2.90909090909091" style="33" customWidth="1"/>
    <col min="11260" max="11260" width="4.36363636363636" style="33" customWidth="1"/>
    <col min="11261" max="11261" width="9.72727272727273" style="33" customWidth="1"/>
    <col min="11262" max="11262" width="3.72727272727273" style="33" customWidth="1"/>
    <col min="11263" max="11263" width="19.0909090909091" style="33" customWidth="1"/>
    <col min="11264" max="11264" width="5" style="33" customWidth="1"/>
    <col min="11265" max="11265" width="4.72727272727273" style="33" customWidth="1"/>
    <col min="11266" max="11266" width="4.90909090909091" style="33" customWidth="1"/>
    <col min="11267" max="11268" width="3.63636363636364" style="33" customWidth="1"/>
    <col min="11269" max="11269" width="4.09090909090909" style="33" customWidth="1"/>
    <col min="11270" max="11270" width="3.63636363636364" style="33" customWidth="1"/>
    <col min="11271" max="11271" width="5" style="33" customWidth="1"/>
    <col min="11272" max="11305" width="3.63636363636364" style="33" customWidth="1"/>
    <col min="11306" max="11322" width="3.36363636363636" style="33" customWidth="1"/>
    <col min="11323" max="11323" width="4.18181818181818" style="33" customWidth="1"/>
    <col min="11324" max="11324" width="4.72727272727273" style="33" customWidth="1"/>
    <col min="11325" max="11325" width="6" style="33" customWidth="1"/>
    <col min="11326" max="11514" width="9" style="33"/>
    <col min="11515" max="11515" width="2.90909090909091" style="33" customWidth="1"/>
    <col min="11516" max="11516" width="4.36363636363636" style="33" customWidth="1"/>
    <col min="11517" max="11517" width="9.72727272727273" style="33" customWidth="1"/>
    <col min="11518" max="11518" width="3.72727272727273" style="33" customWidth="1"/>
    <col min="11519" max="11519" width="19.0909090909091" style="33" customWidth="1"/>
    <col min="11520" max="11520" width="5" style="33" customWidth="1"/>
    <col min="11521" max="11521" width="4.72727272727273" style="33" customWidth="1"/>
    <col min="11522" max="11522" width="4.90909090909091" style="33" customWidth="1"/>
    <col min="11523" max="11524" width="3.63636363636364" style="33" customWidth="1"/>
    <col min="11525" max="11525" width="4.09090909090909" style="33" customWidth="1"/>
    <col min="11526" max="11526" width="3.63636363636364" style="33" customWidth="1"/>
    <col min="11527" max="11527" width="5" style="33" customWidth="1"/>
    <col min="11528" max="11561" width="3.63636363636364" style="33" customWidth="1"/>
    <col min="11562" max="11578" width="3.36363636363636" style="33" customWidth="1"/>
    <col min="11579" max="11579" width="4.18181818181818" style="33" customWidth="1"/>
    <col min="11580" max="11580" width="4.72727272727273" style="33" customWidth="1"/>
    <col min="11581" max="11581" width="6" style="33" customWidth="1"/>
    <col min="11582" max="11770" width="9" style="33"/>
    <col min="11771" max="11771" width="2.90909090909091" style="33" customWidth="1"/>
    <col min="11772" max="11772" width="4.36363636363636" style="33" customWidth="1"/>
    <col min="11773" max="11773" width="9.72727272727273" style="33" customWidth="1"/>
    <col min="11774" max="11774" width="3.72727272727273" style="33" customWidth="1"/>
    <col min="11775" max="11775" width="19.0909090909091" style="33" customWidth="1"/>
    <col min="11776" max="11776" width="5" style="33" customWidth="1"/>
    <col min="11777" max="11777" width="4.72727272727273" style="33" customWidth="1"/>
    <col min="11778" max="11778" width="4.90909090909091" style="33" customWidth="1"/>
    <col min="11779" max="11780" width="3.63636363636364" style="33" customWidth="1"/>
    <col min="11781" max="11781" width="4.09090909090909" style="33" customWidth="1"/>
    <col min="11782" max="11782" width="3.63636363636364" style="33" customWidth="1"/>
    <col min="11783" max="11783" width="5" style="33" customWidth="1"/>
    <col min="11784" max="11817" width="3.63636363636364" style="33" customWidth="1"/>
    <col min="11818" max="11834" width="3.36363636363636" style="33" customWidth="1"/>
    <col min="11835" max="11835" width="4.18181818181818" style="33" customWidth="1"/>
    <col min="11836" max="11836" width="4.72727272727273" style="33" customWidth="1"/>
    <col min="11837" max="11837" width="6" style="33" customWidth="1"/>
    <col min="11838" max="12026" width="9" style="33"/>
    <col min="12027" max="12027" width="2.90909090909091" style="33" customWidth="1"/>
    <col min="12028" max="12028" width="4.36363636363636" style="33" customWidth="1"/>
    <col min="12029" max="12029" width="9.72727272727273" style="33" customWidth="1"/>
    <col min="12030" max="12030" width="3.72727272727273" style="33" customWidth="1"/>
    <col min="12031" max="12031" width="19.0909090909091" style="33" customWidth="1"/>
    <col min="12032" max="12032" width="5" style="33" customWidth="1"/>
    <col min="12033" max="12033" width="4.72727272727273" style="33" customWidth="1"/>
    <col min="12034" max="12034" width="4.90909090909091" style="33" customWidth="1"/>
    <col min="12035" max="12036" width="3.63636363636364" style="33" customWidth="1"/>
    <col min="12037" max="12037" width="4.09090909090909" style="33" customWidth="1"/>
    <col min="12038" max="12038" width="3.63636363636364" style="33" customWidth="1"/>
    <col min="12039" max="12039" width="5" style="33" customWidth="1"/>
    <col min="12040" max="12073" width="3.63636363636364" style="33" customWidth="1"/>
    <col min="12074" max="12090" width="3.36363636363636" style="33" customWidth="1"/>
    <col min="12091" max="12091" width="4.18181818181818" style="33" customWidth="1"/>
    <col min="12092" max="12092" width="4.72727272727273" style="33" customWidth="1"/>
    <col min="12093" max="12093" width="6" style="33" customWidth="1"/>
    <col min="12094" max="12282" width="9" style="33"/>
    <col min="12283" max="12283" width="2.90909090909091" style="33" customWidth="1"/>
    <col min="12284" max="12284" width="4.36363636363636" style="33" customWidth="1"/>
    <col min="12285" max="12285" width="9.72727272727273" style="33" customWidth="1"/>
    <col min="12286" max="12286" width="3.72727272727273" style="33" customWidth="1"/>
    <col min="12287" max="12287" width="19.0909090909091" style="33" customWidth="1"/>
    <col min="12288" max="12288" width="5" style="33" customWidth="1"/>
    <col min="12289" max="12289" width="4.72727272727273" style="33" customWidth="1"/>
    <col min="12290" max="12290" width="4.90909090909091" style="33" customWidth="1"/>
    <col min="12291" max="12292" width="3.63636363636364" style="33" customWidth="1"/>
    <col min="12293" max="12293" width="4.09090909090909" style="33" customWidth="1"/>
    <col min="12294" max="12294" width="3.63636363636364" style="33" customWidth="1"/>
    <col min="12295" max="12295" width="5" style="33" customWidth="1"/>
    <col min="12296" max="12329" width="3.63636363636364" style="33" customWidth="1"/>
    <col min="12330" max="12346" width="3.36363636363636" style="33" customWidth="1"/>
    <col min="12347" max="12347" width="4.18181818181818" style="33" customWidth="1"/>
    <col min="12348" max="12348" width="4.72727272727273" style="33" customWidth="1"/>
    <col min="12349" max="12349" width="6" style="33" customWidth="1"/>
    <col min="12350" max="12538" width="9" style="33"/>
    <col min="12539" max="12539" width="2.90909090909091" style="33" customWidth="1"/>
    <col min="12540" max="12540" width="4.36363636363636" style="33" customWidth="1"/>
    <col min="12541" max="12541" width="9.72727272727273" style="33" customWidth="1"/>
    <col min="12542" max="12542" width="3.72727272727273" style="33" customWidth="1"/>
    <col min="12543" max="12543" width="19.0909090909091" style="33" customWidth="1"/>
    <col min="12544" max="12544" width="5" style="33" customWidth="1"/>
    <col min="12545" max="12545" width="4.72727272727273" style="33" customWidth="1"/>
    <col min="12546" max="12546" width="4.90909090909091" style="33" customWidth="1"/>
    <col min="12547" max="12548" width="3.63636363636364" style="33" customWidth="1"/>
    <col min="12549" max="12549" width="4.09090909090909" style="33" customWidth="1"/>
    <col min="12550" max="12550" width="3.63636363636364" style="33" customWidth="1"/>
    <col min="12551" max="12551" width="5" style="33" customWidth="1"/>
    <col min="12552" max="12585" width="3.63636363636364" style="33" customWidth="1"/>
    <col min="12586" max="12602" width="3.36363636363636" style="33" customWidth="1"/>
    <col min="12603" max="12603" width="4.18181818181818" style="33" customWidth="1"/>
    <col min="12604" max="12604" width="4.72727272727273" style="33" customWidth="1"/>
    <col min="12605" max="12605" width="6" style="33" customWidth="1"/>
    <col min="12606" max="12794" width="9" style="33"/>
    <col min="12795" max="12795" width="2.90909090909091" style="33" customWidth="1"/>
    <col min="12796" max="12796" width="4.36363636363636" style="33" customWidth="1"/>
    <col min="12797" max="12797" width="9.72727272727273" style="33" customWidth="1"/>
    <col min="12798" max="12798" width="3.72727272727273" style="33" customWidth="1"/>
    <col min="12799" max="12799" width="19.0909090909091" style="33" customWidth="1"/>
    <col min="12800" max="12800" width="5" style="33" customWidth="1"/>
    <col min="12801" max="12801" width="4.72727272727273" style="33" customWidth="1"/>
    <col min="12802" max="12802" width="4.90909090909091" style="33" customWidth="1"/>
    <col min="12803" max="12804" width="3.63636363636364" style="33" customWidth="1"/>
    <col min="12805" max="12805" width="4.09090909090909" style="33" customWidth="1"/>
    <col min="12806" max="12806" width="3.63636363636364" style="33" customWidth="1"/>
    <col min="12807" max="12807" width="5" style="33" customWidth="1"/>
    <col min="12808" max="12841" width="3.63636363636364" style="33" customWidth="1"/>
    <col min="12842" max="12858" width="3.36363636363636" style="33" customWidth="1"/>
    <col min="12859" max="12859" width="4.18181818181818" style="33" customWidth="1"/>
    <col min="12860" max="12860" width="4.72727272727273" style="33" customWidth="1"/>
    <col min="12861" max="12861" width="6" style="33" customWidth="1"/>
    <col min="12862" max="13050" width="9" style="33"/>
    <col min="13051" max="13051" width="2.90909090909091" style="33" customWidth="1"/>
    <col min="13052" max="13052" width="4.36363636363636" style="33" customWidth="1"/>
    <col min="13053" max="13053" width="9.72727272727273" style="33" customWidth="1"/>
    <col min="13054" max="13054" width="3.72727272727273" style="33" customWidth="1"/>
    <col min="13055" max="13055" width="19.0909090909091" style="33" customWidth="1"/>
    <col min="13056" max="13056" width="5" style="33" customWidth="1"/>
    <col min="13057" max="13057" width="4.72727272727273" style="33" customWidth="1"/>
    <col min="13058" max="13058" width="4.90909090909091" style="33" customWidth="1"/>
    <col min="13059" max="13060" width="3.63636363636364" style="33" customWidth="1"/>
    <col min="13061" max="13061" width="4.09090909090909" style="33" customWidth="1"/>
    <col min="13062" max="13062" width="3.63636363636364" style="33" customWidth="1"/>
    <col min="13063" max="13063" width="5" style="33" customWidth="1"/>
    <col min="13064" max="13097" width="3.63636363636364" style="33" customWidth="1"/>
    <col min="13098" max="13114" width="3.36363636363636" style="33" customWidth="1"/>
    <col min="13115" max="13115" width="4.18181818181818" style="33" customWidth="1"/>
    <col min="13116" max="13116" width="4.72727272727273" style="33" customWidth="1"/>
    <col min="13117" max="13117" width="6" style="33" customWidth="1"/>
    <col min="13118" max="13306" width="9" style="33"/>
    <col min="13307" max="13307" width="2.90909090909091" style="33" customWidth="1"/>
    <col min="13308" max="13308" width="4.36363636363636" style="33" customWidth="1"/>
    <col min="13309" max="13309" width="9.72727272727273" style="33" customWidth="1"/>
    <col min="13310" max="13310" width="3.72727272727273" style="33" customWidth="1"/>
    <col min="13311" max="13311" width="19.0909090909091" style="33" customWidth="1"/>
    <col min="13312" max="13312" width="5" style="33" customWidth="1"/>
    <col min="13313" max="13313" width="4.72727272727273" style="33" customWidth="1"/>
    <col min="13314" max="13314" width="4.90909090909091" style="33" customWidth="1"/>
    <col min="13315" max="13316" width="3.63636363636364" style="33" customWidth="1"/>
    <col min="13317" max="13317" width="4.09090909090909" style="33" customWidth="1"/>
    <col min="13318" max="13318" width="3.63636363636364" style="33" customWidth="1"/>
    <col min="13319" max="13319" width="5" style="33" customWidth="1"/>
    <col min="13320" max="13353" width="3.63636363636364" style="33" customWidth="1"/>
    <col min="13354" max="13370" width="3.36363636363636" style="33" customWidth="1"/>
    <col min="13371" max="13371" width="4.18181818181818" style="33" customWidth="1"/>
    <col min="13372" max="13372" width="4.72727272727273" style="33" customWidth="1"/>
    <col min="13373" max="13373" width="6" style="33" customWidth="1"/>
    <col min="13374" max="13562" width="9" style="33"/>
    <col min="13563" max="13563" width="2.90909090909091" style="33" customWidth="1"/>
    <col min="13564" max="13564" width="4.36363636363636" style="33" customWidth="1"/>
    <col min="13565" max="13565" width="9.72727272727273" style="33" customWidth="1"/>
    <col min="13566" max="13566" width="3.72727272727273" style="33" customWidth="1"/>
    <col min="13567" max="13567" width="19.0909090909091" style="33" customWidth="1"/>
    <col min="13568" max="13568" width="5" style="33" customWidth="1"/>
    <col min="13569" max="13569" width="4.72727272727273" style="33" customWidth="1"/>
    <col min="13570" max="13570" width="4.90909090909091" style="33" customWidth="1"/>
    <col min="13571" max="13572" width="3.63636363636364" style="33" customWidth="1"/>
    <col min="13573" max="13573" width="4.09090909090909" style="33" customWidth="1"/>
    <col min="13574" max="13574" width="3.63636363636364" style="33" customWidth="1"/>
    <col min="13575" max="13575" width="5" style="33" customWidth="1"/>
    <col min="13576" max="13609" width="3.63636363636364" style="33" customWidth="1"/>
    <col min="13610" max="13626" width="3.36363636363636" style="33" customWidth="1"/>
    <col min="13627" max="13627" width="4.18181818181818" style="33" customWidth="1"/>
    <col min="13628" max="13628" width="4.72727272727273" style="33" customWidth="1"/>
    <col min="13629" max="13629" width="6" style="33" customWidth="1"/>
    <col min="13630" max="13818" width="9" style="33"/>
    <col min="13819" max="13819" width="2.90909090909091" style="33" customWidth="1"/>
    <col min="13820" max="13820" width="4.36363636363636" style="33" customWidth="1"/>
    <col min="13821" max="13821" width="9.72727272727273" style="33" customWidth="1"/>
    <col min="13822" max="13822" width="3.72727272727273" style="33" customWidth="1"/>
    <col min="13823" max="13823" width="19.0909090909091" style="33" customWidth="1"/>
    <col min="13824" max="13824" width="5" style="33" customWidth="1"/>
    <col min="13825" max="13825" width="4.72727272727273" style="33" customWidth="1"/>
    <col min="13826" max="13826" width="4.90909090909091" style="33" customWidth="1"/>
    <col min="13827" max="13828" width="3.63636363636364" style="33" customWidth="1"/>
    <col min="13829" max="13829" width="4.09090909090909" style="33" customWidth="1"/>
    <col min="13830" max="13830" width="3.63636363636364" style="33" customWidth="1"/>
    <col min="13831" max="13831" width="5" style="33" customWidth="1"/>
    <col min="13832" max="13865" width="3.63636363636364" style="33" customWidth="1"/>
    <col min="13866" max="13882" width="3.36363636363636" style="33" customWidth="1"/>
    <col min="13883" max="13883" width="4.18181818181818" style="33" customWidth="1"/>
    <col min="13884" max="13884" width="4.72727272727273" style="33" customWidth="1"/>
    <col min="13885" max="13885" width="6" style="33" customWidth="1"/>
    <col min="13886" max="14074" width="9" style="33"/>
    <col min="14075" max="14075" width="2.90909090909091" style="33" customWidth="1"/>
    <col min="14076" max="14076" width="4.36363636363636" style="33" customWidth="1"/>
    <col min="14077" max="14077" width="9.72727272727273" style="33" customWidth="1"/>
    <col min="14078" max="14078" width="3.72727272727273" style="33" customWidth="1"/>
    <col min="14079" max="14079" width="19.0909090909091" style="33" customWidth="1"/>
    <col min="14080" max="14080" width="5" style="33" customWidth="1"/>
    <col min="14081" max="14081" width="4.72727272727273" style="33" customWidth="1"/>
    <col min="14082" max="14082" width="4.90909090909091" style="33" customWidth="1"/>
    <col min="14083" max="14084" width="3.63636363636364" style="33" customWidth="1"/>
    <col min="14085" max="14085" width="4.09090909090909" style="33" customWidth="1"/>
    <col min="14086" max="14086" width="3.63636363636364" style="33" customWidth="1"/>
    <col min="14087" max="14087" width="5" style="33" customWidth="1"/>
    <col min="14088" max="14121" width="3.63636363636364" style="33" customWidth="1"/>
    <col min="14122" max="14138" width="3.36363636363636" style="33" customWidth="1"/>
    <col min="14139" max="14139" width="4.18181818181818" style="33" customWidth="1"/>
    <col min="14140" max="14140" width="4.72727272727273" style="33" customWidth="1"/>
    <col min="14141" max="14141" width="6" style="33" customWidth="1"/>
    <col min="14142" max="14330" width="9" style="33"/>
    <col min="14331" max="14331" width="2.90909090909091" style="33" customWidth="1"/>
    <col min="14332" max="14332" width="4.36363636363636" style="33" customWidth="1"/>
    <col min="14333" max="14333" width="9.72727272727273" style="33" customWidth="1"/>
    <col min="14334" max="14334" width="3.72727272727273" style="33" customWidth="1"/>
    <col min="14335" max="14335" width="19.0909090909091" style="33" customWidth="1"/>
    <col min="14336" max="14336" width="5" style="33" customWidth="1"/>
    <col min="14337" max="14337" width="4.72727272727273" style="33" customWidth="1"/>
    <col min="14338" max="14338" width="4.90909090909091" style="33" customWidth="1"/>
    <col min="14339" max="14340" width="3.63636363636364" style="33" customWidth="1"/>
    <col min="14341" max="14341" width="4.09090909090909" style="33" customWidth="1"/>
    <col min="14342" max="14342" width="3.63636363636364" style="33" customWidth="1"/>
    <col min="14343" max="14343" width="5" style="33" customWidth="1"/>
    <col min="14344" max="14377" width="3.63636363636364" style="33" customWidth="1"/>
    <col min="14378" max="14394" width="3.36363636363636" style="33" customWidth="1"/>
    <col min="14395" max="14395" width="4.18181818181818" style="33" customWidth="1"/>
    <col min="14396" max="14396" width="4.72727272727273" style="33" customWidth="1"/>
    <col min="14397" max="14397" width="6" style="33" customWidth="1"/>
    <col min="14398" max="14586" width="9" style="33"/>
    <col min="14587" max="14587" width="2.90909090909091" style="33" customWidth="1"/>
    <col min="14588" max="14588" width="4.36363636363636" style="33" customWidth="1"/>
    <col min="14589" max="14589" width="9.72727272727273" style="33" customWidth="1"/>
    <col min="14590" max="14590" width="3.72727272727273" style="33" customWidth="1"/>
    <col min="14591" max="14591" width="19.0909090909091" style="33" customWidth="1"/>
    <col min="14592" max="14592" width="5" style="33" customWidth="1"/>
    <col min="14593" max="14593" width="4.72727272727273" style="33" customWidth="1"/>
    <col min="14594" max="14594" width="4.90909090909091" style="33" customWidth="1"/>
    <col min="14595" max="14596" width="3.63636363636364" style="33" customWidth="1"/>
    <col min="14597" max="14597" width="4.09090909090909" style="33" customWidth="1"/>
    <col min="14598" max="14598" width="3.63636363636364" style="33" customWidth="1"/>
    <col min="14599" max="14599" width="5" style="33" customWidth="1"/>
    <col min="14600" max="14633" width="3.63636363636364" style="33" customWidth="1"/>
    <col min="14634" max="14650" width="3.36363636363636" style="33" customWidth="1"/>
    <col min="14651" max="14651" width="4.18181818181818" style="33" customWidth="1"/>
    <col min="14652" max="14652" width="4.72727272727273" style="33" customWidth="1"/>
    <col min="14653" max="14653" width="6" style="33" customWidth="1"/>
    <col min="14654" max="14842" width="9" style="33"/>
    <col min="14843" max="14843" width="2.90909090909091" style="33" customWidth="1"/>
    <col min="14844" max="14844" width="4.36363636363636" style="33" customWidth="1"/>
    <col min="14845" max="14845" width="9.72727272727273" style="33" customWidth="1"/>
    <col min="14846" max="14846" width="3.72727272727273" style="33" customWidth="1"/>
    <col min="14847" max="14847" width="19.0909090909091" style="33" customWidth="1"/>
    <col min="14848" max="14848" width="5" style="33" customWidth="1"/>
    <col min="14849" max="14849" width="4.72727272727273" style="33" customWidth="1"/>
    <col min="14850" max="14850" width="4.90909090909091" style="33" customWidth="1"/>
    <col min="14851" max="14852" width="3.63636363636364" style="33" customWidth="1"/>
    <col min="14853" max="14853" width="4.09090909090909" style="33" customWidth="1"/>
    <col min="14854" max="14854" width="3.63636363636364" style="33" customWidth="1"/>
    <col min="14855" max="14855" width="5" style="33" customWidth="1"/>
    <col min="14856" max="14889" width="3.63636363636364" style="33" customWidth="1"/>
    <col min="14890" max="14906" width="3.36363636363636" style="33" customWidth="1"/>
    <col min="14907" max="14907" width="4.18181818181818" style="33" customWidth="1"/>
    <col min="14908" max="14908" width="4.72727272727273" style="33" customWidth="1"/>
    <col min="14909" max="14909" width="6" style="33" customWidth="1"/>
    <col min="14910" max="15098" width="9" style="33"/>
    <col min="15099" max="15099" width="2.90909090909091" style="33" customWidth="1"/>
    <col min="15100" max="15100" width="4.36363636363636" style="33" customWidth="1"/>
    <col min="15101" max="15101" width="9.72727272727273" style="33" customWidth="1"/>
    <col min="15102" max="15102" width="3.72727272727273" style="33" customWidth="1"/>
    <col min="15103" max="15103" width="19.0909090909091" style="33" customWidth="1"/>
    <col min="15104" max="15104" width="5" style="33" customWidth="1"/>
    <col min="15105" max="15105" width="4.72727272727273" style="33" customWidth="1"/>
    <col min="15106" max="15106" width="4.90909090909091" style="33" customWidth="1"/>
    <col min="15107" max="15108" width="3.63636363636364" style="33" customWidth="1"/>
    <col min="15109" max="15109" width="4.09090909090909" style="33" customWidth="1"/>
    <col min="15110" max="15110" width="3.63636363636364" style="33" customWidth="1"/>
    <col min="15111" max="15111" width="5" style="33" customWidth="1"/>
    <col min="15112" max="15145" width="3.63636363636364" style="33" customWidth="1"/>
    <col min="15146" max="15162" width="3.36363636363636" style="33" customWidth="1"/>
    <col min="15163" max="15163" width="4.18181818181818" style="33" customWidth="1"/>
    <col min="15164" max="15164" width="4.72727272727273" style="33" customWidth="1"/>
    <col min="15165" max="15165" width="6" style="33" customWidth="1"/>
    <col min="15166" max="15354" width="9" style="33"/>
    <col min="15355" max="15355" width="2.90909090909091" style="33" customWidth="1"/>
    <col min="15356" max="15356" width="4.36363636363636" style="33" customWidth="1"/>
    <col min="15357" max="15357" width="9.72727272727273" style="33" customWidth="1"/>
    <col min="15358" max="15358" width="3.72727272727273" style="33" customWidth="1"/>
    <col min="15359" max="15359" width="19.0909090909091" style="33" customWidth="1"/>
    <col min="15360" max="15360" width="5" style="33" customWidth="1"/>
    <col min="15361" max="15361" width="4.72727272727273" style="33" customWidth="1"/>
    <col min="15362" max="15362" width="4.90909090909091" style="33" customWidth="1"/>
    <col min="15363" max="15364" width="3.63636363636364" style="33" customWidth="1"/>
    <col min="15365" max="15365" width="4.09090909090909" style="33" customWidth="1"/>
    <col min="15366" max="15366" width="3.63636363636364" style="33" customWidth="1"/>
    <col min="15367" max="15367" width="5" style="33" customWidth="1"/>
    <col min="15368" max="15401" width="3.63636363636364" style="33" customWidth="1"/>
    <col min="15402" max="15418" width="3.36363636363636" style="33" customWidth="1"/>
    <col min="15419" max="15419" width="4.18181818181818" style="33" customWidth="1"/>
    <col min="15420" max="15420" width="4.72727272727273" style="33" customWidth="1"/>
    <col min="15421" max="15421" width="6" style="33" customWidth="1"/>
    <col min="15422" max="15610" width="9" style="33"/>
    <col min="15611" max="15611" width="2.90909090909091" style="33" customWidth="1"/>
    <col min="15612" max="15612" width="4.36363636363636" style="33" customWidth="1"/>
    <col min="15613" max="15613" width="9.72727272727273" style="33" customWidth="1"/>
    <col min="15614" max="15614" width="3.72727272727273" style="33" customWidth="1"/>
    <col min="15615" max="15615" width="19.0909090909091" style="33" customWidth="1"/>
    <col min="15616" max="15616" width="5" style="33" customWidth="1"/>
    <col min="15617" max="15617" width="4.72727272727273" style="33" customWidth="1"/>
    <col min="15618" max="15618" width="4.90909090909091" style="33" customWidth="1"/>
    <col min="15619" max="15620" width="3.63636363636364" style="33" customWidth="1"/>
    <col min="15621" max="15621" width="4.09090909090909" style="33" customWidth="1"/>
    <col min="15622" max="15622" width="3.63636363636364" style="33" customWidth="1"/>
    <col min="15623" max="15623" width="5" style="33" customWidth="1"/>
    <col min="15624" max="15657" width="3.63636363636364" style="33" customWidth="1"/>
    <col min="15658" max="15674" width="3.36363636363636" style="33" customWidth="1"/>
    <col min="15675" max="15675" width="4.18181818181818" style="33" customWidth="1"/>
    <col min="15676" max="15676" width="4.72727272727273" style="33" customWidth="1"/>
    <col min="15677" max="15677" width="6" style="33" customWidth="1"/>
    <col min="15678" max="15866" width="9" style="33"/>
    <col min="15867" max="15867" width="2.90909090909091" style="33" customWidth="1"/>
    <col min="15868" max="15868" width="4.36363636363636" style="33" customWidth="1"/>
    <col min="15869" max="15869" width="9.72727272727273" style="33" customWidth="1"/>
    <col min="15870" max="15870" width="3.72727272727273" style="33" customWidth="1"/>
    <col min="15871" max="15871" width="19.0909090909091" style="33" customWidth="1"/>
    <col min="15872" max="15872" width="5" style="33" customWidth="1"/>
    <col min="15873" max="15873" width="4.72727272727273" style="33" customWidth="1"/>
    <col min="15874" max="15874" width="4.90909090909091" style="33" customWidth="1"/>
    <col min="15875" max="15876" width="3.63636363636364" style="33" customWidth="1"/>
    <col min="15877" max="15877" width="4.09090909090909" style="33" customWidth="1"/>
    <col min="15878" max="15878" width="3.63636363636364" style="33" customWidth="1"/>
    <col min="15879" max="15879" width="5" style="33" customWidth="1"/>
    <col min="15880" max="15913" width="3.63636363636364" style="33" customWidth="1"/>
    <col min="15914" max="15930" width="3.36363636363636" style="33" customWidth="1"/>
    <col min="15931" max="15931" width="4.18181818181818" style="33" customWidth="1"/>
    <col min="15932" max="15932" width="4.72727272727273" style="33" customWidth="1"/>
    <col min="15933" max="15933" width="6" style="33" customWidth="1"/>
    <col min="15934" max="16122" width="9" style="33"/>
    <col min="16123" max="16123" width="2.90909090909091" style="33" customWidth="1"/>
    <col min="16124" max="16124" width="4.36363636363636" style="33" customWidth="1"/>
    <col min="16125" max="16125" width="9.72727272727273" style="33" customWidth="1"/>
    <col min="16126" max="16126" width="3.72727272727273" style="33" customWidth="1"/>
    <col min="16127" max="16127" width="19.0909090909091" style="33" customWidth="1"/>
    <col min="16128" max="16128" width="5" style="33" customWidth="1"/>
    <col min="16129" max="16129" width="4.72727272727273" style="33" customWidth="1"/>
    <col min="16130" max="16130" width="4.90909090909091" style="33" customWidth="1"/>
    <col min="16131" max="16132" width="3.63636363636364" style="33" customWidth="1"/>
    <col min="16133" max="16133" width="4.09090909090909" style="33" customWidth="1"/>
    <col min="16134" max="16134" width="3.63636363636364" style="33" customWidth="1"/>
    <col min="16135" max="16135" width="5" style="33" customWidth="1"/>
    <col min="16136" max="16169" width="3.63636363636364" style="33" customWidth="1"/>
    <col min="16170" max="16186" width="3.36363636363636" style="33" customWidth="1"/>
    <col min="16187" max="16187" width="4.18181818181818" style="33" customWidth="1"/>
    <col min="16188" max="16188" width="4.72727272727273" style="33" customWidth="1"/>
    <col min="16189" max="16189" width="6" style="33" customWidth="1"/>
    <col min="16190" max="16377" width="9" style="33"/>
    <col min="16378" max="16384" width="8.90909090909091" style="33" customWidth="1"/>
  </cols>
  <sheetData>
    <row r="1" s="28" customFormat="1" ht="20.15" customHeight="1" spans="1:65">
      <c r="A1" s="34" t="s">
        <v>330</v>
      </c>
      <c r="B1" s="34" t="s">
        <v>331</v>
      </c>
      <c r="C1" s="34" t="s">
        <v>332</v>
      </c>
      <c r="D1" s="35" t="s">
        <v>333</v>
      </c>
      <c r="E1" s="36"/>
      <c r="F1" s="36"/>
      <c r="G1" s="36"/>
      <c r="H1" s="36"/>
      <c r="I1" s="36"/>
      <c r="J1" s="36"/>
      <c r="K1" s="36"/>
      <c r="L1" s="36"/>
      <c r="M1" s="36"/>
      <c r="N1" s="50"/>
      <c r="O1" s="51" t="s">
        <v>334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50"/>
      <c r="AA1" s="51" t="s">
        <v>335</v>
      </c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51" t="s">
        <v>336</v>
      </c>
      <c r="AQ1" s="36"/>
      <c r="AR1" s="36"/>
      <c r="AS1" s="36"/>
      <c r="AT1" s="36"/>
      <c r="AU1" s="50"/>
      <c r="AV1" s="51" t="s">
        <v>337</v>
      </c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50"/>
    </row>
    <row r="2" s="28" customFormat="1" ht="20.15" customHeight="1" spans="1:65">
      <c r="A2" s="37"/>
      <c r="B2" s="37"/>
      <c r="C2" s="37"/>
      <c r="D2" s="38"/>
      <c r="E2" s="34" t="s">
        <v>338</v>
      </c>
      <c r="F2" s="34" t="s">
        <v>339</v>
      </c>
      <c r="G2" s="34" t="s">
        <v>340</v>
      </c>
      <c r="H2" s="34" t="s">
        <v>341</v>
      </c>
      <c r="I2" s="34" t="s">
        <v>342</v>
      </c>
      <c r="J2" s="34" t="s">
        <v>343</v>
      </c>
      <c r="K2" s="34" t="s">
        <v>344</v>
      </c>
      <c r="L2" s="34" t="s">
        <v>345</v>
      </c>
      <c r="M2" s="34" t="s">
        <v>346</v>
      </c>
      <c r="N2" s="34" t="s">
        <v>347</v>
      </c>
      <c r="O2" s="34" t="s">
        <v>348</v>
      </c>
      <c r="P2" s="34" t="s">
        <v>349</v>
      </c>
      <c r="Q2" s="34" t="s">
        <v>350</v>
      </c>
      <c r="R2" s="34" t="s">
        <v>351</v>
      </c>
      <c r="S2" s="34" t="s">
        <v>352</v>
      </c>
      <c r="T2" s="34" t="s">
        <v>353</v>
      </c>
      <c r="U2" s="34" t="s">
        <v>354</v>
      </c>
      <c r="V2" s="34" t="s">
        <v>355</v>
      </c>
      <c r="W2" s="34" t="s">
        <v>356</v>
      </c>
      <c r="X2" s="34" t="s">
        <v>357</v>
      </c>
      <c r="Y2" s="34" t="s">
        <v>358</v>
      </c>
      <c r="Z2" s="34" t="s">
        <v>359</v>
      </c>
      <c r="AA2" s="34" t="s">
        <v>360</v>
      </c>
      <c r="AB2" s="34" t="s">
        <v>361</v>
      </c>
      <c r="AC2" s="34" t="s">
        <v>362</v>
      </c>
      <c r="AD2" s="34" t="s">
        <v>363</v>
      </c>
      <c r="AE2" s="34" t="s">
        <v>364</v>
      </c>
      <c r="AF2" s="34" t="s">
        <v>365</v>
      </c>
      <c r="AG2" s="34" t="s">
        <v>366</v>
      </c>
      <c r="AH2" s="34" t="s">
        <v>367</v>
      </c>
      <c r="AI2" s="34" t="s">
        <v>368</v>
      </c>
      <c r="AJ2" s="34" t="s">
        <v>369</v>
      </c>
      <c r="AK2" s="34" t="s">
        <v>370</v>
      </c>
      <c r="AL2" s="34" t="s">
        <v>371</v>
      </c>
      <c r="AM2" s="51" t="s">
        <v>372</v>
      </c>
      <c r="AN2" s="36"/>
      <c r="AO2" s="50"/>
      <c r="AP2" s="34" t="s">
        <v>373</v>
      </c>
      <c r="AQ2" s="34" t="s">
        <v>374</v>
      </c>
      <c r="AR2" s="34" t="s">
        <v>375</v>
      </c>
      <c r="AS2" s="34" t="s">
        <v>376</v>
      </c>
      <c r="AT2" s="34" t="s">
        <v>377</v>
      </c>
      <c r="AU2" s="34" t="s">
        <v>378</v>
      </c>
      <c r="AV2" s="51" t="s">
        <v>379</v>
      </c>
      <c r="AW2" s="36"/>
      <c r="AX2" s="36"/>
      <c r="AY2" s="36"/>
      <c r="AZ2" s="50"/>
      <c r="BA2" s="51" t="s">
        <v>380</v>
      </c>
      <c r="BB2" s="36"/>
      <c r="BC2" s="50"/>
      <c r="BD2" s="51" t="s">
        <v>381</v>
      </c>
      <c r="BE2" s="36"/>
      <c r="BF2" s="36"/>
      <c r="BG2" s="36"/>
      <c r="BH2" s="50"/>
      <c r="BI2" s="51" t="s">
        <v>382</v>
      </c>
      <c r="BJ2" s="50"/>
      <c r="BK2" s="34" t="s">
        <v>383</v>
      </c>
      <c r="BL2" s="34" t="s">
        <v>384</v>
      </c>
      <c r="BM2" s="34" t="s">
        <v>385</v>
      </c>
    </row>
    <row r="3" s="28" customFormat="1" ht="62.15" customHeight="1" spans="1:65">
      <c r="A3" s="39"/>
      <c r="B3" s="39"/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 t="s">
        <v>386</v>
      </c>
      <c r="AN3" s="39" t="s">
        <v>387</v>
      </c>
      <c r="AO3" s="39" t="s">
        <v>388</v>
      </c>
      <c r="AP3" s="39"/>
      <c r="AQ3" s="39"/>
      <c r="AR3" s="39"/>
      <c r="AS3" s="39"/>
      <c r="AT3" s="39"/>
      <c r="AU3" s="39"/>
      <c r="AV3" s="56" t="s">
        <v>389</v>
      </c>
      <c r="AW3" s="56" t="s">
        <v>390</v>
      </c>
      <c r="AX3" s="56" t="s">
        <v>391</v>
      </c>
      <c r="AY3" s="56" t="s">
        <v>392</v>
      </c>
      <c r="AZ3" s="56" t="s">
        <v>53</v>
      </c>
      <c r="BA3" s="56" t="s">
        <v>391</v>
      </c>
      <c r="BB3" s="56" t="s">
        <v>392</v>
      </c>
      <c r="BC3" s="56" t="s">
        <v>53</v>
      </c>
      <c r="BD3" s="56" t="s">
        <v>389</v>
      </c>
      <c r="BE3" s="56" t="s">
        <v>390</v>
      </c>
      <c r="BF3" s="56" t="s">
        <v>391</v>
      </c>
      <c r="BG3" s="56" t="s">
        <v>392</v>
      </c>
      <c r="BH3" s="56" t="s">
        <v>53</v>
      </c>
      <c r="BI3" s="56" t="s">
        <v>393</v>
      </c>
      <c r="BJ3" s="56" t="s">
        <v>394</v>
      </c>
      <c r="BK3" s="39"/>
      <c r="BL3" s="39"/>
      <c r="BM3" s="39"/>
    </row>
    <row r="4" s="29" customFormat="1" ht="30" customHeight="1" spans="1:65">
      <c r="A4" s="41">
        <v>1</v>
      </c>
      <c r="B4" s="42" t="s">
        <v>395</v>
      </c>
      <c r="C4" s="42" t="s">
        <v>209</v>
      </c>
      <c r="D4" s="41" t="s">
        <v>396</v>
      </c>
      <c r="E4" s="43" t="s">
        <v>397</v>
      </c>
      <c r="F4" s="42" t="s">
        <v>398</v>
      </c>
      <c r="G4" s="42" t="s">
        <v>399</v>
      </c>
      <c r="H4" s="42">
        <v>100</v>
      </c>
      <c r="I4" s="42">
        <v>2017</v>
      </c>
      <c r="J4" s="42">
        <v>2017</v>
      </c>
      <c r="K4" s="42">
        <v>7.81</v>
      </c>
      <c r="L4" s="42">
        <v>2.33</v>
      </c>
      <c r="M4" s="42">
        <v>7.824</v>
      </c>
      <c r="N4" s="42"/>
      <c r="O4" s="52" t="s">
        <v>400</v>
      </c>
      <c r="P4" s="43">
        <v>0</v>
      </c>
      <c r="Q4" s="52">
        <v>1</v>
      </c>
      <c r="R4" s="52" t="s">
        <v>401</v>
      </c>
      <c r="S4" s="52" t="s">
        <v>401</v>
      </c>
      <c r="T4" s="52">
        <v>15</v>
      </c>
      <c r="U4" s="52" t="s">
        <v>402</v>
      </c>
      <c r="V4" s="52" t="s">
        <v>403</v>
      </c>
      <c r="W4" s="52">
        <v>1</v>
      </c>
      <c r="X4" s="52">
        <v>0</v>
      </c>
      <c r="Y4" s="52">
        <v>1</v>
      </c>
      <c r="Z4" s="52">
        <v>1</v>
      </c>
      <c r="AA4" s="52">
        <v>12</v>
      </c>
      <c r="AB4" s="52">
        <v>7</v>
      </c>
      <c r="AC4" s="52">
        <v>0</v>
      </c>
      <c r="AD4" s="52">
        <v>1</v>
      </c>
      <c r="AE4" s="52">
        <v>3</v>
      </c>
      <c r="AF4" s="52">
        <v>1</v>
      </c>
      <c r="AG4" s="52">
        <v>5</v>
      </c>
      <c r="AH4" s="52">
        <v>1</v>
      </c>
      <c r="AI4" s="52">
        <v>10</v>
      </c>
      <c r="AJ4" s="52">
        <v>0</v>
      </c>
      <c r="AK4" s="52">
        <v>0</v>
      </c>
      <c r="AL4" s="52">
        <v>1</v>
      </c>
      <c r="AM4" s="52">
        <v>1</v>
      </c>
      <c r="AN4" s="52">
        <v>0</v>
      </c>
      <c r="AO4" s="52"/>
      <c r="AP4" s="52">
        <v>1</v>
      </c>
      <c r="AQ4" s="52">
        <v>0</v>
      </c>
      <c r="AR4" s="52">
        <v>1</v>
      </c>
      <c r="AS4" s="52">
        <v>0</v>
      </c>
      <c r="AT4" s="52">
        <v>0</v>
      </c>
      <c r="AU4" s="52">
        <v>1</v>
      </c>
      <c r="AV4" s="42">
        <v>3</v>
      </c>
      <c r="AW4" s="42">
        <v>0</v>
      </c>
      <c r="AX4" s="42">
        <v>2</v>
      </c>
      <c r="AY4" s="42">
        <v>1</v>
      </c>
      <c r="AZ4" s="42">
        <f t="shared" ref="AZ4:AZ15" si="0">SUM(AV4:AY4)</f>
        <v>6</v>
      </c>
      <c r="BA4" s="42">
        <v>7</v>
      </c>
      <c r="BB4" s="42">
        <v>2</v>
      </c>
      <c r="BC4" s="42">
        <f t="shared" ref="BC4:BC15" si="1">SUM(BA4:BB4)</f>
        <v>9</v>
      </c>
      <c r="BD4" s="42">
        <v>1</v>
      </c>
      <c r="BE4" s="42">
        <v>1</v>
      </c>
      <c r="BF4" s="42"/>
      <c r="BG4" s="42">
        <v>2</v>
      </c>
      <c r="BH4" s="42">
        <f t="shared" ref="BH4:BH15" si="2">SUM(BD4:BG4)</f>
        <v>4</v>
      </c>
      <c r="BI4" s="42">
        <v>4</v>
      </c>
      <c r="BJ4" s="42">
        <v>3</v>
      </c>
      <c r="BK4" s="42">
        <v>1</v>
      </c>
      <c r="BL4" s="42"/>
      <c r="BM4" s="42">
        <f t="shared" ref="BM4:BM15" si="3">SUM(AZ4,BC4,BH4:BL4)</f>
        <v>27</v>
      </c>
    </row>
    <row r="5" s="29" customFormat="1" ht="30" customHeight="1" spans="1:65">
      <c r="A5" s="41">
        <v>2</v>
      </c>
      <c r="B5" s="42" t="s">
        <v>404</v>
      </c>
      <c r="C5" s="42" t="s">
        <v>405</v>
      </c>
      <c r="D5" s="41" t="s">
        <v>396</v>
      </c>
      <c r="E5" s="43" t="s">
        <v>406</v>
      </c>
      <c r="F5" s="42" t="s">
        <v>38</v>
      </c>
      <c r="G5" s="42" t="s">
        <v>399</v>
      </c>
      <c r="H5" s="42">
        <v>158</v>
      </c>
      <c r="I5" s="42">
        <v>2003</v>
      </c>
      <c r="J5" s="42">
        <v>2018</v>
      </c>
      <c r="K5" s="42">
        <v>7.138</v>
      </c>
      <c r="L5" s="42">
        <v>6.738</v>
      </c>
      <c r="M5" s="42">
        <v>8.567</v>
      </c>
      <c r="N5" s="42"/>
      <c r="O5" s="52" t="s">
        <v>400</v>
      </c>
      <c r="P5" s="43">
        <v>0</v>
      </c>
      <c r="Q5" s="52">
        <v>2</v>
      </c>
      <c r="R5" s="52" t="s">
        <v>401</v>
      </c>
      <c r="S5" s="52" t="s">
        <v>401</v>
      </c>
      <c r="T5" s="52">
        <v>51</v>
      </c>
      <c r="U5" s="52" t="s">
        <v>402</v>
      </c>
      <c r="V5" s="52" t="s">
        <v>403</v>
      </c>
      <c r="W5" s="52">
        <v>1</v>
      </c>
      <c r="X5" s="52">
        <v>0</v>
      </c>
      <c r="Y5" s="52">
        <v>1</v>
      </c>
      <c r="Z5" s="52">
        <v>1</v>
      </c>
      <c r="AA5" s="52">
        <v>0</v>
      </c>
      <c r="AB5" s="52">
        <v>0</v>
      </c>
      <c r="AC5" s="52">
        <v>2</v>
      </c>
      <c r="AD5" s="52">
        <v>0</v>
      </c>
      <c r="AE5" s="52">
        <v>0</v>
      </c>
      <c r="AF5" s="52">
        <v>1</v>
      </c>
      <c r="AG5" s="52">
        <v>0</v>
      </c>
      <c r="AH5" s="52">
        <v>1</v>
      </c>
      <c r="AI5" s="52">
        <v>0</v>
      </c>
      <c r="AJ5" s="52">
        <v>0</v>
      </c>
      <c r="AK5" s="52">
        <v>0</v>
      </c>
      <c r="AL5" s="52">
        <v>0</v>
      </c>
      <c r="AM5" s="52">
        <v>0</v>
      </c>
      <c r="AN5" s="52">
        <v>0</v>
      </c>
      <c r="AO5" s="52"/>
      <c r="AP5" s="52">
        <v>1</v>
      </c>
      <c r="AQ5" s="52">
        <v>1</v>
      </c>
      <c r="AR5" s="52">
        <v>1</v>
      </c>
      <c r="AS5" s="52">
        <v>1</v>
      </c>
      <c r="AT5" s="52">
        <v>0</v>
      </c>
      <c r="AU5" s="52">
        <v>1</v>
      </c>
      <c r="AV5" s="42">
        <v>2</v>
      </c>
      <c r="AW5" s="42">
        <v>1</v>
      </c>
      <c r="AX5" s="42">
        <v>3</v>
      </c>
      <c r="AY5" s="42">
        <v>0</v>
      </c>
      <c r="AZ5" s="42">
        <f t="shared" si="0"/>
        <v>6</v>
      </c>
      <c r="BA5" s="42">
        <v>6</v>
      </c>
      <c r="BB5" s="42">
        <v>2</v>
      </c>
      <c r="BC5" s="42">
        <f t="shared" si="1"/>
        <v>8</v>
      </c>
      <c r="BD5" s="42"/>
      <c r="BE5" s="42"/>
      <c r="BF5" s="42"/>
      <c r="BG5" s="42">
        <v>2</v>
      </c>
      <c r="BH5" s="42">
        <f t="shared" si="2"/>
        <v>2</v>
      </c>
      <c r="BI5" s="42">
        <v>5</v>
      </c>
      <c r="BJ5" s="42">
        <v>3</v>
      </c>
      <c r="BK5" s="42">
        <v>3</v>
      </c>
      <c r="BL5" s="42"/>
      <c r="BM5" s="42">
        <f t="shared" si="3"/>
        <v>27</v>
      </c>
    </row>
    <row r="6" s="28" customFormat="1" ht="30" customHeight="1" spans="1:65">
      <c r="A6" s="39" t="s">
        <v>53</v>
      </c>
      <c r="B6" s="39"/>
      <c r="C6" s="39">
        <f>A5</f>
        <v>2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>
        <f t="shared" ref="W6:BM6" si="4">SUM(W4:W5)</f>
        <v>2</v>
      </c>
      <c r="X6" s="39">
        <f t="shared" si="4"/>
        <v>0</v>
      </c>
      <c r="Y6" s="39">
        <f t="shared" si="4"/>
        <v>2</v>
      </c>
      <c r="Z6" s="39">
        <f t="shared" si="4"/>
        <v>2</v>
      </c>
      <c r="AA6" s="39">
        <f t="shared" si="4"/>
        <v>12</v>
      </c>
      <c r="AB6" s="39">
        <f t="shared" si="4"/>
        <v>7</v>
      </c>
      <c r="AC6" s="39">
        <f t="shared" si="4"/>
        <v>2</v>
      </c>
      <c r="AD6" s="39">
        <f t="shared" si="4"/>
        <v>1</v>
      </c>
      <c r="AE6" s="39">
        <f t="shared" si="4"/>
        <v>3</v>
      </c>
      <c r="AF6" s="39">
        <f t="shared" si="4"/>
        <v>2</v>
      </c>
      <c r="AG6" s="39">
        <f t="shared" si="4"/>
        <v>5</v>
      </c>
      <c r="AH6" s="39">
        <f t="shared" si="4"/>
        <v>2</v>
      </c>
      <c r="AI6" s="39">
        <f t="shared" si="4"/>
        <v>10</v>
      </c>
      <c r="AJ6" s="39">
        <f t="shared" si="4"/>
        <v>0</v>
      </c>
      <c r="AK6" s="39">
        <f t="shared" si="4"/>
        <v>0</v>
      </c>
      <c r="AL6" s="39">
        <f t="shared" si="4"/>
        <v>1</v>
      </c>
      <c r="AM6" s="39">
        <f t="shared" si="4"/>
        <v>1</v>
      </c>
      <c r="AN6" s="39">
        <f t="shared" si="4"/>
        <v>0</v>
      </c>
      <c r="AO6" s="39">
        <f t="shared" si="4"/>
        <v>0</v>
      </c>
      <c r="AP6" s="39">
        <f t="shared" si="4"/>
        <v>2</v>
      </c>
      <c r="AQ6" s="39">
        <f t="shared" si="4"/>
        <v>1</v>
      </c>
      <c r="AR6" s="39">
        <f t="shared" si="4"/>
        <v>2</v>
      </c>
      <c r="AS6" s="39">
        <f t="shared" si="4"/>
        <v>1</v>
      </c>
      <c r="AT6" s="39">
        <f t="shared" si="4"/>
        <v>0</v>
      </c>
      <c r="AU6" s="39">
        <f t="shared" si="4"/>
        <v>2</v>
      </c>
      <c r="AV6" s="39">
        <f t="shared" si="4"/>
        <v>5</v>
      </c>
      <c r="AW6" s="39">
        <f t="shared" si="4"/>
        <v>1</v>
      </c>
      <c r="AX6" s="39">
        <f t="shared" si="4"/>
        <v>5</v>
      </c>
      <c r="AY6" s="39">
        <f t="shared" si="4"/>
        <v>1</v>
      </c>
      <c r="AZ6" s="39">
        <f t="shared" si="4"/>
        <v>12</v>
      </c>
      <c r="BA6" s="39">
        <f t="shared" si="4"/>
        <v>13</v>
      </c>
      <c r="BB6" s="39">
        <f t="shared" si="4"/>
        <v>4</v>
      </c>
      <c r="BC6" s="39">
        <f t="shared" si="4"/>
        <v>17</v>
      </c>
      <c r="BD6" s="39">
        <f t="shared" si="4"/>
        <v>1</v>
      </c>
      <c r="BE6" s="39">
        <f t="shared" si="4"/>
        <v>1</v>
      </c>
      <c r="BF6" s="39">
        <f t="shared" si="4"/>
        <v>0</v>
      </c>
      <c r="BG6" s="39">
        <f t="shared" si="4"/>
        <v>4</v>
      </c>
      <c r="BH6" s="39">
        <f t="shared" si="4"/>
        <v>6</v>
      </c>
      <c r="BI6" s="39">
        <f t="shared" si="4"/>
        <v>9</v>
      </c>
      <c r="BJ6" s="39">
        <f t="shared" si="4"/>
        <v>6</v>
      </c>
      <c r="BK6" s="39">
        <f t="shared" si="4"/>
        <v>4</v>
      </c>
      <c r="BL6" s="39">
        <f t="shared" si="4"/>
        <v>0</v>
      </c>
      <c r="BM6" s="39">
        <f t="shared" si="4"/>
        <v>54</v>
      </c>
    </row>
    <row r="7" s="29" customFormat="1" ht="30" customHeight="1" spans="1:65">
      <c r="A7" s="41">
        <v>1</v>
      </c>
      <c r="B7" s="42" t="s">
        <v>407</v>
      </c>
      <c r="C7" s="42" t="s">
        <v>408</v>
      </c>
      <c r="D7" s="41" t="s">
        <v>409</v>
      </c>
      <c r="E7" s="43" t="s">
        <v>410</v>
      </c>
      <c r="F7" s="42" t="s">
        <v>411</v>
      </c>
      <c r="G7" s="42" t="s">
        <v>399</v>
      </c>
      <c r="H7" s="42">
        <v>110.57</v>
      </c>
      <c r="I7" s="42">
        <v>2003</v>
      </c>
      <c r="J7" s="42">
        <v>2017</v>
      </c>
      <c r="K7" s="42">
        <v>9.76</v>
      </c>
      <c r="L7" s="42"/>
      <c r="M7" s="42">
        <v>8</v>
      </c>
      <c r="N7" s="42"/>
      <c r="O7" s="52" t="s">
        <v>400</v>
      </c>
      <c r="P7" s="43">
        <v>0</v>
      </c>
      <c r="Q7" s="52">
        <v>1</v>
      </c>
      <c r="R7" s="52" t="s">
        <v>401</v>
      </c>
      <c r="S7" s="52" t="s">
        <v>401</v>
      </c>
      <c r="T7" s="52" t="s">
        <v>412</v>
      </c>
      <c r="U7" s="52" t="s">
        <v>402</v>
      </c>
      <c r="V7" s="52" t="s">
        <v>403</v>
      </c>
      <c r="W7" s="52">
        <v>1</v>
      </c>
      <c r="X7" s="52">
        <v>0</v>
      </c>
      <c r="Y7" s="52">
        <v>1</v>
      </c>
      <c r="Z7" s="52">
        <v>1</v>
      </c>
      <c r="AA7" s="52">
        <v>14</v>
      </c>
      <c r="AB7" s="52">
        <v>3</v>
      </c>
      <c r="AC7" s="52">
        <v>0</v>
      </c>
      <c r="AD7" s="52">
        <v>2</v>
      </c>
      <c r="AE7" s="52">
        <v>2</v>
      </c>
      <c r="AF7" s="52">
        <v>0</v>
      </c>
      <c r="AG7" s="52">
        <v>3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/>
      <c r="AP7" s="52">
        <v>1</v>
      </c>
      <c r="AQ7" s="52">
        <v>0</v>
      </c>
      <c r="AR7" s="52">
        <v>1</v>
      </c>
      <c r="AS7" s="52">
        <v>0</v>
      </c>
      <c r="AT7" s="52">
        <v>0</v>
      </c>
      <c r="AU7" s="52">
        <v>1</v>
      </c>
      <c r="AV7" s="42">
        <v>5</v>
      </c>
      <c r="AW7" s="42"/>
      <c r="AX7" s="42">
        <v>6</v>
      </c>
      <c r="AY7" s="42">
        <v>1</v>
      </c>
      <c r="AZ7" s="42">
        <f t="shared" si="0"/>
        <v>12</v>
      </c>
      <c r="BA7" s="42">
        <v>6</v>
      </c>
      <c r="BB7" s="42">
        <v>1</v>
      </c>
      <c r="BC7" s="42">
        <f t="shared" si="1"/>
        <v>7</v>
      </c>
      <c r="BD7" s="42"/>
      <c r="BE7" s="42"/>
      <c r="BF7" s="42"/>
      <c r="BG7" s="42">
        <v>2</v>
      </c>
      <c r="BH7" s="42">
        <f t="shared" si="2"/>
        <v>2</v>
      </c>
      <c r="BI7" s="42">
        <v>5</v>
      </c>
      <c r="BJ7" s="42">
        <v>1</v>
      </c>
      <c r="BK7" s="42">
        <v>2</v>
      </c>
      <c r="BL7" s="42"/>
      <c r="BM7" s="42">
        <f t="shared" si="3"/>
        <v>29</v>
      </c>
    </row>
    <row r="8" s="29" customFormat="1" ht="30" customHeight="1" spans="1:65">
      <c r="A8" s="41">
        <v>2</v>
      </c>
      <c r="B8" s="42" t="s">
        <v>413</v>
      </c>
      <c r="C8" s="42" t="s">
        <v>414</v>
      </c>
      <c r="D8" s="41" t="s">
        <v>409</v>
      </c>
      <c r="E8" s="43" t="s">
        <v>415</v>
      </c>
      <c r="F8" s="42" t="s">
        <v>416</v>
      </c>
      <c r="G8" s="42" t="s">
        <v>417</v>
      </c>
      <c r="H8" s="42">
        <v>84.78</v>
      </c>
      <c r="I8" s="42">
        <v>1986</v>
      </c>
      <c r="J8" s="42">
        <v>2017</v>
      </c>
      <c r="K8" s="42">
        <v>6.396</v>
      </c>
      <c r="L8" s="42"/>
      <c r="M8" s="42">
        <v>6.1</v>
      </c>
      <c r="N8" s="42"/>
      <c r="O8" s="52" t="s">
        <v>400</v>
      </c>
      <c r="P8" s="52">
        <v>8.69</v>
      </c>
      <c r="Q8" s="52">
        <v>1</v>
      </c>
      <c r="R8" s="52" t="s">
        <v>401</v>
      </c>
      <c r="S8" s="52" t="s">
        <v>401</v>
      </c>
      <c r="T8" s="52">
        <v>29</v>
      </c>
      <c r="U8" s="52" t="s">
        <v>402</v>
      </c>
      <c r="V8" s="52" t="s">
        <v>403</v>
      </c>
      <c r="W8" s="52">
        <v>1</v>
      </c>
      <c r="X8" s="52">
        <v>0</v>
      </c>
      <c r="Y8" s="52">
        <v>1</v>
      </c>
      <c r="Z8" s="52">
        <v>1</v>
      </c>
      <c r="AA8" s="52">
        <v>12</v>
      </c>
      <c r="AB8" s="52">
        <v>3</v>
      </c>
      <c r="AC8" s="52">
        <v>1</v>
      </c>
      <c r="AD8" s="52">
        <v>4</v>
      </c>
      <c r="AE8" s="52">
        <v>3</v>
      </c>
      <c r="AF8" s="52">
        <v>0</v>
      </c>
      <c r="AG8" s="52">
        <v>3</v>
      </c>
      <c r="AH8" s="52">
        <v>0</v>
      </c>
      <c r="AI8" s="52">
        <v>0</v>
      </c>
      <c r="AJ8" s="52">
        <v>0</v>
      </c>
      <c r="AK8" s="52">
        <v>0</v>
      </c>
      <c r="AL8" s="52">
        <v>0</v>
      </c>
      <c r="AM8" s="52">
        <v>0</v>
      </c>
      <c r="AN8" s="52">
        <v>0</v>
      </c>
      <c r="AO8" s="52"/>
      <c r="AP8" s="52">
        <v>1</v>
      </c>
      <c r="AQ8" s="52">
        <v>0</v>
      </c>
      <c r="AR8" s="52">
        <v>0</v>
      </c>
      <c r="AS8" s="52">
        <v>0</v>
      </c>
      <c r="AT8" s="52">
        <v>0</v>
      </c>
      <c r="AU8" s="52">
        <v>0</v>
      </c>
      <c r="AV8" s="42">
        <v>4</v>
      </c>
      <c r="AW8" s="42"/>
      <c r="AX8" s="42">
        <v>5</v>
      </c>
      <c r="AY8" s="42">
        <v>1</v>
      </c>
      <c r="AZ8" s="42">
        <f t="shared" si="0"/>
        <v>10</v>
      </c>
      <c r="BA8" s="42">
        <v>5</v>
      </c>
      <c r="BB8" s="42">
        <v>1</v>
      </c>
      <c r="BC8" s="42">
        <f t="shared" si="1"/>
        <v>6</v>
      </c>
      <c r="BD8" s="42"/>
      <c r="BE8" s="42"/>
      <c r="BF8" s="42"/>
      <c r="BG8" s="42">
        <v>2</v>
      </c>
      <c r="BH8" s="42">
        <f t="shared" si="2"/>
        <v>2</v>
      </c>
      <c r="BI8" s="42">
        <v>3</v>
      </c>
      <c r="BJ8" s="42">
        <v>1</v>
      </c>
      <c r="BK8" s="42">
        <v>2</v>
      </c>
      <c r="BL8" s="42"/>
      <c r="BM8" s="42">
        <f t="shared" si="3"/>
        <v>24</v>
      </c>
    </row>
    <row r="9" s="29" customFormat="1" ht="30" customHeight="1" spans="1:65">
      <c r="A9" s="41">
        <v>3</v>
      </c>
      <c r="B9" s="42" t="s">
        <v>418</v>
      </c>
      <c r="C9" s="42" t="s">
        <v>419</v>
      </c>
      <c r="D9" s="41" t="s">
        <v>409</v>
      </c>
      <c r="E9" s="43" t="s">
        <v>420</v>
      </c>
      <c r="F9" s="42" t="s">
        <v>18</v>
      </c>
      <c r="G9" s="42" t="s">
        <v>399</v>
      </c>
      <c r="H9" s="42">
        <v>90.56</v>
      </c>
      <c r="I9" s="42">
        <v>2003</v>
      </c>
      <c r="J9" s="42">
        <v>2018</v>
      </c>
      <c r="K9" s="42">
        <v>6.724</v>
      </c>
      <c r="L9" s="42"/>
      <c r="M9" s="42">
        <v>7.934</v>
      </c>
      <c r="N9" s="42"/>
      <c r="O9" s="52" t="s">
        <v>400</v>
      </c>
      <c r="P9" s="43">
        <v>0</v>
      </c>
      <c r="Q9" s="52">
        <v>1</v>
      </c>
      <c r="R9" s="52" t="s">
        <v>401</v>
      </c>
      <c r="S9" s="52" t="s">
        <v>401</v>
      </c>
      <c r="T9" s="52">
        <v>29</v>
      </c>
      <c r="U9" s="52" t="s">
        <v>421</v>
      </c>
      <c r="V9" s="52"/>
      <c r="W9" s="52">
        <v>1</v>
      </c>
      <c r="X9" s="52">
        <v>0</v>
      </c>
      <c r="Y9" s="52">
        <v>1</v>
      </c>
      <c r="Z9" s="52">
        <v>1</v>
      </c>
      <c r="AA9" s="52">
        <v>0</v>
      </c>
      <c r="AB9" s="52">
        <v>0</v>
      </c>
      <c r="AC9" s="52">
        <v>2</v>
      </c>
      <c r="AD9" s="52">
        <v>0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/>
      <c r="AP9" s="52">
        <v>1</v>
      </c>
      <c r="AQ9" s="52">
        <v>0</v>
      </c>
      <c r="AR9" s="52">
        <v>0</v>
      </c>
      <c r="AS9" s="52">
        <v>0</v>
      </c>
      <c r="AT9" s="52">
        <v>0</v>
      </c>
      <c r="AU9" s="52">
        <v>1</v>
      </c>
      <c r="AV9" s="42">
        <v>4</v>
      </c>
      <c r="AW9" s="42"/>
      <c r="AX9" s="42">
        <v>4</v>
      </c>
      <c r="AY9" s="42">
        <v>1</v>
      </c>
      <c r="AZ9" s="42">
        <f t="shared" si="0"/>
        <v>9</v>
      </c>
      <c r="BA9" s="42">
        <v>6</v>
      </c>
      <c r="BB9" s="42">
        <v>1</v>
      </c>
      <c r="BC9" s="42">
        <f t="shared" si="1"/>
        <v>7</v>
      </c>
      <c r="BD9" s="42"/>
      <c r="BE9" s="42"/>
      <c r="BF9" s="42"/>
      <c r="BG9" s="42">
        <v>2</v>
      </c>
      <c r="BH9" s="42">
        <f t="shared" si="2"/>
        <v>2</v>
      </c>
      <c r="BI9" s="42">
        <v>4</v>
      </c>
      <c r="BJ9" s="42">
        <v>3</v>
      </c>
      <c r="BK9" s="42">
        <v>2</v>
      </c>
      <c r="BL9" s="42"/>
      <c r="BM9" s="42">
        <f t="shared" si="3"/>
        <v>27</v>
      </c>
    </row>
    <row r="10" s="29" customFormat="1" ht="30" customHeight="1" spans="1:65">
      <c r="A10" s="41">
        <v>4</v>
      </c>
      <c r="B10" s="42" t="s">
        <v>422</v>
      </c>
      <c r="C10" s="42" t="s">
        <v>423</v>
      </c>
      <c r="D10" s="41" t="s">
        <v>409</v>
      </c>
      <c r="E10" s="43" t="s">
        <v>424</v>
      </c>
      <c r="F10" s="42" t="s">
        <v>425</v>
      </c>
      <c r="G10" s="42" t="s">
        <v>399</v>
      </c>
      <c r="H10" s="42">
        <v>76.46</v>
      </c>
      <c r="I10" s="42">
        <v>2012</v>
      </c>
      <c r="J10" s="42">
        <v>2018</v>
      </c>
      <c r="K10" s="42">
        <v>6.91</v>
      </c>
      <c r="L10" s="42"/>
      <c r="M10" s="42">
        <v>4.65</v>
      </c>
      <c r="N10" s="42"/>
      <c r="O10" s="52" t="s">
        <v>426</v>
      </c>
      <c r="P10" s="43">
        <v>0</v>
      </c>
      <c r="Q10" s="52">
        <v>1</v>
      </c>
      <c r="R10" s="52" t="s">
        <v>401</v>
      </c>
      <c r="S10" s="52" t="s">
        <v>401</v>
      </c>
      <c r="T10" s="52">
        <v>29</v>
      </c>
      <c r="U10" s="52" t="s">
        <v>402</v>
      </c>
      <c r="V10" s="52" t="s">
        <v>403</v>
      </c>
      <c r="W10" s="52">
        <v>1</v>
      </c>
      <c r="X10" s="52">
        <v>0</v>
      </c>
      <c r="Y10" s="52">
        <v>1</v>
      </c>
      <c r="Z10" s="52">
        <v>1</v>
      </c>
      <c r="AA10" s="52">
        <v>11</v>
      </c>
      <c r="AB10" s="52">
        <v>3</v>
      </c>
      <c r="AC10" s="52">
        <v>1</v>
      </c>
      <c r="AD10" s="52">
        <v>2</v>
      </c>
      <c r="AE10" s="52">
        <v>2</v>
      </c>
      <c r="AF10" s="52">
        <v>0</v>
      </c>
      <c r="AG10" s="52">
        <v>3</v>
      </c>
      <c r="AH10" s="52">
        <v>0</v>
      </c>
      <c r="AI10" s="52">
        <v>0</v>
      </c>
      <c r="AJ10" s="52">
        <v>0</v>
      </c>
      <c r="AK10" s="52">
        <v>11</v>
      </c>
      <c r="AL10" s="52">
        <v>0</v>
      </c>
      <c r="AM10" s="52">
        <v>0</v>
      </c>
      <c r="AN10" s="52">
        <v>0</v>
      </c>
      <c r="AO10" s="52"/>
      <c r="AP10" s="52">
        <v>1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42">
        <v>4</v>
      </c>
      <c r="AW10" s="42"/>
      <c r="AX10" s="42">
        <v>4</v>
      </c>
      <c r="AY10" s="42">
        <v>1</v>
      </c>
      <c r="AZ10" s="42">
        <f t="shared" si="0"/>
        <v>9</v>
      </c>
      <c r="BA10" s="42">
        <v>6</v>
      </c>
      <c r="BB10" s="42">
        <v>1</v>
      </c>
      <c r="BC10" s="42">
        <f t="shared" si="1"/>
        <v>7</v>
      </c>
      <c r="BD10" s="42">
        <v>1</v>
      </c>
      <c r="BE10" s="42"/>
      <c r="BF10" s="42"/>
      <c r="BG10" s="42">
        <v>2</v>
      </c>
      <c r="BH10" s="42">
        <f t="shared" si="2"/>
        <v>3</v>
      </c>
      <c r="BI10" s="42">
        <v>5</v>
      </c>
      <c r="BJ10" s="42">
        <v>1</v>
      </c>
      <c r="BK10" s="42">
        <v>2</v>
      </c>
      <c r="BL10" s="42"/>
      <c r="BM10" s="42">
        <f t="shared" si="3"/>
        <v>27</v>
      </c>
    </row>
    <row r="11" s="29" customFormat="1" ht="30" customHeight="1" spans="1:65">
      <c r="A11" s="41">
        <v>5</v>
      </c>
      <c r="B11" s="42" t="s">
        <v>427</v>
      </c>
      <c r="C11" s="42" t="s">
        <v>428</v>
      </c>
      <c r="D11" s="41" t="s">
        <v>409</v>
      </c>
      <c r="E11" s="43" t="s">
        <v>429</v>
      </c>
      <c r="F11" s="42" t="s">
        <v>411</v>
      </c>
      <c r="G11" s="42" t="s">
        <v>399</v>
      </c>
      <c r="H11" s="42">
        <v>79.77</v>
      </c>
      <c r="I11" s="42">
        <v>1999</v>
      </c>
      <c r="J11" s="42">
        <v>2017</v>
      </c>
      <c r="K11" s="42">
        <v>4.51</v>
      </c>
      <c r="L11" s="42"/>
      <c r="M11" s="42">
        <v>4.572</v>
      </c>
      <c r="N11" s="42"/>
      <c r="O11" s="52" t="s">
        <v>400</v>
      </c>
      <c r="P11" s="43">
        <v>0</v>
      </c>
      <c r="Q11" s="52">
        <v>1</v>
      </c>
      <c r="R11" s="52" t="s">
        <v>401</v>
      </c>
      <c r="S11" s="52" t="s">
        <v>401</v>
      </c>
      <c r="T11" s="52">
        <v>28</v>
      </c>
      <c r="U11" s="52" t="s">
        <v>402</v>
      </c>
      <c r="V11" s="52" t="s">
        <v>403</v>
      </c>
      <c r="W11" s="52">
        <v>1</v>
      </c>
      <c r="X11" s="52">
        <v>1</v>
      </c>
      <c r="Y11" s="52">
        <v>1</v>
      </c>
      <c r="Z11" s="52">
        <v>1</v>
      </c>
      <c r="AA11" s="52">
        <v>0</v>
      </c>
      <c r="AB11" s="52">
        <v>3</v>
      </c>
      <c r="AC11" s="52">
        <v>0</v>
      </c>
      <c r="AD11" s="52">
        <v>2</v>
      </c>
      <c r="AE11" s="52">
        <v>3</v>
      </c>
      <c r="AF11" s="52">
        <v>1</v>
      </c>
      <c r="AG11" s="43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0</v>
      </c>
      <c r="AM11" s="52">
        <v>0</v>
      </c>
      <c r="AN11" s="52">
        <v>0</v>
      </c>
      <c r="AO11" s="52"/>
      <c r="AP11" s="52">
        <v>1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42">
        <v>4</v>
      </c>
      <c r="AW11" s="42"/>
      <c r="AX11" s="42">
        <v>2</v>
      </c>
      <c r="AY11" s="42">
        <v>1</v>
      </c>
      <c r="AZ11" s="42">
        <f t="shared" si="0"/>
        <v>7</v>
      </c>
      <c r="BA11" s="42">
        <v>5</v>
      </c>
      <c r="BB11" s="42">
        <v>2</v>
      </c>
      <c r="BC11" s="42">
        <f t="shared" si="1"/>
        <v>7</v>
      </c>
      <c r="BD11" s="42"/>
      <c r="BE11" s="42"/>
      <c r="BF11" s="42"/>
      <c r="BG11" s="42">
        <v>2</v>
      </c>
      <c r="BH11" s="42">
        <f t="shared" si="2"/>
        <v>2</v>
      </c>
      <c r="BI11" s="42">
        <v>3</v>
      </c>
      <c r="BJ11" s="42">
        <v>1</v>
      </c>
      <c r="BK11" s="42">
        <v>2</v>
      </c>
      <c r="BL11" s="42">
        <v>1</v>
      </c>
      <c r="BM11" s="42">
        <f t="shared" si="3"/>
        <v>23</v>
      </c>
    </row>
    <row r="12" s="29" customFormat="1" ht="30" customHeight="1" spans="1:65">
      <c r="A12" s="41">
        <v>6</v>
      </c>
      <c r="B12" s="42" t="s">
        <v>430</v>
      </c>
      <c r="C12" s="42" t="s">
        <v>431</v>
      </c>
      <c r="D12" s="41" t="s">
        <v>409</v>
      </c>
      <c r="E12" s="43" t="s">
        <v>432</v>
      </c>
      <c r="F12" s="42" t="s">
        <v>411</v>
      </c>
      <c r="G12" s="42" t="s">
        <v>399</v>
      </c>
      <c r="H12" s="42">
        <v>60.06</v>
      </c>
      <c r="I12" s="42">
        <v>2003</v>
      </c>
      <c r="J12" s="42">
        <v>2017</v>
      </c>
      <c r="K12" s="42">
        <v>4.97</v>
      </c>
      <c r="L12" s="42"/>
      <c r="M12" s="42">
        <v>7.65</v>
      </c>
      <c r="N12" s="42"/>
      <c r="O12" s="52" t="s">
        <v>400</v>
      </c>
      <c r="P12" s="43">
        <v>0</v>
      </c>
      <c r="Q12" s="52">
        <v>1</v>
      </c>
      <c r="R12" s="52" t="s">
        <v>401</v>
      </c>
      <c r="S12" s="52" t="s">
        <v>401</v>
      </c>
      <c r="T12" s="52">
        <v>24</v>
      </c>
      <c r="U12" s="52" t="s">
        <v>402</v>
      </c>
      <c r="V12" s="52" t="s">
        <v>403</v>
      </c>
      <c r="W12" s="52">
        <v>1</v>
      </c>
      <c r="X12" s="52">
        <v>1</v>
      </c>
      <c r="Y12" s="52">
        <v>1</v>
      </c>
      <c r="Z12" s="52">
        <v>1</v>
      </c>
      <c r="AA12" s="52">
        <v>0</v>
      </c>
      <c r="AB12" s="52">
        <v>0</v>
      </c>
      <c r="AC12" s="52">
        <v>2</v>
      </c>
      <c r="AD12" s="52">
        <v>0</v>
      </c>
      <c r="AE12" s="52">
        <v>0</v>
      </c>
      <c r="AF12" s="52">
        <v>0</v>
      </c>
      <c r="AG12" s="43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/>
      <c r="AP12" s="52">
        <v>1</v>
      </c>
      <c r="AQ12" s="52">
        <v>0</v>
      </c>
      <c r="AR12" s="52">
        <v>0</v>
      </c>
      <c r="AS12" s="52">
        <v>0</v>
      </c>
      <c r="AT12" s="52">
        <v>0</v>
      </c>
      <c r="AU12" s="52">
        <v>1</v>
      </c>
      <c r="AV12" s="42">
        <v>3</v>
      </c>
      <c r="AW12" s="42"/>
      <c r="AX12" s="42">
        <v>2</v>
      </c>
      <c r="AY12" s="42">
        <v>1</v>
      </c>
      <c r="AZ12" s="42">
        <f t="shared" si="0"/>
        <v>6</v>
      </c>
      <c r="BA12" s="42">
        <v>5</v>
      </c>
      <c r="BB12" s="42">
        <v>1</v>
      </c>
      <c r="BC12" s="42">
        <f t="shared" si="1"/>
        <v>6</v>
      </c>
      <c r="BD12" s="42"/>
      <c r="BE12" s="42"/>
      <c r="BF12" s="42"/>
      <c r="BG12" s="42">
        <v>2</v>
      </c>
      <c r="BH12" s="42">
        <f t="shared" si="2"/>
        <v>2</v>
      </c>
      <c r="BI12" s="42">
        <v>1</v>
      </c>
      <c r="BJ12" s="42">
        <v>1</v>
      </c>
      <c r="BK12" s="42"/>
      <c r="BL12" s="42"/>
      <c r="BM12" s="42">
        <f t="shared" si="3"/>
        <v>16</v>
      </c>
    </row>
    <row r="13" s="29" customFormat="1" ht="30" customHeight="1" spans="1:65">
      <c r="A13" s="41">
        <v>7</v>
      </c>
      <c r="B13" s="42" t="s">
        <v>433</v>
      </c>
      <c r="C13" s="42" t="s">
        <v>91</v>
      </c>
      <c r="D13" s="41" t="s">
        <v>409</v>
      </c>
      <c r="E13" s="43" t="s">
        <v>434</v>
      </c>
      <c r="F13" s="42" t="s">
        <v>411</v>
      </c>
      <c r="G13" s="42" t="s">
        <v>399</v>
      </c>
      <c r="H13" s="42">
        <v>54.5</v>
      </c>
      <c r="I13" s="42">
        <v>2003</v>
      </c>
      <c r="J13" s="42">
        <v>2017</v>
      </c>
      <c r="K13" s="42">
        <v>5.65</v>
      </c>
      <c r="L13" s="42"/>
      <c r="M13" s="42">
        <v>4.71</v>
      </c>
      <c r="N13" s="42"/>
      <c r="O13" s="52" t="s">
        <v>400</v>
      </c>
      <c r="P13" s="43">
        <v>0</v>
      </c>
      <c r="Q13" s="52">
        <v>1</v>
      </c>
      <c r="R13" s="52" t="s">
        <v>401</v>
      </c>
      <c r="S13" s="52" t="s">
        <v>401</v>
      </c>
      <c r="T13" s="52">
        <v>24</v>
      </c>
      <c r="U13" s="52" t="s">
        <v>435</v>
      </c>
      <c r="V13" s="52" t="s">
        <v>403</v>
      </c>
      <c r="W13" s="52">
        <v>1</v>
      </c>
      <c r="X13" s="52">
        <v>0</v>
      </c>
      <c r="Y13" s="52">
        <v>1</v>
      </c>
      <c r="Z13" s="52">
        <v>1</v>
      </c>
      <c r="AA13" s="52">
        <v>0</v>
      </c>
      <c r="AB13" s="52">
        <v>2</v>
      </c>
      <c r="AC13" s="52">
        <v>0</v>
      </c>
      <c r="AD13" s="52">
        <v>2</v>
      </c>
      <c r="AE13" s="52">
        <v>3</v>
      </c>
      <c r="AF13" s="52">
        <v>0</v>
      </c>
      <c r="AG13" s="52">
        <v>0</v>
      </c>
      <c r="AH13" s="52">
        <v>0</v>
      </c>
      <c r="AI13" s="52">
        <v>0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/>
      <c r="AP13" s="52">
        <v>1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42">
        <v>3</v>
      </c>
      <c r="AW13" s="42"/>
      <c r="AX13" s="42">
        <v>1</v>
      </c>
      <c r="AY13" s="42">
        <v>1</v>
      </c>
      <c r="AZ13" s="42">
        <f t="shared" si="0"/>
        <v>5</v>
      </c>
      <c r="BA13" s="42">
        <v>4</v>
      </c>
      <c r="BB13" s="42">
        <v>1</v>
      </c>
      <c r="BC13" s="42">
        <f t="shared" si="1"/>
        <v>5</v>
      </c>
      <c r="BD13" s="42"/>
      <c r="BE13" s="42"/>
      <c r="BF13" s="42"/>
      <c r="BG13" s="42">
        <v>2</v>
      </c>
      <c r="BH13" s="42">
        <f t="shared" si="2"/>
        <v>2</v>
      </c>
      <c r="BI13" s="42">
        <v>3</v>
      </c>
      <c r="BJ13" s="42">
        <v>2</v>
      </c>
      <c r="BK13" s="42">
        <v>2</v>
      </c>
      <c r="BL13" s="42">
        <v>1</v>
      </c>
      <c r="BM13" s="42">
        <f t="shared" si="3"/>
        <v>20</v>
      </c>
    </row>
    <row r="14" s="29" customFormat="1" ht="30" customHeight="1" spans="1:65">
      <c r="A14" s="41">
        <v>8</v>
      </c>
      <c r="B14" s="42" t="s">
        <v>436</v>
      </c>
      <c r="C14" s="42" t="s">
        <v>437</v>
      </c>
      <c r="D14" s="41" t="s">
        <v>409</v>
      </c>
      <c r="E14" s="43" t="s">
        <v>438</v>
      </c>
      <c r="F14" s="42" t="s">
        <v>18</v>
      </c>
      <c r="G14" s="42" t="s">
        <v>399</v>
      </c>
      <c r="H14" s="42">
        <v>50.68</v>
      </c>
      <c r="I14" s="42">
        <v>1989</v>
      </c>
      <c r="J14" s="42">
        <v>2017</v>
      </c>
      <c r="K14" s="42">
        <v>6.817</v>
      </c>
      <c r="L14" s="42"/>
      <c r="M14" s="42">
        <v>5.912</v>
      </c>
      <c r="N14" s="42"/>
      <c r="O14" s="52" t="s">
        <v>400</v>
      </c>
      <c r="P14" s="43">
        <v>0</v>
      </c>
      <c r="Q14" s="52">
        <v>1</v>
      </c>
      <c r="R14" s="52" t="s">
        <v>401</v>
      </c>
      <c r="S14" s="52" t="s">
        <v>401</v>
      </c>
      <c r="T14" s="52">
        <v>23</v>
      </c>
      <c r="U14" s="52" t="s">
        <v>402</v>
      </c>
      <c r="V14" s="52" t="s">
        <v>403</v>
      </c>
      <c r="W14" s="52">
        <v>1</v>
      </c>
      <c r="X14" s="52">
        <v>0</v>
      </c>
      <c r="Y14" s="52">
        <v>1</v>
      </c>
      <c r="Z14" s="52">
        <v>1</v>
      </c>
      <c r="AA14" s="52">
        <v>0</v>
      </c>
      <c r="AB14" s="52">
        <v>0</v>
      </c>
      <c r="AC14" s="52">
        <v>1</v>
      </c>
      <c r="AD14" s="52">
        <v>0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/>
      <c r="AP14" s="52">
        <v>1</v>
      </c>
      <c r="AQ14" s="52">
        <v>0</v>
      </c>
      <c r="AR14" s="52">
        <v>0</v>
      </c>
      <c r="AS14" s="52">
        <v>0</v>
      </c>
      <c r="AT14" s="52">
        <v>0</v>
      </c>
      <c r="AU14" s="52">
        <v>1</v>
      </c>
      <c r="AV14" s="42">
        <v>3</v>
      </c>
      <c r="AW14" s="42"/>
      <c r="AX14" s="42">
        <v>3</v>
      </c>
      <c r="AY14" s="42"/>
      <c r="AZ14" s="42">
        <f t="shared" si="0"/>
        <v>6</v>
      </c>
      <c r="BA14" s="42">
        <v>5</v>
      </c>
      <c r="BB14" s="42">
        <v>1</v>
      </c>
      <c r="BC14" s="42">
        <f t="shared" si="1"/>
        <v>6</v>
      </c>
      <c r="BD14" s="42"/>
      <c r="BE14" s="42"/>
      <c r="BF14" s="42"/>
      <c r="BG14" s="42">
        <v>2</v>
      </c>
      <c r="BH14" s="42">
        <f t="shared" si="2"/>
        <v>2</v>
      </c>
      <c r="BI14" s="42">
        <v>3</v>
      </c>
      <c r="BJ14" s="42">
        <v>3</v>
      </c>
      <c r="BK14" s="42">
        <v>2</v>
      </c>
      <c r="BL14" s="42"/>
      <c r="BM14" s="42">
        <f t="shared" si="3"/>
        <v>22</v>
      </c>
    </row>
    <row r="15" s="29" customFormat="1" ht="30" customHeight="1" spans="1:65">
      <c r="A15" s="41">
        <v>9</v>
      </c>
      <c r="B15" s="42" t="s">
        <v>439</v>
      </c>
      <c r="C15" s="42" t="s">
        <v>440</v>
      </c>
      <c r="D15" s="41" t="s">
        <v>409</v>
      </c>
      <c r="E15" s="43" t="s">
        <v>441</v>
      </c>
      <c r="F15" s="42" t="s">
        <v>411</v>
      </c>
      <c r="G15" s="42" t="s">
        <v>399</v>
      </c>
      <c r="H15" s="42">
        <v>80.48</v>
      </c>
      <c r="I15" s="42">
        <v>1999</v>
      </c>
      <c r="J15" s="42">
        <v>2017</v>
      </c>
      <c r="K15" s="42">
        <v>5.03</v>
      </c>
      <c r="L15" s="42"/>
      <c r="M15" s="42">
        <v>6.34</v>
      </c>
      <c r="N15" s="42"/>
      <c r="O15" s="52" t="s">
        <v>400</v>
      </c>
      <c r="P15" s="52">
        <v>20</v>
      </c>
      <c r="Q15" s="52">
        <v>1</v>
      </c>
      <c r="R15" s="52" t="s">
        <v>401</v>
      </c>
      <c r="S15" s="52" t="s">
        <v>401</v>
      </c>
      <c r="T15" s="52">
        <v>34</v>
      </c>
      <c r="U15" s="52" t="s">
        <v>402</v>
      </c>
      <c r="V15" s="52" t="s">
        <v>403</v>
      </c>
      <c r="W15" s="52">
        <v>1</v>
      </c>
      <c r="X15" s="52">
        <v>0</v>
      </c>
      <c r="Y15" s="52">
        <v>1</v>
      </c>
      <c r="Z15" s="52">
        <v>1</v>
      </c>
      <c r="AA15" s="52">
        <v>0</v>
      </c>
      <c r="AB15" s="52">
        <v>0</v>
      </c>
      <c r="AC15" s="52">
        <v>1</v>
      </c>
      <c r="AD15" s="52">
        <v>2</v>
      </c>
      <c r="AE15" s="52">
        <v>3</v>
      </c>
      <c r="AF15" s="52">
        <v>0</v>
      </c>
      <c r="AG15" s="52">
        <v>3</v>
      </c>
      <c r="AH15" s="52"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/>
      <c r="AP15" s="52">
        <v>1</v>
      </c>
      <c r="AQ15" s="52">
        <v>0</v>
      </c>
      <c r="AR15" s="52">
        <v>1</v>
      </c>
      <c r="AS15" s="52">
        <v>0</v>
      </c>
      <c r="AT15" s="52">
        <v>0</v>
      </c>
      <c r="AU15" s="52">
        <v>1</v>
      </c>
      <c r="AV15" s="42">
        <v>3</v>
      </c>
      <c r="AW15" s="42"/>
      <c r="AX15" s="42">
        <v>2</v>
      </c>
      <c r="AY15" s="42">
        <v>1</v>
      </c>
      <c r="AZ15" s="42">
        <f t="shared" si="0"/>
        <v>6</v>
      </c>
      <c r="BA15" s="42">
        <v>6</v>
      </c>
      <c r="BB15" s="42">
        <v>1</v>
      </c>
      <c r="BC15" s="42">
        <f t="shared" si="1"/>
        <v>7</v>
      </c>
      <c r="BD15" s="42"/>
      <c r="BE15" s="42">
        <v>1</v>
      </c>
      <c r="BF15" s="42"/>
      <c r="BG15" s="42">
        <v>2</v>
      </c>
      <c r="BH15" s="42">
        <f t="shared" si="2"/>
        <v>3</v>
      </c>
      <c r="BI15" s="42">
        <v>3</v>
      </c>
      <c r="BJ15" s="42">
        <v>3</v>
      </c>
      <c r="BK15" s="42">
        <v>1</v>
      </c>
      <c r="BL15" s="42"/>
      <c r="BM15" s="42">
        <f t="shared" si="3"/>
        <v>23</v>
      </c>
    </row>
    <row r="16" s="30" customFormat="1" ht="30" customHeight="1" spans="1:65">
      <c r="A16" s="44" t="s">
        <v>53</v>
      </c>
      <c r="B16" s="45"/>
      <c r="C16" s="45">
        <f>A15</f>
        <v>9</v>
      </c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53"/>
      <c r="P16" s="53"/>
      <c r="Q16" s="53"/>
      <c r="R16" s="53"/>
      <c r="S16" s="53"/>
      <c r="T16" s="53"/>
      <c r="U16" s="53"/>
      <c r="V16" s="53"/>
      <c r="W16" s="53">
        <f t="shared" ref="W16:BM16" si="5">SUM(W7:W15)</f>
        <v>9</v>
      </c>
      <c r="X16" s="53">
        <f t="shared" si="5"/>
        <v>2</v>
      </c>
      <c r="Y16" s="53">
        <f t="shared" si="5"/>
        <v>9</v>
      </c>
      <c r="Z16" s="53">
        <f t="shared" si="5"/>
        <v>9</v>
      </c>
      <c r="AA16" s="53">
        <f t="shared" si="5"/>
        <v>37</v>
      </c>
      <c r="AB16" s="53">
        <f t="shared" si="5"/>
        <v>14</v>
      </c>
      <c r="AC16" s="53">
        <f t="shared" si="5"/>
        <v>8</v>
      </c>
      <c r="AD16" s="53">
        <f t="shared" si="5"/>
        <v>14</v>
      </c>
      <c r="AE16" s="53">
        <f t="shared" si="5"/>
        <v>16</v>
      </c>
      <c r="AF16" s="53">
        <f t="shared" si="5"/>
        <v>1</v>
      </c>
      <c r="AG16" s="53">
        <f t="shared" si="5"/>
        <v>12</v>
      </c>
      <c r="AH16" s="53">
        <f t="shared" si="5"/>
        <v>0</v>
      </c>
      <c r="AI16" s="53">
        <f t="shared" si="5"/>
        <v>0</v>
      </c>
      <c r="AJ16" s="53">
        <f t="shared" si="5"/>
        <v>0</v>
      </c>
      <c r="AK16" s="53">
        <f t="shared" si="5"/>
        <v>11</v>
      </c>
      <c r="AL16" s="53">
        <f t="shared" si="5"/>
        <v>0</v>
      </c>
      <c r="AM16" s="53">
        <f t="shared" si="5"/>
        <v>0</v>
      </c>
      <c r="AN16" s="53">
        <f t="shared" si="5"/>
        <v>0</v>
      </c>
      <c r="AO16" s="53">
        <f t="shared" si="5"/>
        <v>0</v>
      </c>
      <c r="AP16" s="53">
        <f t="shared" si="5"/>
        <v>9</v>
      </c>
      <c r="AQ16" s="53">
        <f t="shared" si="5"/>
        <v>0</v>
      </c>
      <c r="AR16" s="53">
        <f t="shared" si="5"/>
        <v>2</v>
      </c>
      <c r="AS16" s="53">
        <f t="shared" si="5"/>
        <v>0</v>
      </c>
      <c r="AT16" s="53">
        <f t="shared" si="5"/>
        <v>0</v>
      </c>
      <c r="AU16" s="53">
        <f t="shared" si="5"/>
        <v>5</v>
      </c>
      <c r="AV16" s="53">
        <f t="shared" si="5"/>
        <v>33</v>
      </c>
      <c r="AW16" s="53">
        <f t="shared" si="5"/>
        <v>0</v>
      </c>
      <c r="AX16" s="53">
        <f t="shared" si="5"/>
        <v>29</v>
      </c>
      <c r="AY16" s="53">
        <f t="shared" si="5"/>
        <v>8</v>
      </c>
      <c r="AZ16" s="53">
        <f t="shared" si="5"/>
        <v>70</v>
      </c>
      <c r="BA16" s="53">
        <f t="shared" si="5"/>
        <v>48</v>
      </c>
      <c r="BB16" s="53">
        <f t="shared" si="5"/>
        <v>10</v>
      </c>
      <c r="BC16" s="53">
        <f t="shared" si="5"/>
        <v>58</v>
      </c>
      <c r="BD16" s="53">
        <f t="shared" si="5"/>
        <v>1</v>
      </c>
      <c r="BE16" s="53">
        <f t="shared" si="5"/>
        <v>1</v>
      </c>
      <c r="BF16" s="53">
        <f t="shared" si="5"/>
        <v>0</v>
      </c>
      <c r="BG16" s="53">
        <f t="shared" si="5"/>
        <v>18</v>
      </c>
      <c r="BH16" s="53">
        <f t="shared" si="5"/>
        <v>20</v>
      </c>
      <c r="BI16" s="53">
        <f t="shared" si="5"/>
        <v>30</v>
      </c>
      <c r="BJ16" s="53">
        <f t="shared" si="5"/>
        <v>16</v>
      </c>
      <c r="BK16" s="53">
        <f t="shared" si="5"/>
        <v>15</v>
      </c>
      <c r="BL16" s="53">
        <f t="shared" si="5"/>
        <v>2</v>
      </c>
      <c r="BM16" s="53">
        <f t="shared" si="5"/>
        <v>211</v>
      </c>
    </row>
    <row r="17" s="29" customFormat="1" ht="30" customHeight="1" spans="1:65">
      <c r="A17" s="41">
        <v>1</v>
      </c>
      <c r="B17" s="42" t="s">
        <v>442</v>
      </c>
      <c r="C17" s="42" t="s">
        <v>443</v>
      </c>
      <c r="D17" s="41" t="s">
        <v>444</v>
      </c>
      <c r="E17" s="43" t="s">
        <v>445</v>
      </c>
      <c r="F17" s="42" t="s">
        <v>425</v>
      </c>
      <c r="G17" s="42" t="s">
        <v>399</v>
      </c>
      <c r="H17" s="42">
        <v>44.88</v>
      </c>
      <c r="I17" s="42">
        <v>1991</v>
      </c>
      <c r="J17" s="42">
        <v>2017</v>
      </c>
      <c r="K17" s="42">
        <v>7.65</v>
      </c>
      <c r="L17" s="42"/>
      <c r="M17" s="42"/>
      <c r="N17" s="42">
        <v>3.43</v>
      </c>
      <c r="O17" s="52" t="s">
        <v>400</v>
      </c>
      <c r="P17" s="52">
        <v>19</v>
      </c>
      <c r="Q17" s="52">
        <v>1</v>
      </c>
      <c r="R17" s="52" t="s">
        <v>401</v>
      </c>
      <c r="S17" s="52" t="s">
        <v>401</v>
      </c>
      <c r="T17" s="52">
        <v>13</v>
      </c>
      <c r="U17" s="52" t="s">
        <v>446</v>
      </c>
      <c r="V17" s="52" t="s">
        <v>403</v>
      </c>
      <c r="W17" s="52">
        <v>1</v>
      </c>
      <c r="X17" s="52">
        <v>0</v>
      </c>
      <c r="Y17" s="52">
        <v>1</v>
      </c>
      <c r="Z17" s="52">
        <v>1</v>
      </c>
      <c r="AA17" s="52">
        <v>10</v>
      </c>
      <c r="AB17" s="52">
        <v>2</v>
      </c>
      <c r="AC17" s="52">
        <v>0</v>
      </c>
      <c r="AD17" s="52">
        <v>2</v>
      </c>
      <c r="AE17" s="52">
        <v>2</v>
      </c>
      <c r="AF17" s="52">
        <v>0</v>
      </c>
      <c r="AG17" s="52">
        <v>2</v>
      </c>
      <c r="AH17" s="52">
        <v>0</v>
      </c>
      <c r="AI17" s="52">
        <v>0</v>
      </c>
      <c r="AJ17" s="52">
        <v>0</v>
      </c>
      <c r="AK17" s="52">
        <v>11</v>
      </c>
      <c r="AL17" s="52">
        <v>0</v>
      </c>
      <c r="AM17" s="52">
        <v>0</v>
      </c>
      <c r="AN17" s="52">
        <v>0</v>
      </c>
      <c r="AO17" s="52"/>
      <c r="AP17" s="52">
        <v>1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42">
        <v>3</v>
      </c>
      <c r="AW17" s="42"/>
      <c r="AX17" s="42">
        <v>5</v>
      </c>
      <c r="AY17" s="42"/>
      <c r="AZ17" s="42">
        <f t="shared" ref="AZ17:AZ20" si="6">SUM(AV17:AY17)</f>
        <v>8</v>
      </c>
      <c r="BA17" s="42">
        <v>4</v>
      </c>
      <c r="BB17" s="42">
        <v>1</v>
      </c>
      <c r="BC17" s="42">
        <f t="shared" ref="BC17:BC20" si="7">SUM(BA17:BB17)</f>
        <v>5</v>
      </c>
      <c r="BD17" s="42"/>
      <c r="BE17" s="42"/>
      <c r="BF17" s="42"/>
      <c r="BG17" s="42">
        <v>1</v>
      </c>
      <c r="BH17" s="42">
        <f t="shared" ref="BH17:BH20" si="8">SUM(BD17:BG17)</f>
        <v>1</v>
      </c>
      <c r="BI17" s="42"/>
      <c r="BJ17" s="42"/>
      <c r="BK17" s="42">
        <v>1</v>
      </c>
      <c r="BL17" s="42">
        <v>1</v>
      </c>
      <c r="BM17" s="42">
        <f t="shared" ref="BM17:BM20" si="9">SUM(AZ17,BC17,BH17:BL17)</f>
        <v>16</v>
      </c>
    </row>
    <row r="18" s="29" customFormat="1" ht="30" customHeight="1" spans="1:65">
      <c r="A18" s="41">
        <v>2</v>
      </c>
      <c r="B18" s="42" t="s">
        <v>447</v>
      </c>
      <c r="C18" s="42" t="s">
        <v>448</v>
      </c>
      <c r="D18" s="41" t="s">
        <v>444</v>
      </c>
      <c r="E18" s="43" t="s">
        <v>449</v>
      </c>
      <c r="F18" s="42" t="s">
        <v>18</v>
      </c>
      <c r="G18" s="42" t="s">
        <v>399</v>
      </c>
      <c r="H18" s="42">
        <v>60</v>
      </c>
      <c r="I18" s="42" t="s">
        <v>450</v>
      </c>
      <c r="J18" s="42">
        <v>2018</v>
      </c>
      <c r="K18" s="42">
        <v>4.02</v>
      </c>
      <c r="L18" s="42"/>
      <c r="M18" s="42"/>
      <c r="N18" s="42">
        <v>4.726</v>
      </c>
      <c r="O18" s="52"/>
      <c r="P18" s="43">
        <v>0</v>
      </c>
      <c r="Q18" s="52">
        <v>1</v>
      </c>
      <c r="R18" s="52"/>
      <c r="S18" s="52"/>
      <c r="T18" s="52">
        <v>42</v>
      </c>
      <c r="U18" s="52" t="s">
        <v>402</v>
      </c>
      <c r="V18" s="52"/>
      <c r="W18" s="52">
        <v>1</v>
      </c>
      <c r="X18" s="52">
        <v>0</v>
      </c>
      <c r="Y18" s="52">
        <v>1</v>
      </c>
      <c r="Z18" s="52">
        <v>1</v>
      </c>
      <c r="AA18" s="52">
        <v>0</v>
      </c>
      <c r="AB18" s="52">
        <v>0</v>
      </c>
      <c r="AC18" s="52">
        <v>1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/>
      <c r="AP18" s="52">
        <v>1</v>
      </c>
      <c r="AQ18" s="52">
        <v>0</v>
      </c>
      <c r="AR18" s="52">
        <v>0</v>
      </c>
      <c r="AS18" s="52">
        <v>0</v>
      </c>
      <c r="AT18" s="52">
        <v>0</v>
      </c>
      <c r="AU18" s="52">
        <v>1</v>
      </c>
      <c r="AV18" s="42">
        <v>4</v>
      </c>
      <c r="AW18" s="42"/>
      <c r="AX18" s="42">
        <v>1</v>
      </c>
      <c r="AY18" s="42">
        <v>1</v>
      </c>
      <c r="AZ18" s="42">
        <f t="shared" si="6"/>
        <v>6</v>
      </c>
      <c r="BA18" s="42">
        <v>7</v>
      </c>
      <c r="BB18" s="42">
        <v>1</v>
      </c>
      <c r="BC18" s="42">
        <f t="shared" si="7"/>
        <v>8</v>
      </c>
      <c r="BD18" s="42"/>
      <c r="BE18" s="42"/>
      <c r="BF18" s="42"/>
      <c r="BG18" s="42"/>
      <c r="BH18" s="42">
        <f t="shared" si="8"/>
        <v>0</v>
      </c>
      <c r="BI18" s="42"/>
      <c r="BJ18" s="42"/>
      <c r="BK18" s="42"/>
      <c r="BL18" s="42"/>
      <c r="BM18" s="42">
        <f t="shared" si="9"/>
        <v>14</v>
      </c>
    </row>
    <row r="19" s="29" customFormat="1" ht="30" customHeight="1" spans="1:65">
      <c r="A19" s="41">
        <v>3</v>
      </c>
      <c r="B19" s="42" t="s">
        <v>451</v>
      </c>
      <c r="C19" s="42" t="s">
        <v>452</v>
      </c>
      <c r="D19" s="41" t="s">
        <v>444</v>
      </c>
      <c r="E19" s="43" t="s">
        <v>453</v>
      </c>
      <c r="F19" s="42" t="s">
        <v>425</v>
      </c>
      <c r="G19" s="42" t="s">
        <v>399</v>
      </c>
      <c r="H19" s="46" t="s">
        <v>454</v>
      </c>
      <c r="I19" s="54"/>
      <c r="J19" s="54" t="s">
        <v>455</v>
      </c>
      <c r="K19" s="54" t="s">
        <v>456</v>
      </c>
      <c r="L19" s="54"/>
      <c r="M19" s="54"/>
      <c r="N19" s="54" t="s">
        <v>457</v>
      </c>
      <c r="O19" s="52" t="s">
        <v>400</v>
      </c>
      <c r="P19" s="43">
        <v>0</v>
      </c>
      <c r="Q19" s="52">
        <v>1</v>
      </c>
      <c r="R19" s="52" t="s">
        <v>401</v>
      </c>
      <c r="S19" s="52" t="s">
        <v>401</v>
      </c>
      <c r="T19" s="52">
        <v>40</v>
      </c>
      <c r="U19" s="52" t="s">
        <v>402</v>
      </c>
      <c r="V19" s="52" t="s">
        <v>403</v>
      </c>
      <c r="W19" s="52">
        <v>1</v>
      </c>
      <c r="X19" s="52">
        <v>0</v>
      </c>
      <c r="Y19" s="52">
        <v>1</v>
      </c>
      <c r="Z19" s="52">
        <v>1</v>
      </c>
      <c r="AA19" s="52">
        <v>0</v>
      </c>
      <c r="AB19" s="52">
        <v>0</v>
      </c>
      <c r="AC19" s="52">
        <v>1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/>
      <c r="AP19" s="52">
        <v>1</v>
      </c>
      <c r="AQ19" s="52">
        <v>0</v>
      </c>
      <c r="AR19" s="52">
        <v>0</v>
      </c>
      <c r="AS19" s="52">
        <v>0</v>
      </c>
      <c r="AT19" s="52">
        <v>0</v>
      </c>
      <c r="AU19" s="52">
        <v>1</v>
      </c>
      <c r="AV19" s="42">
        <v>3</v>
      </c>
      <c r="AW19" s="54"/>
      <c r="AX19" s="42">
        <v>2</v>
      </c>
      <c r="AY19" s="42">
        <v>1</v>
      </c>
      <c r="AZ19" s="42">
        <f t="shared" si="6"/>
        <v>6</v>
      </c>
      <c r="BA19" s="42">
        <v>6</v>
      </c>
      <c r="BB19" s="42">
        <v>1</v>
      </c>
      <c r="BC19" s="42">
        <f t="shared" si="7"/>
        <v>7</v>
      </c>
      <c r="BD19" s="54"/>
      <c r="BE19" s="54"/>
      <c r="BF19" s="54"/>
      <c r="BG19" s="42"/>
      <c r="BH19" s="42">
        <f t="shared" si="8"/>
        <v>0</v>
      </c>
      <c r="BI19" s="42">
        <v>2</v>
      </c>
      <c r="BJ19" s="54"/>
      <c r="BK19" s="42">
        <v>2</v>
      </c>
      <c r="BL19" s="42">
        <v>1</v>
      </c>
      <c r="BM19" s="42">
        <f t="shared" si="9"/>
        <v>18</v>
      </c>
    </row>
    <row r="20" s="29" customFormat="1" ht="30" customHeight="1" spans="1:65">
      <c r="A20" s="41">
        <v>4</v>
      </c>
      <c r="B20" s="42" t="s">
        <v>458</v>
      </c>
      <c r="C20" s="42" t="s">
        <v>128</v>
      </c>
      <c r="D20" s="41" t="s">
        <v>444</v>
      </c>
      <c r="E20" s="43" t="s">
        <v>459</v>
      </c>
      <c r="F20" s="42" t="s">
        <v>18</v>
      </c>
      <c r="G20" s="42" t="s">
        <v>399</v>
      </c>
      <c r="H20" s="42">
        <v>58.03</v>
      </c>
      <c r="I20" s="42">
        <v>1985</v>
      </c>
      <c r="J20" s="42">
        <v>2017</v>
      </c>
      <c r="K20" s="42">
        <v>3.56</v>
      </c>
      <c r="L20" s="42"/>
      <c r="M20" s="42">
        <v>4.28</v>
      </c>
      <c r="N20" s="42"/>
      <c r="O20" s="52" t="s">
        <v>400</v>
      </c>
      <c r="P20" s="52">
        <v>12.2</v>
      </c>
      <c r="Q20" s="52">
        <v>1</v>
      </c>
      <c r="R20" s="52" t="s">
        <v>401</v>
      </c>
      <c r="S20" s="52" t="s">
        <v>401</v>
      </c>
      <c r="T20" s="52">
        <v>26</v>
      </c>
      <c r="U20" s="52" t="s">
        <v>402</v>
      </c>
      <c r="V20" s="52" t="s">
        <v>403</v>
      </c>
      <c r="W20" s="52">
        <v>1</v>
      </c>
      <c r="X20" s="52">
        <v>0</v>
      </c>
      <c r="Y20" s="52">
        <v>1</v>
      </c>
      <c r="Z20" s="52">
        <v>1</v>
      </c>
      <c r="AA20" s="52">
        <v>0</v>
      </c>
      <c r="AB20" s="52">
        <v>0</v>
      </c>
      <c r="AC20" s="52">
        <v>0</v>
      </c>
      <c r="AD20" s="52">
        <v>2</v>
      </c>
      <c r="AE20" s="52">
        <v>2</v>
      </c>
      <c r="AF20" s="52">
        <v>0</v>
      </c>
      <c r="AG20" s="52">
        <v>2</v>
      </c>
      <c r="AH20" s="52">
        <v>0</v>
      </c>
      <c r="AI20" s="52"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/>
      <c r="AP20" s="52">
        <v>1</v>
      </c>
      <c r="AQ20" s="52">
        <v>0</v>
      </c>
      <c r="AR20" s="52">
        <v>0</v>
      </c>
      <c r="AS20" s="52">
        <v>0</v>
      </c>
      <c r="AT20" s="52">
        <v>0</v>
      </c>
      <c r="AU20" s="52">
        <v>1</v>
      </c>
      <c r="AV20" s="42">
        <v>2</v>
      </c>
      <c r="AW20" s="42"/>
      <c r="AX20" s="42">
        <v>2</v>
      </c>
      <c r="AY20" s="42">
        <v>1</v>
      </c>
      <c r="AZ20" s="42">
        <f t="shared" si="6"/>
        <v>5</v>
      </c>
      <c r="BA20" s="42">
        <v>5</v>
      </c>
      <c r="BB20" s="42">
        <v>2</v>
      </c>
      <c r="BC20" s="42">
        <f t="shared" si="7"/>
        <v>7</v>
      </c>
      <c r="BD20" s="42"/>
      <c r="BE20" s="42"/>
      <c r="BF20" s="42"/>
      <c r="BG20" s="42">
        <v>2</v>
      </c>
      <c r="BH20" s="42">
        <f t="shared" si="8"/>
        <v>2</v>
      </c>
      <c r="BI20" s="42">
        <v>4</v>
      </c>
      <c r="BJ20" s="42">
        <v>1</v>
      </c>
      <c r="BK20" s="42">
        <v>2</v>
      </c>
      <c r="BL20" s="42"/>
      <c r="BM20" s="42">
        <f t="shared" si="9"/>
        <v>21</v>
      </c>
    </row>
    <row r="21" s="30" customFormat="1" ht="30" customHeight="1" spans="1:65">
      <c r="A21" s="44" t="s">
        <v>53</v>
      </c>
      <c r="B21" s="45"/>
      <c r="C21" s="45">
        <f>A20</f>
        <v>4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53"/>
      <c r="P21" s="53"/>
      <c r="Q21" s="53"/>
      <c r="R21" s="53"/>
      <c r="S21" s="53"/>
      <c r="T21" s="53"/>
      <c r="U21" s="53"/>
      <c r="V21" s="53"/>
      <c r="W21" s="53">
        <f t="shared" ref="W21:BM21" si="10">SUM(W17:W20)</f>
        <v>4</v>
      </c>
      <c r="X21" s="53">
        <f t="shared" si="10"/>
        <v>0</v>
      </c>
      <c r="Y21" s="53">
        <f t="shared" si="10"/>
        <v>4</v>
      </c>
      <c r="Z21" s="53">
        <f t="shared" si="10"/>
        <v>4</v>
      </c>
      <c r="AA21" s="53">
        <f t="shared" si="10"/>
        <v>10</v>
      </c>
      <c r="AB21" s="53">
        <f t="shared" si="10"/>
        <v>2</v>
      </c>
      <c r="AC21" s="53">
        <f t="shared" si="10"/>
        <v>2</v>
      </c>
      <c r="AD21" s="53">
        <f t="shared" si="10"/>
        <v>4</v>
      </c>
      <c r="AE21" s="53">
        <f t="shared" si="10"/>
        <v>4</v>
      </c>
      <c r="AF21" s="53">
        <f t="shared" si="10"/>
        <v>0</v>
      </c>
      <c r="AG21" s="53">
        <f t="shared" si="10"/>
        <v>4</v>
      </c>
      <c r="AH21" s="53">
        <f t="shared" si="10"/>
        <v>0</v>
      </c>
      <c r="AI21" s="53">
        <f t="shared" si="10"/>
        <v>0</v>
      </c>
      <c r="AJ21" s="53">
        <f t="shared" si="10"/>
        <v>0</v>
      </c>
      <c r="AK21" s="53">
        <f t="shared" si="10"/>
        <v>11</v>
      </c>
      <c r="AL21" s="53">
        <f t="shared" si="10"/>
        <v>0</v>
      </c>
      <c r="AM21" s="53">
        <f t="shared" si="10"/>
        <v>0</v>
      </c>
      <c r="AN21" s="53">
        <f t="shared" si="10"/>
        <v>0</v>
      </c>
      <c r="AO21" s="53">
        <f t="shared" si="10"/>
        <v>0</v>
      </c>
      <c r="AP21" s="53">
        <f t="shared" si="10"/>
        <v>4</v>
      </c>
      <c r="AQ21" s="53">
        <f t="shared" si="10"/>
        <v>0</v>
      </c>
      <c r="AR21" s="53">
        <f t="shared" si="10"/>
        <v>0</v>
      </c>
      <c r="AS21" s="53">
        <f t="shared" si="10"/>
        <v>0</v>
      </c>
      <c r="AT21" s="53">
        <f t="shared" si="10"/>
        <v>0</v>
      </c>
      <c r="AU21" s="53">
        <f t="shared" si="10"/>
        <v>3</v>
      </c>
      <c r="AV21" s="53">
        <f t="shared" si="10"/>
        <v>12</v>
      </c>
      <c r="AW21" s="53">
        <f t="shared" si="10"/>
        <v>0</v>
      </c>
      <c r="AX21" s="53">
        <f t="shared" si="10"/>
        <v>10</v>
      </c>
      <c r="AY21" s="53">
        <f t="shared" si="10"/>
        <v>3</v>
      </c>
      <c r="AZ21" s="53">
        <f t="shared" si="10"/>
        <v>25</v>
      </c>
      <c r="BA21" s="53">
        <f t="shared" si="10"/>
        <v>22</v>
      </c>
      <c r="BB21" s="53">
        <f t="shared" si="10"/>
        <v>5</v>
      </c>
      <c r="BC21" s="53">
        <f t="shared" si="10"/>
        <v>27</v>
      </c>
      <c r="BD21" s="53">
        <f t="shared" si="10"/>
        <v>0</v>
      </c>
      <c r="BE21" s="53">
        <f t="shared" si="10"/>
        <v>0</v>
      </c>
      <c r="BF21" s="53">
        <f t="shared" si="10"/>
        <v>0</v>
      </c>
      <c r="BG21" s="53">
        <f t="shared" si="10"/>
        <v>3</v>
      </c>
      <c r="BH21" s="53">
        <f t="shared" si="10"/>
        <v>3</v>
      </c>
      <c r="BI21" s="53">
        <f t="shared" si="10"/>
        <v>6</v>
      </c>
      <c r="BJ21" s="53">
        <f t="shared" si="10"/>
        <v>1</v>
      </c>
      <c r="BK21" s="53">
        <f t="shared" si="10"/>
        <v>5</v>
      </c>
      <c r="BL21" s="53">
        <f t="shared" si="10"/>
        <v>2</v>
      </c>
      <c r="BM21" s="53">
        <f t="shared" si="10"/>
        <v>69</v>
      </c>
    </row>
    <row r="22" s="29" customFormat="1" ht="30" customHeight="1" spans="1:65">
      <c r="A22" s="41">
        <v>1</v>
      </c>
      <c r="B22" s="42" t="s">
        <v>460</v>
      </c>
      <c r="C22" s="42" t="s">
        <v>461</v>
      </c>
      <c r="D22" s="41" t="s">
        <v>462</v>
      </c>
      <c r="E22" s="43" t="s">
        <v>463</v>
      </c>
      <c r="F22" s="42" t="s">
        <v>416</v>
      </c>
      <c r="G22" s="42" t="s">
        <v>399</v>
      </c>
      <c r="H22" s="42">
        <v>41.48</v>
      </c>
      <c r="I22" s="42">
        <v>1980</v>
      </c>
      <c r="J22" s="42">
        <v>2017</v>
      </c>
      <c r="K22" s="42">
        <v>4.352</v>
      </c>
      <c r="L22" s="42"/>
      <c r="M22" s="42"/>
      <c r="N22" s="42">
        <v>1.68</v>
      </c>
      <c r="O22" s="52" t="s">
        <v>400</v>
      </c>
      <c r="P22" s="52">
        <v>5.59</v>
      </c>
      <c r="Q22" s="52">
        <v>1</v>
      </c>
      <c r="R22" s="52" t="s">
        <v>401</v>
      </c>
      <c r="S22" s="52" t="s">
        <v>401</v>
      </c>
      <c r="T22" s="52">
        <v>19</v>
      </c>
      <c r="U22" s="52" t="s">
        <v>435</v>
      </c>
      <c r="V22" s="52" t="s">
        <v>403</v>
      </c>
      <c r="W22" s="52">
        <v>1</v>
      </c>
      <c r="X22" s="52">
        <v>0</v>
      </c>
      <c r="Y22" s="52">
        <v>1</v>
      </c>
      <c r="Z22" s="52">
        <v>1</v>
      </c>
      <c r="AA22" s="52">
        <v>7</v>
      </c>
      <c r="AB22" s="52">
        <v>2</v>
      </c>
      <c r="AC22" s="52">
        <v>1</v>
      </c>
      <c r="AD22" s="52">
        <v>2</v>
      </c>
      <c r="AE22" s="52">
        <v>2</v>
      </c>
      <c r="AF22" s="52">
        <v>0</v>
      </c>
      <c r="AG22" s="52">
        <v>3</v>
      </c>
      <c r="AH22" s="52">
        <v>0</v>
      </c>
      <c r="AI22" s="52">
        <v>0</v>
      </c>
      <c r="AJ22" s="52">
        <v>0</v>
      </c>
      <c r="AK22" s="52">
        <v>6</v>
      </c>
      <c r="AL22" s="52">
        <v>0</v>
      </c>
      <c r="AM22" s="52">
        <v>0</v>
      </c>
      <c r="AN22" s="52">
        <v>0</v>
      </c>
      <c r="AO22" s="52"/>
      <c r="AP22" s="52">
        <v>1</v>
      </c>
      <c r="AQ22" s="52">
        <v>0</v>
      </c>
      <c r="AR22" s="52">
        <v>0</v>
      </c>
      <c r="AS22" s="52">
        <v>0</v>
      </c>
      <c r="AT22" s="52">
        <v>0</v>
      </c>
      <c r="AU22" s="52">
        <v>1</v>
      </c>
      <c r="AV22" s="42">
        <v>2</v>
      </c>
      <c r="AW22" s="42"/>
      <c r="AX22" s="42">
        <v>2</v>
      </c>
      <c r="AY22" s="42">
        <v>0</v>
      </c>
      <c r="AZ22" s="42">
        <f t="shared" ref="AZ22:AZ56" si="11">SUM(AV22:AY22)</f>
        <v>4</v>
      </c>
      <c r="BA22" s="42">
        <v>3</v>
      </c>
      <c r="BB22" s="42">
        <v>1</v>
      </c>
      <c r="BC22" s="42">
        <f t="shared" ref="BC22:BC56" si="12">SUM(BA22:BB22)</f>
        <v>4</v>
      </c>
      <c r="BD22" s="42"/>
      <c r="BE22" s="42"/>
      <c r="BF22" s="42"/>
      <c r="BG22" s="42">
        <v>1</v>
      </c>
      <c r="BH22" s="42">
        <f t="shared" ref="BH22:BH56" si="13">SUM(BD22:BG22)</f>
        <v>1</v>
      </c>
      <c r="BI22" s="42">
        <v>3</v>
      </c>
      <c r="BJ22" s="42"/>
      <c r="BK22" s="42">
        <v>1</v>
      </c>
      <c r="BL22" s="42"/>
      <c r="BM22" s="42">
        <f t="shared" ref="BM22:BM56" si="14">SUM(AZ22,BC22,BH22:BL22)</f>
        <v>13</v>
      </c>
    </row>
    <row r="23" s="29" customFormat="1" ht="30" customHeight="1" spans="1:65">
      <c r="A23" s="41">
        <v>2</v>
      </c>
      <c r="B23" s="42" t="s">
        <v>464</v>
      </c>
      <c r="C23" s="42" t="s">
        <v>465</v>
      </c>
      <c r="D23" s="41" t="s">
        <v>462</v>
      </c>
      <c r="E23" s="43" t="s">
        <v>466</v>
      </c>
      <c r="F23" s="42" t="s">
        <v>425</v>
      </c>
      <c r="G23" s="42" t="s">
        <v>417</v>
      </c>
      <c r="H23" s="42">
        <v>60</v>
      </c>
      <c r="I23" s="42">
        <v>1988</v>
      </c>
      <c r="J23" s="42">
        <v>2018</v>
      </c>
      <c r="K23" s="42">
        <v>5.75</v>
      </c>
      <c r="L23" s="42"/>
      <c r="M23" s="42"/>
      <c r="N23" s="42">
        <v>2.17</v>
      </c>
      <c r="O23" s="52" t="s">
        <v>400</v>
      </c>
      <c r="P23" s="43">
        <v>0</v>
      </c>
      <c r="Q23" s="52">
        <v>1</v>
      </c>
      <c r="R23" s="52" t="s">
        <v>401</v>
      </c>
      <c r="S23" s="52" t="s">
        <v>401</v>
      </c>
      <c r="T23" s="52">
        <v>29</v>
      </c>
      <c r="U23" s="52" t="s">
        <v>435</v>
      </c>
      <c r="V23" s="52" t="s">
        <v>403</v>
      </c>
      <c r="W23" s="52">
        <v>1</v>
      </c>
      <c r="X23" s="52">
        <v>0</v>
      </c>
      <c r="Y23" s="52">
        <v>1</v>
      </c>
      <c r="Z23" s="52">
        <v>1</v>
      </c>
      <c r="AA23" s="52">
        <v>12</v>
      </c>
      <c r="AB23" s="52">
        <v>4</v>
      </c>
      <c r="AC23" s="52">
        <v>1</v>
      </c>
      <c r="AD23" s="52">
        <v>4</v>
      </c>
      <c r="AE23" s="52">
        <v>2</v>
      </c>
      <c r="AF23" s="52">
        <v>0</v>
      </c>
      <c r="AG23" s="52">
        <v>3</v>
      </c>
      <c r="AH23" s="52">
        <v>0</v>
      </c>
      <c r="AI23" s="52">
        <v>0</v>
      </c>
      <c r="AJ23" s="52">
        <v>0</v>
      </c>
      <c r="AK23" s="52">
        <v>5</v>
      </c>
      <c r="AL23" s="52">
        <v>0</v>
      </c>
      <c r="AM23" s="52">
        <v>0</v>
      </c>
      <c r="AN23" s="52">
        <v>0</v>
      </c>
      <c r="AO23" s="52"/>
      <c r="AP23" s="52">
        <v>1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42">
        <v>2</v>
      </c>
      <c r="AW23" s="42">
        <v>1</v>
      </c>
      <c r="AX23" s="42">
        <v>4</v>
      </c>
      <c r="AY23" s="42"/>
      <c r="AZ23" s="42">
        <f t="shared" si="11"/>
        <v>7</v>
      </c>
      <c r="BA23" s="42">
        <v>7</v>
      </c>
      <c r="BB23" s="42">
        <v>0</v>
      </c>
      <c r="BC23" s="42">
        <f t="shared" si="12"/>
        <v>7</v>
      </c>
      <c r="BD23" s="42"/>
      <c r="BE23" s="42"/>
      <c r="BF23" s="42"/>
      <c r="BG23" s="42">
        <v>1</v>
      </c>
      <c r="BH23" s="42">
        <f t="shared" si="13"/>
        <v>1</v>
      </c>
      <c r="BI23" s="42">
        <v>3</v>
      </c>
      <c r="BJ23" s="42">
        <v>1</v>
      </c>
      <c r="BK23" s="42">
        <v>2</v>
      </c>
      <c r="BL23" s="42"/>
      <c r="BM23" s="42">
        <f t="shared" si="14"/>
        <v>21</v>
      </c>
    </row>
    <row r="24" s="29" customFormat="1" ht="30" customHeight="1" spans="1:65">
      <c r="A24" s="41">
        <v>3</v>
      </c>
      <c r="B24" s="42" t="s">
        <v>467</v>
      </c>
      <c r="C24" s="42" t="s">
        <v>468</v>
      </c>
      <c r="D24" s="41" t="s">
        <v>462</v>
      </c>
      <c r="E24" s="43" t="s">
        <v>469</v>
      </c>
      <c r="F24" s="42" t="s">
        <v>425</v>
      </c>
      <c r="G24" s="42" t="s">
        <v>399</v>
      </c>
      <c r="H24" s="42">
        <v>105.97</v>
      </c>
      <c r="I24" s="42">
        <v>1987</v>
      </c>
      <c r="J24" s="42">
        <v>2018</v>
      </c>
      <c r="K24" s="42">
        <v>6.17</v>
      </c>
      <c r="L24" s="42">
        <v>13.84</v>
      </c>
      <c r="M24" s="54"/>
      <c r="N24" s="55"/>
      <c r="O24" s="52" t="s">
        <v>400</v>
      </c>
      <c r="P24" s="52">
        <v>22</v>
      </c>
      <c r="Q24" s="52">
        <v>1</v>
      </c>
      <c r="R24" s="52" t="s">
        <v>401</v>
      </c>
      <c r="S24" s="52" t="s">
        <v>401</v>
      </c>
      <c r="T24" s="52">
        <v>7</v>
      </c>
      <c r="U24" s="52" t="s">
        <v>470</v>
      </c>
      <c r="V24" s="52" t="s">
        <v>403</v>
      </c>
      <c r="W24" s="52">
        <v>1</v>
      </c>
      <c r="X24" s="52">
        <v>0</v>
      </c>
      <c r="Y24" s="52">
        <v>1</v>
      </c>
      <c r="Z24" s="52">
        <v>1</v>
      </c>
      <c r="AA24" s="52">
        <v>14</v>
      </c>
      <c r="AB24" s="52">
        <v>3</v>
      </c>
      <c r="AC24" s="46" t="s">
        <v>471</v>
      </c>
      <c r="AD24" s="52">
        <v>2</v>
      </c>
      <c r="AE24" s="52">
        <v>2</v>
      </c>
      <c r="AF24" s="52">
        <v>0</v>
      </c>
      <c r="AG24" s="52">
        <v>3</v>
      </c>
      <c r="AH24" s="52">
        <v>0</v>
      </c>
      <c r="AI24" s="52">
        <v>0</v>
      </c>
      <c r="AJ24" s="52">
        <v>0</v>
      </c>
      <c r="AK24" s="52">
        <v>14</v>
      </c>
      <c r="AL24" s="52">
        <v>0</v>
      </c>
      <c r="AM24" s="52">
        <v>0</v>
      </c>
      <c r="AN24" s="52">
        <v>0</v>
      </c>
      <c r="AO24" s="52"/>
      <c r="AP24" s="52">
        <v>1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42">
        <v>4</v>
      </c>
      <c r="AW24" s="42"/>
      <c r="AX24" s="42">
        <v>7</v>
      </c>
      <c r="AY24" s="42">
        <v>1</v>
      </c>
      <c r="AZ24" s="42">
        <f t="shared" si="11"/>
        <v>12</v>
      </c>
      <c r="BA24" s="42">
        <v>5</v>
      </c>
      <c r="BB24" s="42">
        <v>1</v>
      </c>
      <c r="BC24" s="42">
        <f t="shared" si="12"/>
        <v>6</v>
      </c>
      <c r="BD24" s="42"/>
      <c r="BE24" s="42"/>
      <c r="BF24" s="42"/>
      <c r="BG24" s="42"/>
      <c r="BH24" s="42">
        <f t="shared" si="13"/>
        <v>0</v>
      </c>
      <c r="BI24" s="42">
        <v>5</v>
      </c>
      <c r="BJ24" s="42"/>
      <c r="BK24" s="42">
        <v>2</v>
      </c>
      <c r="BL24" s="42"/>
      <c r="BM24" s="42">
        <f t="shared" si="14"/>
        <v>25</v>
      </c>
    </row>
    <row r="25" s="29" customFormat="1" ht="30" customHeight="1" spans="1:65">
      <c r="A25" s="41">
        <v>4</v>
      </c>
      <c r="B25" s="42" t="s">
        <v>472</v>
      </c>
      <c r="C25" s="42" t="s">
        <v>473</v>
      </c>
      <c r="D25" s="41" t="s">
        <v>462</v>
      </c>
      <c r="E25" s="43" t="s">
        <v>474</v>
      </c>
      <c r="F25" s="42" t="s">
        <v>425</v>
      </c>
      <c r="G25" s="42" t="s">
        <v>399</v>
      </c>
      <c r="H25" s="42">
        <v>57.41</v>
      </c>
      <c r="I25" s="42">
        <v>2012</v>
      </c>
      <c r="J25" s="42">
        <v>2017</v>
      </c>
      <c r="K25" s="42">
        <v>8.11</v>
      </c>
      <c r="L25" s="42"/>
      <c r="M25" s="42"/>
      <c r="N25" s="42">
        <v>3.78</v>
      </c>
      <c r="O25" s="52" t="s">
        <v>400</v>
      </c>
      <c r="P25" s="43">
        <v>0</v>
      </c>
      <c r="Q25" s="52">
        <v>1</v>
      </c>
      <c r="R25" s="52" t="s">
        <v>401</v>
      </c>
      <c r="S25" s="52" t="s">
        <v>401</v>
      </c>
      <c r="T25" s="52">
        <v>22</v>
      </c>
      <c r="U25" s="52" t="s">
        <v>435</v>
      </c>
      <c r="V25" s="52" t="s">
        <v>403</v>
      </c>
      <c r="W25" s="52">
        <v>1</v>
      </c>
      <c r="X25" s="52">
        <v>0</v>
      </c>
      <c r="Y25" s="52">
        <v>1</v>
      </c>
      <c r="Z25" s="52">
        <v>1</v>
      </c>
      <c r="AA25" s="52">
        <v>2</v>
      </c>
      <c r="AB25" s="52">
        <v>3</v>
      </c>
      <c r="AC25" s="52">
        <v>0</v>
      </c>
      <c r="AD25" s="52">
        <v>2</v>
      </c>
      <c r="AE25" s="52">
        <v>2</v>
      </c>
      <c r="AF25" s="52">
        <v>0</v>
      </c>
      <c r="AG25" s="52">
        <v>2</v>
      </c>
      <c r="AH25" s="52">
        <v>0</v>
      </c>
      <c r="AI25" s="52">
        <v>0</v>
      </c>
      <c r="AJ25" s="52">
        <v>0</v>
      </c>
      <c r="AK25" s="52">
        <v>11</v>
      </c>
      <c r="AL25" s="52">
        <v>0</v>
      </c>
      <c r="AM25" s="52">
        <v>0</v>
      </c>
      <c r="AN25" s="52">
        <v>0</v>
      </c>
      <c r="AO25" s="52"/>
      <c r="AP25" s="52">
        <v>1</v>
      </c>
      <c r="AQ25" s="52">
        <v>0</v>
      </c>
      <c r="AR25" s="52">
        <v>0</v>
      </c>
      <c r="AS25" s="52">
        <v>1</v>
      </c>
      <c r="AT25" s="52">
        <v>0</v>
      </c>
      <c r="AU25" s="52">
        <v>0</v>
      </c>
      <c r="AV25" s="42">
        <v>3</v>
      </c>
      <c r="AW25" s="54"/>
      <c r="AX25" s="42">
        <v>4</v>
      </c>
      <c r="AY25" s="54"/>
      <c r="AZ25" s="42">
        <f t="shared" si="11"/>
        <v>7</v>
      </c>
      <c r="BA25" s="42">
        <v>6</v>
      </c>
      <c r="BB25" s="54"/>
      <c r="BC25" s="42">
        <f t="shared" si="12"/>
        <v>6</v>
      </c>
      <c r="BD25" s="54"/>
      <c r="BE25" s="54"/>
      <c r="BF25" s="54"/>
      <c r="BG25" s="42">
        <v>1</v>
      </c>
      <c r="BH25" s="42">
        <f t="shared" si="13"/>
        <v>1</v>
      </c>
      <c r="BI25" s="42">
        <v>1</v>
      </c>
      <c r="BJ25" s="42">
        <v>1</v>
      </c>
      <c r="BK25" s="54"/>
      <c r="BL25" s="54"/>
      <c r="BM25" s="42">
        <f t="shared" si="14"/>
        <v>16</v>
      </c>
    </row>
    <row r="26" s="29" customFormat="1" ht="30" customHeight="1" spans="1:65">
      <c r="A26" s="41">
        <v>5</v>
      </c>
      <c r="B26" s="42" t="s">
        <v>475</v>
      </c>
      <c r="C26" s="42" t="s">
        <v>476</v>
      </c>
      <c r="D26" s="41" t="s">
        <v>462</v>
      </c>
      <c r="E26" s="43" t="s">
        <v>477</v>
      </c>
      <c r="F26" s="42" t="s">
        <v>18</v>
      </c>
      <c r="G26" s="42" t="s">
        <v>417</v>
      </c>
      <c r="H26" s="42">
        <v>60</v>
      </c>
      <c r="I26" s="42" t="s">
        <v>450</v>
      </c>
      <c r="J26" s="42">
        <v>2018</v>
      </c>
      <c r="K26" s="42">
        <v>2.345</v>
      </c>
      <c r="L26" s="42"/>
      <c r="M26" s="42"/>
      <c r="N26" s="42">
        <v>3.27</v>
      </c>
      <c r="O26" s="52" t="s">
        <v>400</v>
      </c>
      <c r="P26" s="43">
        <v>0</v>
      </c>
      <c r="Q26" s="52">
        <v>1</v>
      </c>
      <c r="R26" s="52" t="s">
        <v>401</v>
      </c>
      <c r="S26" s="52" t="s">
        <v>401</v>
      </c>
      <c r="T26" s="52">
        <v>20</v>
      </c>
      <c r="U26" s="52" t="s">
        <v>435</v>
      </c>
      <c r="V26" s="52" t="s">
        <v>403</v>
      </c>
      <c r="W26" s="52">
        <v>1</v>
      </c>
      <c r="X26" s="52">
        <v>1</v>
      </c>
      <c r="Y26" s="52">
        <v>1</v>
      </c>
      <c r="Z26" s="52">
        <v>1</v>
      </c>
      <c r="AA26" s="52">
        <v>0</v>
      </c>
      <c r="AB26" s="52">
        <v>4</v>
      </c>
      <c r="AC26" s="52">
        <v>1</v>
      </c>
      <c r="AD26" s="52">
        <v>0</v>
      </c>
      <c r="AE26" s="52">
        <v>3</v>
      </c>
      <c r="AF26" s="52">
        <v>0</v>
      </c>
      <c r="AG26" s="52">
        <v>3</v>
      </c>
      <c r="AH26" s="52">
        <v>0</v>
      </c>
      <c r="AI26" s="52">
        <v>0</v>
      </c>
      <c r="AJ26" s="52">
        <v>0</v>
      </c>
      <c r="AK26" s="52">
        <v>0</v>
      </c>
      <c r="AL26" s="52">
        <v>1</v>
      </c>
      <c r="AM26" s="52">
        <v>0</v>
      </c>
      <c r="AN26" s="52">
        <v>0</v>
      </c>
      <c r="AO26" s="52"/>
      <c r="AP26" s="52">
        <v>1</v>
      </c>
      <c r="AQ26" s="52">
        <v>0</v>
      </c>
      <c r="AR26" s="52">
        <v>0</v>
      </c>
      <c r="AS26" s="52">
        <v>0</v>
      </c>
      <c r="AT26" s="52">
        <v>0</v>
      </c>
      <c r="AU26" s="52">
        <v>0</v>
      </c>
      <c r="AV26" s="42">
        <v>2</v>
      </c>
      <c r="AW26" s="42"/>
      <c r="AX26" s="42">
        <v>6</v>
      </c>
      <c r="AY26" s="42"/>
      <c r="AZ26" s="42">
        <f t="shared" si="11"/>
        <v>8</v>
      </c>
      <c r="BA26" s="42">
        <v>4</v>
      </c>
      <c r="BB26" s="42"/>
      <c r="BC26" s="42">
        <f t="shared" si="12"/>
        <v>4</v>
      </c>
      <c r="BD26" s="42">
        <v>1</v>
      </c>
      <c r="BE26" s="42"/>
      <c r="BF26" s="42"/>
      <c r="BG26" s="42">
        <v>1</v>
      </c>
      <c r="BH26" s="42">
        <f t="shared" si="13"/>
        <v>2</v>
      </c>
      <c r="BI26" s="42">
        <v>2</v>
      </c>
      <c r="BJ26" s="42"/>
      <c r="BK26" s="42"/>
      <c r="BL26" s="42"/>
      <c r="BM26" s="42">
        <f t="shared" si="14"/>
        <v>16</v>
      </c>
    </row>
    <row r="27" s="29" customFormat="1" ht="30" customHeight="1" spans="1:65">
      <c r="A27" s="41">
        <v>6</v>
      </c>
      <c r="B27" s="42" t="s">
        <v>478</v>
      </c>
      <c r="C27" s="42" t="s">
        <v>479</v>
      </c>
      <c r="D27" s="41" t="s">
        <v>462</v>
      </c>
      <c r="E27" s="43" t="s">
        <v>480</v>
      </c>
      <c r="F27" s="42" t="s">
        <v>416</v>
      </c>
      <c r="G27" s="42" t="s">
        <v>399</v>
      </c>
      <c r="H27" s="42">
        <v>56.91</v>
      </c>
      <c r="I27" s="42">
        <v>1982</v>
      </c>
      <c r="J27" s="42">
        <v>2017</v>
      </c>
      <c r="K27" s="42">
        <v>3.62</v>
      </c>
      <c r="L27" s="42">
        <v>2.134</v>
      </c>
      <c r="M27" s="42"/>
      <c r="N27" s="42"/>
      <c r="O27" s="52" t="s">
        <v>400</v>
      </c>
      <c r="P27" s="52">
        <v>9.53</v>
      </c>
      <c r="Q27" s="52">
        <v>1</v>
      </c>
      <c r="R27" s="52" t="s">
        <v>401</v>
      </c>
      <c r="S27" s="52" t="s">
        <v>401</v>
      </c>
      <c r="T27" s="52">
        <v>38</v>
      </c>
      <c r="U27" s="52" t="s">
        <v>435</v>
      </c>
      <c r="V27" s="52" t="s">
        <v>403</v>
      </c>
      <c r="W27" s="52">
        <v>1</v>
      </c>
      <c r="X27" s="52">
        <v>0</v>
      </c>
      <c r="Y27" s="52">
        <v>1</v>
      </c>
      <c r="Z27" s="52">
        <v>1</v>
      </c>
      <c r="AA27" s="52">
        <v>10</v>
      </c>
      <c r="AB27" s="52">
        <v>2</v>
      </c>
      <c r="AC27" s="52">
        <v>1</v>
      </c>
      <c r="AD27" s="52">
        <v>4</v>
      </c>
      <c r="AE27" s="52">
        <v>2</v>
      </c>
      <c r="AF27" s="52">
        <v>0</v>
      </c>
      <c r="AG27" s="52">
        <v>2</v>
      </c>
      <c r="AH27" s="52">
        <v>0</v>
      </c>
      <c r="AI27" s="52">
        <v>0</v>
      </c>
      <c r="AJ27" s="52">
        <v>0</v>
      </c>
      <c r="AK27" s="52">
        <v>0</v>
      </c>
      <c r="AL27" s="52">
        <v>0</v>
      </c>
      <c r="AM27" s="52">
        <v>0</v>
      </c>
      <c r="AN27" s="52">
        <v>0</v>
      </c>
      <c r="AO27" s="52"/>
      <c r="AP27" s="52">
        <v>1</v>
      </c>
      <c r="AQ27" s="52">
        <v>0</v>
      </c>
      <c r="AR27" s="52">
        <v>0</v>
      </c>
      <c r="AS27" s="52">
        <v>0</v>
      </c>
      <c r="AT27" s="52">
        <v>0</v>
      </c>
      <c r="AU27" s="52">
        <v>0</v>
      </c>
      <c r="AV27" s="42">
        <v>3</v>
      </c>
      <c r="AW27" s="42"/>
      <c r="AX27" s="42">
        <v>4</v>
      </c>
      <c r="AY27" s="42">
        <v>1</v>
      </c>
      <c r="AZ27" s="42">
        <f t="shared" si="11"/>
        <v>8</v>
      </c>
      <c r="BA27" s="42">
        <v>4</v>
      </c>
      <c r="BB27" s="42">
        <v>1</v>
      </c>
      <c r="BC27" s="42">
        <f t="shared" si="12"/>
        <v>5</v>
      </c>
      <c r="BD27" s="42"/>
      <c r="BE27" s="42"/>
      <c r="BF27" s="42"/>
      <c r="BG27" s="42"/>
      <c r="BH27" s="42">
        <f t="shared" si="13"/>
        <v>0</v>
      </c>
      <c r="BI27" s="42">
        <v>2</v>
      </c>
      <c r="BJ27" s="42"/>
      <c r="BK27" s="42">
        <v>1</v>
      </c>
      <c r="BL27" s="42"/>
      <c r="BM27" s="42">
        <f t="shared" si="14"/>
        <v>16</v>
      </c>
    </row>
    <row r="28" s="29" customFormat="1" ht="30" customHeight="1" spans="1:65">
      <c r="A28" s="41">
        <v>7</v>
      </c>
      <c r="B28" s="42" t="s">
        <v>481</v>
      </c>
      <c r="C28" s="42" t="s">
        <v>482</v>
      </c>
      <c r="D28" s="41" t="s">
        <v>462</v>
      </c>
      <c r="E28" s="43" t="s">
        <v>483</v>
      </c>
      <c r="F28" s="42" t="s">
        <v>425</v>
      </c>
      <c r="G28" s="42" t="s">
        <v>417</v>
      </c>
      <c r="H28" s="42">
        <v>66</v>
      </c>
      <c r="I28" s="42">
        <v>1989</v>
      </c>
      <c r="J28" s="42">
        <v>2018</v>
      </c>
      <c r="K28" s="42">
        <v>5.82</v>
      </c>
      <c r="L28" s="42">
        <v>3.68</v>
      </c>
      <c r="M28" s="42"/>
      <c r="N28" s="42"/>
      <c r="O28" s="52" t="s">
        <v>400</v>
      </c>
      <c r="P28" s="52">
        <v>24</v>
      </c>
      <c r="Q28" s="52">
        <v>1</v>
      </c>
      <c r="R28" s="52" t="s">
        <v>401</v>
      </c>
      <c r="S28" s="52" t="s">
        <v>401</v>
      </c>
      <c r="T28" s="52">
        <v>29</v>
      </c>
      <c r="U28" s="52" t="s">
        <v>484</v>
      </c>
      <c r="V28" s="52" t="s">
        <v>403</v>
      </c>
      <c r="W28" s="52">
        <v>1</v>
      </c>
      <c r="X28" s="52">
        <v>0</v>
      </c>
      <c r="Y28" s="52">
        <v>1</v>
      </c>
      <c r="Z28" s="52">
        <v>1</v>
      </c>
      <c r="AA28" s="52">
        <v>13</v>
      </c>
      <c r="AB28" s="52">
        <v>4</v>
      </c>
      <c r="AC28" s="52">
        <v>1</v>
      </c>
      <c r="AD28" s="52">
        <v>0</v>
      </c>
      <c r="AE28" s="52">
        <v>2</v>
      </c>
      <c r="AF28" s="52">
        <v>0</v>
      </c>
      <c r="AG28" s="52">
        <v>2</v>
      </c>
      <c r="AH28" s="52">
        <v>0</v>
      </c>
      <c r="AI28" s="52">
        <v>0</v>
      </c>
      <c r="AJ28" s="52">
        <v>0</v>
      </c>
      <c r="AK28" s="52">
        <v>13</v>
      </c>
      <c r="AL28" s="52">
        <v>0</v>
      </c>
      <c r="AM28" s="52">
        <v>0</v>
      </c>
      <c r="AN28" s="52">
        <v>0</v>
      </c>
      <c r="AO28" s="52"/>
      <c r="AP28" s="52">
        <v>1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42">
        <v>2</v>
      </c>
      <c r="AW28" s="42">
        <v>1</v>
      </c>
      <c r="AX28" s="42">
        <v>4</v>
      </c>
      <c r="AY28" s="42">
        <v>1</v>
      </c>
      <c r="AZ28" s="42">
        <f t="shared" si="11"/>
        <v>8</v>
      </c>
      <c r="BA28" s="42">
        <v>6</v>
      </c>
      <c r="BB28" s="42">
        <v>1</v>
      </c>
      <c r="BC28" s="42">
        <f t="shared" si="12"/>
        <v>7</v>
      </c>
      <c r="BD28" s="42"/>
      <c r="BE28" s="42"/>
      <c r="BF28" s="42"/>
      <c r="BG28" s="42"/>
      <c r="BH28" s="42">
        <f t="shared" si="13"/>
        <v>0</v>
      </c>
      <c r="BI28" s="42">
        <v>2</v>
      </c>
      <c r="BJ28" s="42">
        <v>2</v>
      </c>
      <c r="BK28" s="42">
        <v>2</v>
      </c>
      <c r="BL28" s="42"/>
      <c r="BM28" s="42">
        <f t="shared" si="14"/>
        <v>21</v>
      </c>
    </row>
    <row r="29" s="29" customFormat="1" ht="30" customHeight="1" spans="1:65">
      <c r="A29" s="41">
        <v>8</v>
      </c>
      <c r="B29" s="42" t="s">
        <v>485</v>
      </c>
      <c r="C29" s="42" t="s">
        <v>486</v>
      </c>
      <c r="D29" s="41" t="s">
        <v>462</v>
      </c>
      <c r="E29" s="43" t="s">
        <v>487</v>
      </c>
      <c r="F29" s="42" t="s">
        <v>425</v>
      </c>
      <c r="G29" s="42" t="s">
        <v>399</v>
      </c>
      <c r="H29" s="42">
        <v>29.52</v>
      </c>
      <c r="I29" s="42">
        <v>1982</v>
      </c>
      <c r="J29" s="42">
        <v>2018</v>
      </c>
      <c r="K29" s="42">
        <v>2.11</v>
      </c>
      <c r="L29" s="42">
        <v>1.82</v>
      </c>
      <c r="M29" s="42"/>
      <c r="N29" s="42"/>
      <c r="O29" s="52" t="s">
        <v>400</v>
      </c>
      <c r="P29" s="52">
        <v>12.6</v>
      </c>
      <c r="Q29" s="52">
        <v>1</v>
      </c>
      <c r="R29" s="52" t="s">
        <v>401</v>
      </c>
      <c r="S29" s="52" t="s">
        <v>401</v>
      </c>
      <c r="T29" s="52">
        <v>8</v>
      </c>
      <c r="U29" s="52" t="s">
        <v>435</v>
      </c>
      <c r="V29" s="52" t="s">
        <v>403</v>
      </c>
      <c r="W29" s="52">
        <v>1</v>
      </c>
      <c r="X29" s="52">
        <v>0</v>
      </c>
      <c r="Y29" s="52">
        <v>1</v>
      </c>
      <c r="Z29" s="52">
        <v>1</v>
      </c>
      <c r="AA29" s="52">
        <v>6</v>
      </c>
      <c r="AB29" s="52">
        <v>2</v>
      </c>
      <c r="AC29" s="52">
        <v>1</v>
      </c>
      <c r="AD29" s="52">
        <v>2</v>
      </c>
      <c r="AE29" s="52">
        <v>2</v>
      </c>
      <c r="AF29" s="52">
        <v>0</v>
      </c>
      <c r="AG29" s="52">
        <v>2</v>
      </c>
      <c r="AH29" s="52">
        <v>0</v>
      </c>
      <c r="AI29" s="52">
        <v>0</v>
      </c>
      <c r="AJ29" s="52">
        <v>0</v>
      </c>
      <c r="AK29" s="52">
        <v>6</v>
      </c>
      <c r="AL29" s="52">
        <v>0</v>
      </c>
      <c r="AM29" s="52">
        <v>0</v>
      </c>
      <c r="AN29" s="52">
        <v>0</v>
      </c>
      <c r="AO29" s="52"/>
      <c r="AP29" s="52">
        <v>1</v>
      </c>
      <c r="AQ29" s="52">
        <v>0</v>
      </c>
      <c r="AR29" s="52">
        <v>0</v>
      </c>
      <c r="AS29" s="52">
        <v>0</v>
      </c>
      <c r="AT29" s="52">
        <v>0</v>
      </c>
      <c r="AU29" s="52">
        <v>0</v>
      </c>
      <c r="AV29" s="42">
        <v>2</v>
      </c>
      <c r="AW29" s="42"/>
      <c r="AX29" s="42">
        <v>2</v>
      </c>
      <c r="AY29" s="42">
        <v>1</v>
      </c>
      <c r="AZ29" s="42">
        <f t="shared" si="11"/>
        <v>5</v>
      </c>
      <c r="BA29" s="42">
        <v>2</v>
      </c>
      <c r="BB29" s="42">
        <v>1</v>
      </c>
      <c r="BC29" s="42">
        <f t="shared" si="12"/>
        <v>3</v>
      </c>
      <c r="BD29" s="42"/>
      <c r="BE29" s="42"/>
      <c r="BF29" s="42"/>
      <c r="BG29" s="42"/>
      <c r="BH29" s="42">
        <f t="shared" si="13"/>
        <v>0</v>
      </c>
      <c r="BI29" s="42">
        <v>2</v>
      </c>
      <c r="BJ29" s="42"/>
      <c r="BK29" s="42">
        <v>1</v>
      </c>
      <c r="BL29" s="42"/>
      <c r="BM29" s="42">
        <f t="shared" si="14"/>
        <v>11</v>
      </c>
    </row>
    <row r="30" s="29" customFormat="1" ht="30" customHeight="1" spans="1:65">
      <c r="A30" s="41">
        <v>9</v>
      </c>
      <c r="B30" s="42" t="s">
        <v>488</v>
      </c>
      <c r="C30" s="47" t="s">
        <v>489</v>
      </c>
      <c r="D30" s="41" t="s">
        <v>462</v>
      </c>
      <c r="E30" s="43" t="s">
        <v>490</v>
      </c>
      <c r="F30" s="42" t="s">
        <v>491</v>
      </c>
      <c r="G30" s="42" t="s">
        <v>399</v>
      </c>
      <c r="H30" s="42">
        <v>60.8</v>
      </c>
      <c r="I30" s="42">
        <v>2015</v>
      </c>
      <c r="J30" s="42">
        <v>2018</v>
      </c>
      <c r="K30" s="42">
        <v>6.8</v>
      </c>
      <c r="L30" s="42">
        <v>13.02</v>
      </c>
      <c r="M30" s="42"/>
      <c r="N30" s="42"/>
      <c r="O30" s="52" t="s">
        <v>400</v>
      </c>
      <c r="P30" s="43">
        <v>0</v>
      </c>
      <c r="Q30" s="52">
        <v>1</v>
      </c>
      <c r="R30" s="52" t="s">
        <v>401</v>
      </c>
      <c r="S30" s="52" t="s">
        <v>401</v>
      </c>
      <c r="T30" s="52">
        <v>21</v>
      </c>
      <c r="U30" s="52" t="s">
        <v>402</v>
      </c>
      <c r="V30" s="52" t="s">
        <v>403</v>
      </c>
      <c r="W30" s="52">
        <v>1</v>
      </c>
      <c r="X30" s="52">
        <v>1</v>
      </c>
      <c r="Y30" s="52">
        <v>1</v>
      </c>
      <c r="Z30" s="52">
        <v>1</v>
      </c>
      <c r="AA30" s="52">
        <v>8</v>
      </c>
      <c r="AB30" s="52">
        <v>3</v>
      </c>
      <c r="AC30" s="52">
        <v>1</v>
      </c>
      <c r="AD30" s="52">
        <v>3</v>
      </c>
      <c r="AE30" s="52">
        <v>2</v>
      </c>
      <c r="AF30" s="52">
        <v>0</v>
      </c>
      <c r="AG30" s="52">
        <v>2</v>
      </c>
      <c r="AH30" s="52">
        <v>0</v>
      </c>
      <c r="AI30" s="52">
        <v>0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52"/>
      <c r="AP30" s="52">
        <v>1</v>
      </c>
      <c r="AQ30" s="52">
        <v>0</v>
      </c>
      <c r="AR30" s="52">
        <v>0</v>
      </c>
      <c r="AS30" s="52">
        <v>0</v>
      </c>
      <c r="AT30" s="52">
        <v>0</v>
      </c>
      <c r="AU30" s="52">
        <v>1</v>
      </c>
      <c r="AV30" s="42">
        <v>2</v>
      </c>
      <c r="AW30" s="42"/>
      <c r="AX30" s="42">
        <v>3</v>
      </c>
      <c r="AY30" s="42">
        <v>1</v>
      </c>
      <c r="AZ30" s="42">
        <f t="shared" si="11"/>
        <v>6</v>
      </c>
      <c r="BA30" s="42">
        <v>3</v>
      </c>
      <c r="BB30" s="42">
        <v>1</v>
      </c>
      <c r="BC30" s="42">
        <f t="shared" si="12"/>
        <v>4</v>
      </c>
      <c r="BD30" s="42"/>
      <c r="BE30" s="42"/>
      <c r="BF30" s="42"/>
      <c r="BG30" s="42"/>
      <c r="BH30" s="42">
        <f t="shared" si="13"/>
        <v>0</v>
      </c>
      <c r="BI30" s="42">
        <v>2</v>
      </c>
      <c r="BJ30" s="42"/>
      <c r="BK30" s="42">
        <v>2</v>
      </c>
      <c r="BL30" s="42"/>
      <c r="BM30" s="42">
        <f t="shared" si="14"/>
        <v>14</v>
      </c>
    </row>
    <row r="31" s="29" customFormat="1" ht="30" customHeight="1" spans="1:65">
      <c r="A31" s="41">
        <v>10</v>
      </c>
      <c r="B31" s="42" t="s">
        <v>492</v>
      </c>
      <c r="C31" s="42" t="s">
        <v>493</v>
      </c>
      <c r="D31" s="41" t="s">
        <v>462</v>
      </c>
      <c r="E31" s="43" t="s">
        <v>494</v>
      </c>
      <c r="F31" s="42" t="s">
        <v>491</v>
      </c>
      <c r="G31" s="42" t="s">
        <v>399</v>
      </c>
      <c r="H31" s="42">
        <v>48.62</v>
      </c>
      <c r="I31" s="42">
        <v>1986</v>
      </c>
      <c r="J31" s="42">
        <v>2018</v>
      </c>
      <c r="K31" s="42">
        <v>3.03</v>
      </c>
      <c r="L31" s="42"/>
      <c r="M31" s="42"/>
      <c r="N31" s="42">
        <v>3.23</v>
      </c>
      <c r="O31" s="52" t="s">
        <v>400</v>
      </c>
      <c r="P31" s="52">
        <v>17.3</v>
      </c>
      <c r="Q31" s="52">
        <v>1</v>
      </c>
      <c r="R31" s="52" t="s">
        <v>401</v>
      </c>
      <c r="S31" s="52" t="s">
        <v>401</v>
      </c>
      <c r="T31" s="52">
        <v>35</v>
      </c>
      <c r="U31" s="52" t="s">
        <v>402</v>
      </c>
      <c r="V31" s="52" t="s">
        <v>403</v>
      </c>
      <c r="W31" s="52">
        <v>1</v>
      </c>
      <c r="X31" s="52">
        <v>0</v>
      </c>
      <c r="Y31" s="52">
        <v>1</v>
      </c>
      <c r="Z31" s="52">
        <v>1</v>
      </c>
      <c r="AA31" s="52">
        <v>0</v>
      </c>
      <c r="AB31" s="52">
        <v>0</v>
      </c>
      <c r="AC31" s="52">
        <v>1</v>
      </c>
      <c r="AD31" s="52">
        <v>0</v>
      </c>
      <c r="AE31" s="52">
        <v>0</v>
      </c>
      <c r="AF31" s="52">
        <v>0</v>
      </c>
      <c r="AG31" s="52">
        <v>0</v>
      </c>
      <c r="AH31" s="52">
        <v>0</v>
      </c>
      <c r="AI31" s="52">
        <v>0</v>
      </c>
      <c r="AJ31" s="52">
        <v>0</v>
      </c>
      <c r="AK31" s="52">
        <v>0</v>
      </c>
      <c r="AL31" s="52">
        <v>0</v>
      </c>
      <c r="AM31" s="52">
        <v>0</v>
      </c>
      <c r="AN31" s="52">
        <v>0</v>
      </c>
      <c r="AO31" s="52"/>
      <c r="AP31" s="52">
        <v>1</v>
      </c>
      <c r="AQ31" s="52">
        <v>0</v>
      </c>
      <c r="AR31" s="52">
        <v>0</v>
      </c>
      <c r="AS31" s="52">
        <v>0</v>
      </c>
      <c r="AT31" s="52">
        <v>0</v>
      </c>
      <c r="AU31" s="52">
        <v>1</v>
      </c>
      <c r="AV31" s="42">
        <v>3</v>
      </c>
      <c r="AW31" s="42"/>
      <c r="AX31" s="42">
        <v>2</v>
      </c>
      <c r="AY31" s="42">
        <v>1</v>
      </c>
      <c r="AZ31" s="42">
        <f t="shared" si="11"/>
        <v>6</v>
      </c>
      <c r="BA31" s="42">
        <v>4</v>
      </c>
      <c r="BB31" s="42">
        <v>2</v>
      </c>
      <c r="BC31" s="42">
        <f t="shared" si="12"/>
        <v>6</v>
      </c>
      <c r="BD31" s="42">
        <v>1</v>
      </c>
      <c r="BE31" s="42"/>
      <c r="BF31" s="42"/>
      <c r="BG31" s="42">
        <v>1</v>
      </c>
      <c r="BH31" s="42">
        <f t="shared" si="13"/>
        <v>2</v>
      </c>
      <c r="BI31" s="42">
        <v>2</v>
      </c>
      <c r="BJ31" s="42"/>
      <c r="BK31" s="42"/>
      <c r="BL31" s="42"/>
      <c r="BM31" s="42">
        <f t="shared" si="14"/>
        <v>16</v>
      </c>
    </row>
    <row r="32" s="29" customFormat="1" ht="30" customHeight="1" spans="1:65">
      <c r="A32" s="41">
        <v>11</v>
      </c>
      <c r="B32" s="42" t="s">
        <v>495</v>
      </c>
      <c r="C32" s="42" t="s">
        <v>496</v>
      </c>
      <c r="D32" s="41" t="s">
        <v>462</v>
      </c>
      <c r="E32" s="43" t="s">
        <v>497</v>
      </c>
      <c r="F32" s="42" t="s">
        <v>491</v>
      </c>
      <c r="G32" s="42" t="s">
        <v>399</v>
      </c>
      <c r="H32" s="42">
        <v>42</v>
      </c>
      <c r="I32" s="42">
        <v>1986</v>
      </c>
      <c r="J32" s="42">
        <v>2018</v>
      </c>
      <c r="K32" s="42">
        <v>4.03</v>
      </c>
      <c r="L32" s="42">
        <v>1.13</v>
      </c>
      <c r="M32" s="42"/>
      <c r="N32" s="42"/>
      <c r="O32" s="52" t="s">
        <v>400</v>
      </c>
      <c r="P32" s="52">
        <v>13</v>
      </c>
      <c r="Q32" s="52">
        <v>1</v>
      </c>
      <c r="R32" s="52" t="s">
        <v>401</v>
      </c>
      <c r="S32" s="52" t="s">
        <v>401</v>
      </c>
      <c r="T32" s="52">
        <v>35</v>
      </c>
      <c r="U32" s="52" t="s">
        <v>402</v>
      </c>
      <c r="V32" s="52" t="s">
        <v>403</v>
      </c>
      <c r="W32" s="52">
        <v>1</v>
      </c>
      <c r="X32" s="52">
        <v>1</v>
      </c>
      <c r="Y32" s="52">
        <v>1</v>
      </c>
      <c r="Z32" s="52">
        <v>1</v>
      </c>
      <c r="AA32" s="52">
        <v>0</v>
      </c>
      <c r="AB32" s="52">
        <v>0</v>
      </c>
      <c r="AC32" s="52">
        <v>0</v>
      </c>
      <c r="AD32" s="52">
        <v>0</v>
      </c>
      <c r="AE32" s="52">
        <v>0</v>
      </c>
      <c r="AF32" s="52">
        <v>0</v>
      </c>
      <c r="AG32" s="52">
        <v>0</v>
      </c>
      <c r="AH32" s="52">
        <v>0</v>
      </c>
      <c r="AI32" s="52">
        <v>0</v>
      </c>
      <c r="AJ32" s="52">
        <v>0</v>
      </c>
      <c r="AK32" s="52">
        <v>0</v>
      </c>
      <c r="AL32" s="52">
        <v>0</v>
      </c>
      <c r="AM32" s="52">
        <v>0</v>
      </c>
      <c r="AN32" s="52">
        <v>0</v>
      </c>
      <c r="AO32" s="52"/>
      <c r="AP32" s="52">
        <v>1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42">
        <v>4</v>
      </c>
      <c r="AW32" s="42"/>
      <c r="AX32" s="42">
        <v>2</v>
      </c>
      <c r="AY32" s="42">
        <v>1</v>
      </c>
      <c r="AZ32" s="42">
        <f t="shared" si="11"/>
        <v>7</v>
      </c>
      <c r="BA32" s="42">
        <v>4</v>
      </c>
      <c r="BB32" s="42">
        <v>1</v>
      </c>
      <c r="BC32" s="42">
        <f t="shared" si="12"/>
        <v>5</v>
      </c>
      <c r="BD32" s="42"/>
      <c r="BE32" s="42"/>
      <c r="BF32" s="42"/>
      <c r="BG32" s="42"/>
      <c r="BH32" s="42">
        <f t="shared" si="13"/>
        <v>0</v>
      </c>
      <c r="BI32" s="42">
        <v>2</v>
      </c>
      <c r="BJ32" s="42">
        <v>2</v>
      </c>
      <c r="BK32" s="42">
        <v>2</v>
      </c>
      <c r="BL32" s="42">
        <v>1</v>
      </c>
      <c r="BM32" s="42">
        <f t="shared" si="14"/>
        <v>19</v>
      </c>
    </row>
    <row r="33" s="29" customFormat="1" ht="30" customHeight="1" spans="1:65">
      <c r="A33" s="41">
        <v>12</v>
      </c>
      <c r="B33" s="42" t="s">
        <v>498</v>
      </c>
      <c r="C33" s="42" t="s">
        <v>221</v>
      </c>
      <c r="D33" s="41" t="s">
        <v>462</v>
      </c>
      <c r="E33" s="43" t="s">
        <v>499</v>
      </c>
      <c r="F33" s="42" t="s">
        <v>18</v>
      </c>
      <c r="G33" s="42" t="s">
        <v>399</v>
      </c>
      <c r="H33" s="42">
        <v>60.8</v>
      </c>
      <c r="I33" s="42">
        <v>1991</v>
      </c>
      <c r="J33" s="42">
        <v>2017</v>
      </c>
      <c r="K33" s="42">
        <v>3.856</v>
      </c>
      <c r="L33" s="42"/>
      <c r="M33" s="42">
        <v>2.793</v>
      </c>
      <c r="N33" s="42"/>
      <c r="O33" s="52" t="s">
        <v>400</v>
      </c>
      <c r="P33" s="43">
        <v>0</v>
      </c>
      <c r="Q33" s="52">
        <v>1</v>
      </c>
      <c r="R33" s="52" t="s">
        <v>401</v>
      </c>
      <c r="S33" s="52" t="s">
        <v>401</v>
      </c>
      <c r="T33" s="52">
        <v>5</v>
      </c>
      <c r="U33" s="52" t="s">
        <v>435</v>
      </c>
      <c r="V33" s="52" t="s">
        <v>403</v>
      </c>
      <c r="W33" s="52">
        <v>1</v>
      </c>
      <c r="X33" s="52">
        <v>0</v>
      </c>
      <c r="Y33" s="52">
        <v>1</v>
      </c>
      <c r="Z33" s="52">
        <v>1</v>
      </c>
      <c r="AA33" s="52">
        <v>5</v>
      </c>
      <c r="AB33" s="52">
        <v>1</v>
      </c>
      <c r="AC33" s="52">
        <v>1</v>
      </c>
      <c r="AD33" s="52">
        <v>2</v>
      </c>
      <c r="AE33" s="52">
        <v>2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/>
      <c r="AP33" s="52">
        <v>1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42">
        <v>4</v>
      </c>
      <c r="AW33" s="42"/>
      <c r="AX33" s="42">
        <v>2</v>
      </c>
      <c r="AY33" s="42">
        <v>0</v>
      </c>
      <c r="AZ33" s="42">
        <f t="shared" si="11"/>
        <v>6</v>
      </c>
      <c r="BA33" s="42">
        <v>4</v>
      </c>
      <c r="BB33" s="42">
        <v>0</v>
      </c>
      <c r="BC33" s="42">
        <f t="shared" si="12"/>
        <v>4</v>
      </c>
      <c r="BD33" s="42"/>
      <c r="BE33" s="42"/>
      <c r="BF33" s="42"/>
      <c r="BG33" s="42"/>
      <c r="BH33" s="42">
        <f t="shared" si="13"/>
        <v>0</v>
      </c>
      <c r="BI33" s="42">
        <v>3</v>
      </c>
      <c r="BJ33" s="42">
        <v>2</v>
      </c>
      <c r="BK33" s="42">
        <v>2</v>
      </c>
      <c r="BL33" s="42"/>
      <c r="BM33" s="42">
        <f t="shared" si="14"/>
        <v>17</v>
      </c>
    </row>
    <row r="34" s="29" customFormat="1" ht="30" customHeight="1" spans="1:65">
      <c r="A34" s="41">
        <v>13</v>
      </c>
      <c r="B34" s="42" t="s">
        <v>500</v>
      </c>
      <c r="C34" s="42" t="s">
        <v>501</v>
      </c>
      <c r="D34" s="41" t="s">
        <v>462</v>
      </c>
      <c r="E34" s="43" t="s">
        <v>502</v>
      </c>
      <c r="F34" s="42" t="s">
        <v>398</v>
      </c>
      <c r="G34" s="42" t="s">
        <v>399</v>
      </c>
      <c r="H34" s="42">
        <v>57</v>
      </c>
      <c r="I34" s="42">
        <v>1992</v>
      </c>
      <c r="J34" s="42">
        <v>2017</v>
      </c>
      <c r="K34" s="42">
        <v>6.107</v>
      </c>
      <c r="L34" s="42"/>
      <c r="M34" s="42"/>
      <c r="N34" s="42"/>
      <c r="O34" s="52" t="s">
        <v>400</v>
      </c>
      <c r="P34" s="52">
        <v>10</v>
      </c>
      <c r="Q34" s="52">
        <v>1</v>
      </c>
      <c r="R34" s="52" t="s">
        <v>401</v>
      </c>
      <c r="S34" s="52" t="s">
        <v>401</v>
      </c>
      <c r="T34" s="52">
        <v>30</v>
      </c>
      <c r="U34" s="52" t="s">
        <v>402</v>
      </c>
      <c r="V34" s="52" t="s">
        <v>403</v>
      </c>
      <c r="W34" s="52">
        <v>1</v>
      </c>
      <c r="X34" s="52">
        <v>1</v>
      </c>
      <c r="Y34" s="52">
        <v>1</v>
      </c>
      <c r="Z34" s="52">
        <v>1</v>
      </c>
      <c r="AA34" s="52">
        <v>0</v>
      </c>
      <c r="AB34" s="52">
        <v>0</v>
      </c>
      <c r="AC34" s="52">
        <v>1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2">
        <v>0</v>
      </c>
      <c r="AM34" s="52">
        <v>0</v>
      </c>
      <c r="AN34" s="52">
        <v>0</v>
      </c>
      <c r="AO34" s="52"/>
      <c r="AP34" s="52">
        <v>1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42">
        <v>2</v>
      </c>
      <c r="AW34" s="42"/>
      <c r="AX34" s="42">
        <v>3</v>
      </c>
      <c r="AY34" s="42">
        <v>1</v>
      </c>
      <c r="AZ34" s="42">
        <f t="shared" si="11"/>
        <v>6</v>
      </c>
      <c r="BA34" s="42">
        <v>5</v>
      </c>
      <c r="BB34" s="42">
        <v>1</v>
      </c>
      <c r="BC34" s="42">
        <f t="shared" si="12"/>
        <v>6</v>
      </c>
      <c r="BD34" s="42"/>
      <c r="BE34" s="42"/>
      <c r="BF34" s="42"/>
      <c r="BG34" s="42"/>
      <c r="BH34" s="42">
        <f t="shared" si="13"/>
        <v>0</v>
      </c>
      <c r="BI34" s="42"/>
      <c r="BJ34" s="42"/>
      <c r="BK34" s="42"/>
      <c r="BL34" s="42"/>
      <c r="BM34" s="42">
        <f t="shared" si="14"/>
        <v>12</v>
      </c>
    </row>
    <row r="35" s="29" customFormat="1" ht="30" customHeight="1" spans="1:65">
      <c r="A35" s="41">
        <v>14</v>
      </c>
      <c r="B35" s="42" t="s">
        <v>503</v>
      </c>
      <c r="C35" s="42" t="s">
        <v>504</v>
      </c>
      <c r="D35" s="41" t="s">
        <v>462</v>
      </c>
      <c r="E35" s="43" t="s">
        <v>505</v>
      </c>
      <c r="F35" s="42" t="s">
        <v>18</v>
      </c>
      <c r="G35" s="42" t="s">
        <v>399</v>
      </c>
      <c r="H35" s="42">
        <v>50</v>
      </c>
      <c r="I35" s="42">
        <v>1996</v>
      </c>
      <c r="J35" s="42">
        <v>2017</v>
      </c>
      <c r="K35" s="42">
        <v>4.219</v>
      </c>
      <c r="L35" s="42"/>
      <c r="M35" s="42"/>
      <c r="N35" s="42"/>
      <c r="O35" s="52" t="s">
        <v>400</v>
      </c>
      <c r="P35" s="52">
        <v>27.52</v>
      </c>
      <c r="Q35" s="52">
        <v>1</v>
      </c>
      <c r="R35" s="52" t="s">
        <v>401</v>
      </c>
      <c r="S35" s="52" t="s">
        <v>401</v>
      </c>
      <c r="T35" s="52">
        <v>10</v>
      </c>
      <c r="U35" s="52" t="s">
        <v>435</v>
      </c>
      <c r="V35" s="52" t="s">
        <v>403</v>
      </c>
      <c r="W35" s="52">
        <v>1</v>
      </c>
      <c r="X35" s="52">
        <v>0</v>
      </c>
      <c r="Y35" s="52">
        <v>1</v>
      </c>
      <c r="Z35" s="52">
        <v>1</v>
      </c>
      <c r="AA35" s="52">
        <v>4</v>
      </c>
      <c r="AB35" s="52">
        <v>0</v>
      </c>
      <c r="AC35" s="52">
        <v>1</v>
      </c>
      <c r="AD35" s="52">
        <v>2</v>
      </c>
      <c r="AE35" s="52">
        <v>2</v>
      </c>
      <c r="AF35" s="52">
        <v>0</v>
      </c>
      <c r="AG35" s="52">
        <v>0</v>
      </c>
      <c r="AH35" s="52">
        <v>0</v>
      </c>
      <c r="AI35" s="52">
        <v>0</v>
      </c>
      <c r="AJ35" s="52">
        <v>0</v>
      </c>
      <c r="AK35" s="52">
        <v>0</v>
      </c>
      <c r="AL35" s="52">
        <v>0</v>
      </c>
      <c r="AM35" s="52">
        <v>0</v>
      </c>
      <c r="AN35" s="52">
        <v>0</v>
      </c>
      <c r="AO35" s="52"/>
      <c r="AP35" s="52">
        <v>1</v>
      </c>
      <c r="AQ35" s="52">
        <v>0</v>
      </c>
      <c r="AR35" s="52">
        <v>0</v>
      </c>
      <c r="AS35" s="52">
        <v>0</v>
      </c>
      <c r="AT35" s="52">
        <v>0</v>
      </c>
      <c r="AU35" s="52">
        <v>0</v>
      </c>
      <c r="AV35" s="42">
        <v>4</v>
      </c>
      <c r="AW35" s="42"/>
      <c r="AX35" s="42">
        <v>4</v>
      </c>
      <c r="AY35" s="42">
        <v>1</v>
      </c>
      <c r="AZ35" s="42">
        <f t="shared" si="11"/>
        <v>9</v>
      </c>
      <c r="BA35" s="42">
        <v>4</v>
      </c>
      <c r="BB35" s="42">
        <v>1</v>
      </c>
      <c r="BC35" s="42">
        <f t="shared" si="12"/>
        <v>5</v>
      </c>
      <c r="BD35" s="42"/>
      <c r="BE35" s="42"/>
      <c r="BF35" s="42"/>
      <c r="BG35" s="42"/>
      <c r="BH35" s="42">
        <f t="shared" si="13"/>
        <v>0</v>
      </c>
      <c r="BI35" s="42">
        <v>2</v>
      </c>
      <c r="BJ35" s="42"/>
      <c r="BK35" s="42">
        <v>2</v>
      </c>
      <c r="BL35" s="42"/>
      <c r="BM35" s="42">
        <f t="shared" si="14"/>
        <v>18</v>
      </c>
    </row>
    <row r="36" s="29" customFormat="1" ht="30" customHeight="1" spans="1:65">
      <c r="A36" s="41">
        <v>15</v>
      </c>
      <c r="B36" s="42" t="s">
        <v>506</v>
      </c>
      <c r="C36" s="42" t="s">
        <v>158</v>
      </c>
      <c r="D36" s="41" t="s">
        <v>462</v>
      </c>
      <c r="E36" s="43" t="s">
        <v>507</v>
      </c>
      <c r="F36" s="42" t="s">
        <v>398</v>
      </c>
      <c r="G36" s="42" t="s">
        <v>417</v>
      </c>
      <c r="H36" s="42">
        <v>120.2</v>
      </c>
      <c r="I36" s="42">
        <v>1989</v>
      </c>
      <c r="J36" s="42">
        <v>2017</v>
      </c>
      <c r="K36" s="42">
        <v>7.652</v>
      </c>
      <c r="L36" s="42"/>
      <c r="M36" s="42"/>
      <c r="N36" s="42">
        <v>5.34</v>
      </c>
      <c r="O36" s="52" t="s">
        <v>400</v>
      </c>
      <c r="P36" s="52">
        <v>10</v>
      </c>
      <c r="Q36" s="52">
        <v>2</v>
      </c>
      <c r="R36" s="52" t="s">
        <v>401</v>
      </c>
      <c r="S36" s="52" t="s">
        <v>401</v>
      </c>
      <c r="T36" s="52">
        <v>20</v>
      </c>
      <c r="U36" s="52" t="s">
        <v>435</v>
      </c>
      <c r="V36" s="52" t="s">
        <v>403</v>
      </c>
      <c r="W36" s="52">
        <v>1</v>
      </c>
      <c r="X36" s="52">
        <v>0</v>
      </c>
      <c r="Y36" s="52">
        <v>1</v>
      </c>
      <c r="Z36" s="52">
        <v>1</v>
      </c>
      <c r="AA36" s="52">
        <v>0</v>
      </c>
      <c r="AB36" s="52">
        <v>4</v>
      </c>
      <c r="AC36" s="52">
        <v>0</v>
      </c>
      <c r="AD36" s="52">
        <v>4</v>
      </c>
      <c r="AE36" s="52">
        <v>2</v>
      </c>
      <c r="AF36" s="52">
        <v>0</v>
      </c>
      <c r="AG36" s="52">
        <v>3</v>
      </c>
      <c r="AH36" s="52">
        <v>0</v>
      </c>
      <c r="AI36" s="52">
        <v>0</v>
      </c>
      <c r="AJ36" s="52">
        <v>0</v>
      </c>
      <c r="AK36" s="52">
        <v>0</v>
      </c>
      <c r="AL36" s="52">
        <v>0</v>
      </c>
      <c r="AM36" s="52">
        <v>0</v>
      </c>
      <c r="AN36" s="52">
        <v>0</v>
      </c>
      <c r="AO36" s="52"/>
      <c r="AP36" s="52">
        <v>1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42">
        <v>5</v>
      </c>
      <c r="AW36" s="42"/>
      <c r="AX36" s="42">
        <v>5</v>
      </c>
      <c r="AY36" s="42">
        <v>1</v>
      </c>
      <c r="AZ36" s="42">
        <f t="shared" si="11"/>
        <v>11</v>
      </c>
      <c r="BA36" s="42">
        <v>11</v>
      </c>
      <c r="BB36" s="42">
        <v>1</v>
      </c>
      <c r="BC36" s="42">
        <f t="shared" si="12"/>
        <v>12</v>
      </c>
      <c r="BD36" s="42"/>
      <c r="BE36" s="42"/>
      <c r="BF36" s="42"/>
      <c r="BG36" s="42">
        <v>1</v>
      </c>
      <c r="BH36" s="42">
        <f t="shared" si="13"/>
        <v>1</v>
      </c>
      <c r="BI36" s="42">
        <v>4</v>
      </c>
      <c r="BJ36" s="42"/>
      <c r="BK36" s="42">
        <v>3</v>
      </c>
      <c r="BL36" s="42"/>
      <c r="BM36" s="42">
        <f t="shared" si="14"/>
        <v>31</v>
      </c>
    </row>
    <row r="37" s="29" customFormat="1" ht="30" customHeight="1" spans="1:65">
      <c r="A37" s="41">
        <v>16</v>
      </c>
      <c r="B37" s="42" t="s">
        <v>508</v>
      </c>
      <c r="C37" s="42" t="s">
        <v>509</v>
      </c>
      <c r="D37" s="41" t="s">
        <v>462</v>
      </c>
      <c r="E37" s="43" t="s">
        <v>510</v>
      </c>
      <c r="F37" s="42" t="s">
        <v>416</v>
      </c>
      <c r="G37" s="42" t="s">
        <v>417</v>
      </c>
      <c r="H37" s="42">
        <v>72.85</v>
      </c>
      <c r="I37" s="42">
        <v>1987</v>
      </c>
      <c r="J37" s="42">
        <v>2017</v>
      </c>
      <c r="K37" s="42">
        <v>12.019</v>
      </c>
      <c r="L37" s="42"/>
      <c r="M37" s="42"/>
      <c r="N37" s="55"/>
      <c r="O37" s="52" t="s">
        <v>400</v>
      </c>
      <c r="P37" s="52">
        <v>6.38</v>
      </c>
      <c r="Q37" s="52">
        <v>1</v>
      </c>
      <c r="R37" s="52" t="s">
        <v>401</v>
      </c>
      <c r="S37" s="52" t="s">
        <v>401</v>
      </c>
      <c r="T37" s="52">
        <v>35</v>
      </c>
      <c r="U37" s="52" t="s">
        <v>435</v>
      </c>
      <c r="V37" s="52" t="s">
        <v>403</v>
      </c>
      <c r="W37" s="52">
        <v>1</v>
      </c>
      <c r="X37" s="52">
        <v>0</v>
      </c>
      <c r="Y37" s="52">
        <v>1</v>
      </c>
      <c r="Z37" s="52">
        <v>1</v>
      </c>
      <c r="AA37" s="52">
        <v>0</v>
      </c>
      <c r="AB37" s="52">
        <v>2</v>
      </c>
      <c r="AC37" s="43">
        <v>1</v>
      </c>
      <c r="AD37" s="52">
        <v>0</v>
      </c>
      <c r="AE37" s="52">
        <v>1</v>
      </c>
      <c r="AF37" s="52">
        <v>0</v>
      </c>
      <c r="AG37" s="52">
        <v>1</v>
      </c>
      <c r="AH37" s="52">
        <v>0</v>
      </c>
      <c r="AI37" s="52">
        <v>0</v>
      </c>
      <c r="AJ37" s="52">
        <v>0</v>
      </c>
      <c r="AK37" s="52">
        <v>0</v>
      </c>
      <c r="AL37" s="52">
        <v>0</v>
      </c>
      <c r="AM37" s="52">
        <v>0</v>
      </c>
      <c r="AN37" s="52">
        <v>0</v>
      </c>
      <c r="AO37" s="52"/>
      <c r="AP37" s="52">
        <v>1</v>
      </c>
      <c r="AQ37" s="52">
        <v>0</v>
      </c>
      <c r="AR37" s="52">
        <v>0</v>
      </c>
      <c r="AS37" s="52">
        <v>0</v>
      </c>
      <c r="AT37" s="52">
        <v>0</v>
      </c>
      <c r="AU37" s="52">
        <v>0</v>
      </c>
      <c r="AV37" s="42">
        <v>5</v>
      </c>
      <c r="AW37" s="42"/>
      <c r="AX37" s="42">
        <v>4</v>
      </c>
      <c r="AY37" s="42">
        <v>1</v>
      </c>
      <c r="AZ37" s="42">
        <f t="shared" si="11"/>
        <v>10</v>
      </c>
      <c r="BA37" s="42">
        <v>5</v>
      </c>
      <c r="BB37" s="42">
        <v>1</v>
      </c>
      <c r="BC37" s="42">
        <f t="shared" si="12"/>
        <v>6</v>
      </c>
      <c r="BD37" s="42"/>
      <c r="BE37" s="42"/>
      <c r="BF37" s="42"/>
      <c r="BG37" s="42"/>
      <c r="BH37" s="42">
        <f t="shared" si="13"/>
        <v>0</v>
      </c>
      <c r="BI37" s="42">
        <v>2</v>
      </c>
      <c r="BJ37" s="42">
        <v>1</v>
      </c>
      <c r="BK37" s="42">
        <v>1</v>
      </c>
      <c r="BL37" s="42"/>
      <c r="BM37" s="42">
        <f t="shared" si="14"/>
        <v>20</v>
      </c>
    </row>
    <row r="38" s="29" customFormat="1" ht="30" customHeight="1" spans="1:65">
      <c r="A38" s="41">
        <v>17</v>
      </c>
      <c r="B38" s="42" t="s">
        <v>511</v>
      </c>
      <c r="C38" s="42" t="s">
        <v>512</v>
      </c>
      <c r="D38" s="41" t="s">
        <v>462</v>
      </c>
      <c r="E38" s="43" t="s">
        <v>513</v>
      </c>
      <c r="F38" s="42" t="s">
        <v>411</v>
      </c>
      <c r="G38" s="42" t="s">
        <v>399</v>
      </c>
      <c r="H38" s="42">
        <v>73.25</v>
      </c>
      <c r="I38" s="42">
        <v>1995</v>
      </c>
      <c r="J38" s="42">
        <v>2017</v>
      </c>
      <c r="K38" s="42">
        <v>6.36</v>
      </c>
      <c r="L38" s="42"/>
      <c r="M38" s="42"/>
      <c r="N38" s="42"/>
      <c r="O38" s="52" t="s">
        <v>400</v>
      </c>
      <c r="P38" s="43">
        <v>0</v>
      </c>
      <c r="Q38" s="52">
        <v>1</v>
      </c>
      <c r="R38" s="52" t="s">
        <v>401</v>
      </c>
      <c r="S38" s="52" t="s">
        <v>401</v>
      </c>
      <c r="T38" s="52">
        <v>32</v>
      </c>
      <c r="U38" s="52" t="s">
        <v>402</v>
      </c>
      <c r="V38" s="52" t="s">
        <v>403</v>
      </c>
      <c r="W38" s="52">
        <v>1</v>
      </c>
      <c r="X38" s="52">
        <v>0</v>
      </c>
      <c r="Y38" s="52">
        <v>1</v>
      </c>
      <c r="Z38" s="52">
        <v>1</v>
      </c>
      <c r="AA38" s="52">
        <v>0</v>
      </c>
      <c r="AB38" s="52">
        <v>2</v>
      </c>
      <c r="AC38" s="52">
        <v>0</v>
      </c>
      <c r="AD38" s="52">
        <v>4</v>
      </c>
      <c r="AE38" s="52">
        <v>2</v>
      </c>
      <c r="AF38" s="52">
        <v>0</v>
      </c>
      <c r="AG38" s="52">
        <v>0</v>
      </c>
      <c r="AH38" s="52">
        <v>0</v>
      </c>
      <c r="AI38" s="52">
        <v>0</v>
      </c>
      <c r="AJ38" s="52">
        <v>0</v>
      </c>
      <c r="AK38" s="52">
        <v>0</v>
      </c>
      <c r="AL38" s="52">
        <v>0</v>
      </c>
      <c r="AM38" s="52">
        <v>0</v>
      </c>
      <c r="AN38" s="52">
        <v>0</v>
      </c>
      <c r="AO38" s="52"/>
      <c r="AP38" s="52">
        <v>1</v>
      </c>
      <c r="AQ38" s="52">
        <v>0</v>
      </c>
      <c r="AR38" s="52">
        <v>0</v>
      </c>
      <c r="AS38" s="52">
        <v>0</v>
      </c>
      <c r="AT38" s="52">
        <v>0</v>
      </c>
      <c r="AU38" s="52">
        <v>1</v>
      </c>
      <c r="AV38" s="42">
        <v>3</v>
      </c>
      <c r="AW38" s="42">
        <v>0</v>
      </c>
      <c r="AX38" s="42">
        <v>4</v>
      </c>
      <c r="AY38" s="42">
        <v>1</v>
      </c>
      <c r="AZ38" s="42">
        <f t="shared" si="11"/>
        <v>8</v>
      </c>
      <c r="BA38" s="42">
        <v>5</v>
      </c>
      <c r="BB38" s="42">
        <v>1</v>
      </c>
      <c r="BC38" s="42">
        <f t="shared" si="12"/>
        <v>6</v>
      </c>
      <c r="BD38" s="42"/>
      <c r="BE38" s="42"/>
      <c r="BF38" s="42"/>
      <c r="BG38" s="42"/>
      <c r="BH38" s="42">
        <f t="shared" si="13"/>
        <v>0</v>
      </c>
      <c r="BI38" s="42">
        <v>2</v>
      </c>
      <c r="BJ38" s="42">
        <v>0</v>
      </c>
      <c r="BK38" s="42">
        <v>2</v>
      </c>
      <c r="BL38" s="42">
        <v>1</v>
      </c>
      <c r="BM38" s="42">
        <f t="shared" si="14"/>
        <v>19</v>
      </c>
    </row>
    <row r="39" s="29" customFormat="1" ht="30" customHeight="1" spans="1:65">
      <c r="A39" s="41">
        <v>18</v>
      </c>
      <c r="B39" s="42" t="s">
        <v>514</v>
      </c>
      <c r="C39" s="42" t="s">
        <v>154</v>
      </c>
      <c r="D39" s="41" t="s">
        <v>462</v>
      </c>
      <c r="E39" s="43" t="s">
        <v>515</v>
      </c>
      <c r="F39" s="42" t="s">
        <v>416</v>
      </c>
      <c r="G39" s="42" t="s">
        <v>399</v>
      </c>
      <c r="H39" s="42">
        <v>45.94</v>
      </c>
      <c r="I39" s="42">
        <v>1963</v>
      </c>
      <c r="J39" s="42">
        <v>2017</v>
      </c>
      <c r="K39" s="42">
        <v>2.97</v>
      </c>
      <c r="L39" s="42"/>
      <c r="M39" s="42"/>
      <c r="N39" s="42"/>
      <c r="O39" s="52" t="s">
        <v>400</v>
      </c>
      <c r="P39" s="52">
        <v>3.6</v>
      </c>
      <c r="Q39" s="52">
        <v>1</v>
      </c>
      <c r="R39" s="52" t="s">
        <v>401</v>
      </c>
      <c r="S39" s="52" t="s">
        <v>401</v>
      </c>
      <c r="T39" s="52">
        <v>11</v>
      </c>
      <c r="U39" s="52" t="s">
        <v>435</v>
      </c>
      <c r="V39" s="52" t="s">
        <v>403</v>
      </c>
      <c r="W39" s="52">
        <v>1</v>
      </c>
      <c r="X39" s="52">
        <v>0</v>
      </c>
      <c r="Y39" s="52">
        <v>1</v>
      </c>
      <c r="Z39" s="52">
        <v>1</v>
      </c>
      <c r="AA39" s="52">
        <v>12</v>
      </c>
      <c r="AB39" s="52">
        <v>2</v>
      </c>
      <c r="AC39" s="52">
        <v>1</v>
      </c>
      <c r="AD39" s="52">
        <v>3</v>
      </c>
      <c r="AE39" s="52">
        <v>2</v>
      </c>
      <c r="AF39" s="52">
        <v>0</v>
      </c>
      <c r="AG39" s="52">
        <v>2</v>
      </c>
      <c r="AH39" s="52">
        <v>0</v>
      </c>
      <c r="AI39" s="52">
        <v>0</v>
      </c>
      <c r="AJ39" s="52">
        <v>0</v>
      </c>
      <c r="AK39" s="52">
        <v>12</v>
      </c>
      <c r="AL39" s="52">
        <v>0</v>
      </c>
      <c r="AM39" s="52">
        <v>0</v>
      </c>
      <c r="AN39" s="52">
        <v>0</v>
      </c>
      <c r="AO39" s="52"/>
      <c r="AP39" s="52">
        <v>1</v>
      </c>
      <c r="AQ39" s="52">
        <v>0</v>
      </c>
      <c r="AR39" s="52">
        <v>0</v>
      </c>
      <c r="AS39" s="52">
        <v>0</v>
      </c>
      <c r="AT39" s="52">
        <v>0</v>
      </c>
      <c r="AU39" s="52">
        <v>0</v>
      </c>
      <c r="AV39" s="42">
        <v>3</v>
      </c>
      <c r="AW39" s="42"/>
      <c r="AX39" s="42">
        <v>4</v>
      </c>
      <c r="AY39" s="42">
        <v>1</v>
      </c>
      <c r="AZ39" s="42">
        <f t="shared" si="11"/>
        <v>8</v>
      </c>
      <c r="BA39" s="42">
        <v>6</v>
      </c>
      <c r="BB39" s="42">
        <v>1</v>
      </c>
      <c r="BC39" s="42">
        <f t="shared" si="12"/>
        <v>7</v>
      </c>
      <c r="BD39" s="42"/>
      <c r="BE39" s="42"/>
      <c r="BF39" s="42"/>
      <c r="BG39" s="42"/>
      <c r="BH39" s="42">
        <f t="shared" si="13"/>
        <v>0</v>
      </c>
      <c r="BI39" s="42">
        <v>2</v>
      </c>
      <c r="BJ39" s="42"/>
      <c r="BK39" s="42">
        <v>2</v>
      </c>
      <c r="BL39" s="42"/>
      <c r="BM39" s="42">
        <f t="shared" si="14"/>
        <v>19</v>
      </c>
    </row>
    <row r="40" s="29" customFormat="1" ht="30" customHeight="1" spans="1:65">
      <c r="A40" s="41">
        <v>19</v>
      </c>
      <c r="B40" s="42" t="s">
        <v>516</v>
      </c>
      <c r="C40" s="42" t="s">
        <v>517</v>
      </c>
      <c r="D40" s="41" t="s">
        <v>462</v>
      </c>
      <c r="E40" s="43" t="s">
        <v>518</v>
      </c>
      <c r="F40" s="42" t="s">
        <v>38</v>
      </c>
      <c r="G40" s="42" t="s">
        <v>417</v>
      </c>
      <c r="H40" s="42">
        <v>63.61</v>
      </c>
      <c r="I40" s="42">
        <v>1993</v>
      </c>
      <c r="J40" s="42">
        <v>2018</v>
      </c>
      <c r="K40" s="42">
        <v>5</v>
      </c>
      <c r="L40" s="42"/>
      <c r="M40" s="42"/>
      <c r="N40" s="42">
        <v>0</v>
      </c>
      <c r="O40" s="52" t="s">
        <v>400</v>
      </c>
      <c r="P40" s="52">
        <v>32</v>
      </c>
      <c r="Q40" s="52">
        <v>1</v>
      </c>
      <c r="R40" s="52" t="s">
        <v>401</v>
      </c>
      <c r="S40" s="52" t="s">
        <v>401</v>
      </c>
      <c r="T40" s="52">
        <v>30</v>
      </c>
      <c r="U40" s="52" t="s">
        <v>435</v>
      </c>
      <c r="V40" s="52" t="s">
        <v>403</v>
      </c>
      <c r="W40" s="52">
        <v>1</v>
      </c>
      <c r="X40" s="52">
        <v>0</v>
      </c>
      <c r="Y40" s="52">
        <v>1</v>
      </c>
      <c r="Z40" s="52">
        <v>1</v>
      </c>
      <c r="AA40" s="52">
        <v>14</v>
      </c>
      <c r="AB40" s="52">
        <v>2</v>
      </c>
      <c r="AC40" s="52">
        <v>0</v>
      </c>
      <c r="AD40" s="52">
        <v>3</v>
      </c>
      <c r="AE40" s="52">
        <v>2</v>
      </c>
      <c r="AF40" s="52">
        <v>0</v>
      </c>
      <c r="AG40" s="52">
        <v>2</v>
      </c>
      <c r="AH40" s="52">
        <v>0</v>
      </c>
      <c r="AI40" s="52">
        <v>0</v>
      </c>
      <c r="AJ40" s="52">
        <v>0</v>
      </c>
      <c r="AK40" s="52">
        <v>0</v>
      </c>
      <c r="AL40" s="52">
        <v>0</v>
      </c>
      <c r="AM40" s="52">
        <v>0</v>
      </c>
      <c r="AN40" s="52">
        <v>0</v>
      </c>
      <c r="AO40" s="52"/>
      <c r="AP40" s="52">
        <v>1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42">
        <v>6</v>
      </c>
      <c r="AW40" s="42">
        <v>0</v>
      </c>
      <c r="AX40" s="42">
        <v>8</v>
      </c>
      <c r="AY40" s="42">
        <v>1</v>
      </c>
      <c r="AZ40" s="42">
        <f t="shared" si="11"/>
        <v>15</v>
      </c>
      <c r="BA40" s="42">
        <v>3</v>
      </c>
      <c r="BB40" s="42">
        <v>1</v>
      </c>
      <c r="BC40" s="42">
        <f t="shared" si="12"/>
        <v>4</v>
      </c>
      <c r="BD40" s="42"/>
      <c r="BE40" s="42"/>
      <c r="BF40" s="42"/>
      <c r="BG40" s="42">
        <v>1</v>
      </c>
      <c r="BH40" s="42">
        <f t="shared" si="13"/>
        <v>1</v>
      </c>
      <c r="BI40" s="42">
        <v>4</v>
      </c>
      <c r="BJ40" s="42">
        <v>2</v>
      </c>
      <c r="BK40" s="42">
        <v>2</v>
      </c>
      <c r="BL40" s="42">
        <v>0</v>
      </c>
      <c r="BM40" s="42">
        <f t="shared" si="14"/>
        <v>28</v>
      </c>
    </row>
    <row r="41" s="29" customFormat="1" ht="30" customHeight="1" spans="1:65">
      <c r="A41" s="41">
        <v>20</v>
      </c>
      <c r="B41" s="42" t="s">
        <v>519</v>
      </c>
      <c r="C41" s="42" t="s">
        <v>520</v>
      </c>
      <c r="D41" s="41" t="s">
        <v>462</v>
      </c>
      <c r="E41" s="43" t="s">
        <v>521</v>
      </c>
      <c r="F41" s="42" t="s">
        <v>38</v>
      </c>
      <c r="G41" s="42" t="s">
        <v>417</v>
      </c>
      <c r="H41" s="42">
        <v>50</v>
      </c>
      <c r="I41" s="42">
        <v>1987</v>
      </c>
      <c r="J41" s="42">
        <v>2018</v>
      </c>
      <c r="K41" s="42">
        <v>6.2</v>
      </c>
      <c r="L41" s="42"/>
      <c r="M41" s="42"/>
      <c r="N41" s="42">
        <v>0</v>
      </c>
      <c r="O41" s="52"/>
      <c r="P41" s="43">
        <v>0</v>
      </c>
      <c r="Q41" s="52">
        <v>1</v>
      </c>
      <c r="R41" s="52" t="s">
        <v>401</v>
      </c>
      <c r="S41" s="52" t="s">
        <v>401</v>
      </c>
      <c r="T41" s="52">
        <v>29</v>
      </c>
      <c r="U41" s="52" t="s">
        <v>435</v>
      </c>
      <c r="V41" s="52" t="s">
        <v>403</v>
      </c>
      <c r="W41" s="52">
        <v>1</v>
      </c>
      <c r="X41" s="52">
        <v>0</v>
      </c>
      <c r="Y41" s="52">
        <v>1</v>
      </c>
      <c r="Z41" s="52">
        <v>1</v>
      </c>
      <c r="AA41" s="52">
        <v>0</v>
      </c>
      <c r="AB41" s="52">
        <v>0</v>
      </c>
      <c r="AC41" s="52">
        <v>1</v>
      </c>
      <c r="AD41" s="52">
        <v>5</v>
      </c>
      <c r="AE41" s="52">
        <v>2</v>
      </c>
      <c r="AF41" s="52">
        <v>0</v>
      </c>
      <c r="AG41" s="52">
        <v>2</v>
      </c>
      <c r="AH41" s="52">
        <v>0</v>
      </c>
      <c r="AI41" s="52">
        <v>0</v>
      </c>
      <c r="AJ41" s="52">
        <v>0</v>
      </c>
      <c r="AK41" s="52">
        <v>0</v>
      </c>
      <c r="AL41" s="52">
        <v>0</v>
      </c>
      <c r="AM41" s="52">
        <v>0</v>
      </c>
      <c r="AN41" s="52">
        <v>0</v>
      </c>
      <c r="AO41" s="52"/>
      <c r="AP41" s="52">
        <v>1</v>
      </c>
      <c r="AQ41" s="52">
        <v>0</v>
      </c>
      <c r="AR41" s="52">
        <v>0</v>
      </c>
      <c r="AS41" s="52">
        <v>0</v>
      </c>
      <c r="AT41" s="52">
        <v>0</v>
      </c>
      <c r="AU41" s="52">
        <v>0</v>
      </c>
      <c r="AV41" s="42">
        <v>3</v>
      </c>
      <c r="AW41" s="42"/>
      <c r="AX41" s="42">
        <v>3</v>
      </c>
      <c r="AY41" s="42">
        <v>1</v>
      </c>
      <c r="AZ41" s="42">
        <f t="shared" si="11"/>
        <v>7</v>
      </c>
      <c r="BA41" s="42">
        <v>5</v>
      </c>
      <c r="BB41" s="42">
        <v>1</v>
      </c>
      <c r="BC41" s="42">
        <f t="shared" si="12"/>
        <v>6</v>
      </c>
      <c r="BD41" s="42"/>
      <c r="BE41" s="42"/>
      <c r="BF41" s="42"/>
      <c r="BG41" s="42">
        <v>1</v>
      </c>
      <c r="BH41" s="42">
        <f t="shared" si="13"/>
        <v>1</v>
      </c>
      <c r="BI41" s="42">
        <v>2</v>
      </c>
      <c r="BJ41" s="42">
        <v>0</v>
      </c>
      <c r="BK41" s="42">
        <v>2</v>
      </c>
      <c r="BL41" s="42">
        <v>0</v>
      </c>
      <c r="BM41" s="42">
        <f t="shared" si="14"/>
        <v>18</v>
      </c>
    </row>
    <row r="42" s="29" customFormat="1" ht="30" customHeight="1" spans="1:65">
      <c r="A42" s="41">
        <v>21</v>
      </c>
      <c r="B42" s="42" t="s">
        <v>522</v>
      </c>
      <c r="C42" s="42" t="s">
        <v>187</v>
      </c>
      <c r="D42" s="41" t="s">
        <v>462</v>
      </c>
      <c r="E42" s="43" t="s">
        <v>523</v>
      </c>
      <c r="F42" s="42" t="s">
        <v>38</v>
      </c>
      <c r="G42" s="42" t="s">
        <v>399</v>
      </c>
      <c r="H42" s="42">
        <v>56.55</v>
      </c>
      <c r="I42" s="42">
        <v>1993</v>
      </c>
      <c r="J42" s="42">
        <v>2018</v>
      </c>
      <c r="K42" s="42">
        <v>3.872</v>
      </c>
      <c r="L42" s="42">
        <v>0</v>
      </c>
      <c r="M42" s="42"/>
      <c r="N42" s="42">
        <v>3.308</v>
      </c>
      <c r="O42" s="52" t="s">
        <v>400</v>
      </c>
      <c r="P42" s="52">
        <v>22</v>
      </c>
      <c r="Q42" s="52">
        <v>1</v>
      </c>
      <c r="R42" s="52" t="s">
        <v>401</v>
      </c>
      <c r="S42" s="52" t="s">
        <v>401</v>
      </c>
      <c r="T42" s="52">
        <v>10</v>
      </c>
      <c r="U42" s="52" t="s">
        <v>435</v>
      </c>
      <c r="V42" s="52" t="s">
        <v>403</v>
      </c>
      <c r="W42" s="52">
        <v>1</v>
      </c>
      <c r="X42" s="52">
        <v>0</v>
      </c>
      <c r="Y42" s="52">
        <v>1</v>
      </c>
      <c r="Z42" s="52">
        <v>1</v>
      </c>
      <c r="AA42" s="52">
        <v>8</v>
      </c>
      <c r="AB42" s="52">
        <v>2</v>
      </c>
      <c r="AC42" s="52">
        <v>1</v>
      </c>
      <c r="AD42" s="52">
        <v>2</v>
      </c>
      <c r="AE42" s="52">
        <v>2</v>
      </c>
      <c r="AF42" s="52">
        <v>0</v>
      </c>
      <c r="AG42" s="52">
        <v>2</v>
      </c>
      <c r="AH42" s="52">
        <v>0</v>
      </c>
      <c r="AI42" s="52">
        <v>0</v>
      </c>
      <c r="AJ42" s="52">
        <v>0</v>
      </c>
      <c r="AK42" s="52">
        <v>0</v>
      </c>
      <c r="AL42" s="52">
        <v>0</v>
      </c>
      <c r="AM42" s="52">
        <v>0</v>
      </c>
      <c r="AN42" s="52">
        <v>0</v>
      </c>
      <c r="AO42" s="52"/>
      <c r="AP42" s="52">
        <v>1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42">
        <v>4</v>
      </c>
      <c r="AW42" s="42">
        <v>0</v>
      </c>
      <c r="AX42" s="42">
        <v>3</v>
      </c>
      <c r="AY42" s="42">
        <v>1</v>
      </c>
      <c r="AZ42" s="42">
        <f t="shared" si="11"/>
        <v>8</v>
      </c>
      <c r="BA42" s="42">
        <v>3</v>
      </c>
      <c r="BB42" s="42">
        <v>1</v>
      </c>
      <c r="BC42" s="42">
        <f t="shared" si="12"/>
        <v>4</v>
      </c>
      <c r="BD42" s="42"/>
      <c r="BE42" s="42"/>
      <c r="BF42" s="42"/>
      <c r="BG42" s="42">
        <v>1</v>
      </c>
      <c r="BH42" s="42">
        <f t="shared" si="13"/>
        <v>1</v>
      </c>
      <c r="BI42" s="42">
        <v>3</v>
      </c>
      <c r="BJ42" s="42">
        <v>0</v>
      </c>
      <c r="BK42" s="42">
        <v>1</v>
      </c>
      <c r="BL42" s="42">
        <v>0</v>
      </c>
      <c r="BM42" s="42">
        <f t="shared" si="14"/>
        <v>17</v>
      </c>
    </row>
    <row r="43" s="29" customFormat="1" ht="30" customHeight="1" spans="1:65">
      <c r="A43" s="41">
        <v>22</v>
      </c>
      <c r="B43" s="42" t="s">
        <v>524</v>
      </c>
      <c r="C43" s="42" t="s">
        <v>525</v>
      </c>
      <c r="D43" s="41" t="s">
        <v>462</v>
      </c>
      <c r="E43" s="43" t="s">
        <v>526</v>
      </c>
      <c r="F43" s="42" t="s">
        <v>398</v>
      </c>
      <c r="G43" s="42" t="s">
        <v>417</v>
      </c>
      <c r="H43" s="42">
        <v>72</v>
      </c>
      <c r="I43" s="42">
        <v>2004</v>
      </c>
      <c r="J43" s="42">
        <v>2017</v>
      </c>
      <c r="K43" s="42">
        <v>8.27</v>
      </c>
      <c r="L43" s="42"/>
      <c r="M43" s="42"/>
      <c r="N43" s="42"/>
      <c r="O43" s="52" t="s">
        <v>400</v>
      </c>
      <c r="P43" s="43">
        <v>0</v>
      </c>
      <c r="Q43" s="52">
        <v>1</v>
      </c>
      <c r="R43" s="52" t="s">
        <v>401</v>
      </c>
      <c r="S43" s="52" t="s">
        <v>401</v>
      </c>
      <c r="T43" s="52">
        <v>47</v>
      </c>
      <c r="U43" s="52" t="s">
        <v>402</v>
      </c>
      <c r="V43" s="52" t="s">
        <v>527</v>
      </c>
      <c r="W43" s="52">
        <v>1</v>
      </c>
      <c r="X43" s="52">
        <v>0</v>
      </c>
      <c r="Y43" s="52">
        <v>1</v>
      </c>
      <c r="Z43" s="52">
        <v>1</v>
      </c>
      <c r="AA43" s="52">
        <v>10</v>
      </c>
      <c r="AB43" s="52">
        <v>4</v>
      </c>
      <c r="AC43" s="52">
        <v>1</v>
      </c>
      <c r="AD43" s="52">
        <v>2</v>
      </c>
      <c r="AE43" s="52">
        <v>2</v>
      </c>
      <c r="AF43" s="52">
        <v>0</v>
      </c>
      <c r="AG43" s="52">
        <v>2</v>
      </c>
      <c r="AH43" s="52">
        <v>0</v>
      </c>
      <c r="AI43" s="52">
        <v>0</v>
      </c>
      <c r="AJ43" s="52">
        <v>0</v>
      </c>
      <c r="AK43" s="52">
        <v>0</v>
      </c>
      <c r="AL43" s="52">
        <v>0</v>
      </c>
      <c r="AM43" s="52">
        <v>0</v>
      </c>
      <c r="AN43" s="52">
        <v>0</v>
      </c>
      <c r="AO43" s="52"/>
      <c r="AP43" s="52">
        <v>1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42">
        <v>6</v>
      </c>
      <c r="AW43" s="42"/>
      <c r="AX43" s="42">
        <v>4</v>
      </c>
      <c r="AY43" s="42">
        <v>1</v>
      </c>
      <c r="AZ43" s="42">
        <f t="shared" si="11"/>
        <v>11</v>
      </c>
      <c r="BA43" s="42">
        <v>4</v>
      </c>
      <c r="BB43" s="42">
        <v>1</v>
      </c>
      <c r="BC43" s="42">
        <f t="shared" si="12"/>
        <v>5</v>
      </c>
      <c r="BD43" s="42"/>
      <c r="BE43" s="42"/>
      <c r="BF43" s="42"/>
      <c r="BG43" s="42"/>
      <c r="BH43" s="42">
        <f t="shared" si="13"/>
        <v>0</v>
      </c>
      <c r="BI43" s="42">
        <v>4</v>
      </c>
      <c r="BJ43" s="42"/>
      <c r="BK43" s="42">
        <v>2</v>
      </c>
      <c r="BL43" s="42"/>
      <c r="BM43" s="42">
        <f t="shared" si="14"/>
        <v>22</v>
      </c>
    </row>
    <row r="44" s="29" customFormat="1" ht="30" customHeight="1" spans="1:65">
      <c r="A44" s="41">
        <v>23</v>
      </c>
      <c r="B44" s="42" t="s">
        <v>528</v>
      </c>
      <c r="C44" s="42" t="s">
        <v>529</v>
      </c>
      <c r="D44" s="41" t="s">
        <v>462</v>
      </c>
      <c r="E44" s="43" t="s">
        <v>530</v>
      </c>
      <c r="F44" s="42" t="s">
        <v>18</v>
      </c>
      <c r="G44" s="42" t="s">
        <v>417</v>
      </c>
      <c r="H44" s="42">
        <v>60.8</v>
      </c>
      <c r="I44" s="42">
        <v>1991</v>
      </c>
      <c r="J44" s="42">
        <v>2017</v>
      </c>
      <c r="K44" s="42">
        <v>3.429</v>
      </c>
      <c r="L44" s="42">
        <v>1.505</v>
      </c>
      <c r="M44" s="42">
        <v>6.702</v>
      </c>
      <c r="N44" s="42"/>
      <c r="O44" s="52" t="s">
        <v>400</v>
      </c>
      <c r="P44" s="52">
        <v>6.2</v>
      </c>
      <c r="Q44" s="52">
        <v>1</v>
      </c>
      <c r="R44" s="52" t="s">
        <v>401</v>
      </c>
      <c r="S44" s="52" t="s">
        <v>401</v>
      </c>
      <c r="T44" s="52">
        <v>27</v>
      </c>
      <c r="U44" s="52" t="s">
        <v>402</v>
      </c>
      <c r="V44" s="52" t="s">
        <v>403</v>
      </c>
      <c r="W44" s="52">
        <v>1</v>
      </c>
      <c r="X44" s="52">
        <v>0</v>
      </c>
      <c r="Y44" s="52">
        <v>1</v>
      </c>
      <c r="Z44" s="52">
        <v>1</v>
      </c>
      <c r="AA44" s="52">
        <v>0</v>
      </c>
      <c r="AB44" s="52">
        <v>0</v>
      </c>
      <c r="AC44" s="52">
        <v>0</v>
      </c>
      <c r="AD44" s="52">
        <v>0</v>
      </c>
      <c r="AE44" s="52">
        <v>0</v>
      </c>
      <c r="AF44" s="52">
        <v>0</v>
      </c>
      <c r="AG44" s="52">
        <v>0</v>
      </c>
      <c r="AH44" s="52">
        <v>0</v>
      </c>
      <c r="AI44" s="52">
        <v>0</v>
      </c>
      <c r="AJ44" s="52">
        <v>0</v>
      </c>
      <c r="AK44" s="52">
        <v>0</v>
      </c>
      <c r="AL44" s="52">
        <v>0</v>
      </c>
      <c r="AM44" s="52">
        <v>0</v>
      </c>
      <c r="AN44" s="52">
        <v>0</v>
      </c>
      <c r="AO44" s="52"/>
      <c r="AP44" s="52">
        <v>1</v>
      </c>
      <c r="AQ44" s="52">
        <v>0</v>
      </c>
      <c r="AR44" s="52">
        <v>0</v>
      </c>
      <c r="AS44" s="52">
        <v>0</v>
      </c>
      <c r="AT44" s="52">
        <v>0</v>
      </c>
      <c r="AU44" s="52">
        <v>1</v>
      </c>
      <c r="AV44" s="42">
        <v>3</v>
      </c>
      <c r="AW44" s="42"/>
      <c r="AX44" s="42">
        <v>3</v>
      </c>
      <c r="AY44" s="42">
        <v>0</v>
      </c>
      <c r="AZ44" s="42">
        <f t="shared" si="11"/>
        <v>6</v>
      </c>
      <c r="BA44" s="42">
        <v>4</v>
      </c>
      <c r="BB44" s="42">
        <v>1</v>
      </c>
      <c r="BC44" s="42">
        <f t="shared" si="12"/>
        <v>5</v>
      </c>
      <c r="BD44" s="42"/>
      <c r="BE44" s="42"/>
      <c r="BF44" s="42"/>
      <c r="BG44" s="42"/>
      <c r="BH44" s="42">
        <f t="shared" si="13"/>
        <v>0</v>
      </c>
      <c r="BI44" s="42">
        <v>3</v>
      </c>
      <c r="BJ44" s="42">
        <v>2</v>
      </c>
      <c r="BK44" s="42">
        <v>2</v>
      </c>
      <c r="BL44" s="42"/>
      <c r="BM44" s="42">
        <f t="shared" si="14"/>
        <v>18</v>
      </c>
    </row>
    <row r="45" s="29" customFormat="1" ht="30" customHeight="1" spans="1:65">
      <c r="A45" s="41">
        <v>24</v>
      </c>
      <c r="B45" s="42" t="s">
        <v>531</v>
      </c>
      <c r="C45" s="42" t="s">
        <v>532</v>
      </c>
      <c r="D45" s="41" t="s">
        <v>462</v>
      </c>
      <c r="E45" s="43" t="s">
        <v>533</v>
      </c>
      <c r="F45" s="42" t="s">
        <v>18</v>
      </c>
      <c r="G45" s="42" t="s">
        <v>417</v>
      </c>
      <c r="H45" s="42">
        <v>50</v>
      </c>
      <c r="I45" s="42">
        <v>1996</v>
      </c>
      <c r="J45" s="42">
        <v>2017</v>
      </c>
      <c r="K45" s="42">
        <v>3.725</v>
      </c>
      <c r="L45" s="42"/>
      <c r="M45" s="42"/>
      <c r="N45" s="42"/>
      <c r="O45" s="52" t="s">
        <v>400</v>
      </c>
      <c r="P45" s="52">
        <v>29.5</v>
      </c>
      <c r="Q45" s="52">
        <v>1</v>
      </c>
      <c r="R45" s="52" t="s">
        <v>401</v>
      </c>
      <c r="S45" s="52" t="s">
        <v>401</v>
      </c>
      <c r="T45" s="52">
        <v>9</v>
      </c>
      <c r="U45" s="52" t="s">
        <v>435</v>
      </c>
      <c r="V45" s="52" t="s">
        <v>403</v>
      </c>
      <c r="W45" s="52">
        <v>1</v>
      </c>
      <c r="X45" s="52">
        <v>0</v>
      </c>
      <c r="Y45" s="52">
        <v>1</v>
      </c>
      <c r="Z45" s="52">
        <v>1</v>
      </c>
      <c r="AA45" s="52">
        <v>0</v>
      </c>
      <c r="AB45" s="52">
        <v>2</v>
      </c>
      <c r="AC45" s="52">
        <v>1</v>
      </c>
      <c r="AD45" s="52">
        <v>3</v>
      </c>
      <c r="AE45" s="52">
        <v>2</v>
      </c>
      <c r="AF45" s="52">
        <v>0</v>
      </c>
      <c r="AG45" s="52">
        <v>0</v>
      </c>
      <c r="AH45" s="52">
        <v>0</v>
      </c>
      <c r="AI45" s="52">
        <v>0</v>
      </c>
      <c r="AJ45" s="52">
        <v>0</v>
      </c>
      <c r="AK45" s="52">
        <v>0</v>
      </c>
      <c r="AL45" s="52">
        <v>0</v>
      </c>
      <c r="AM45" s="52">
        <v>0</v>
      </c>
      <c r="AN45" s="52">
        <v>0</v>
      </c>
      <c r="AO45" s="52"/>
      <c r="AP45" s="52">
        <v>1</v>
      </c>
      <c r="AQ45" s="52">
        <v>0</v>
      </c>
      <c r="AR45" s="52">
        <v>0</v>
      </c>
      <c r="AS45" s="52">
        <v>0</v>
      </c>
      <c r="AT45" s="52">
        <v>0</v>
      </c>
      <c r="AU45" s="52">
        <v>0</v>
      </c>
      <c r="AV45" s="42">
        <v>4</v>
      </c>
      <c r="AW45" s="42"/>
      <c r="AX45" s="42">
        <v>3</v>
      </c>
      <c r="AY45" s="42">
        <v>1</v>
      </c>
      <c r="AZ45" s="42">
        <f t="shared" si="11"/>
        <v>8</v>
      </c>
      <c r="BA45" s="42">
        <v>4</v>
      </c>
      <c r="BB45" s="42">
        <v>1</v>
      </c>
      <c r="BC45" s="42">
        <f t="shared" si="12"/>
        <v>5</v>
      </c>
      <c r="BD45" s="42"/>
      <c r="BE45" s="42"/>
      <c r="BF45" s="42"/>
      <c r="BG45" s="42"/>
      <c r="BH45" s="42">
        <f t="shared" si="13"/>
        <v>0</v>
      </c>
      <c r="BI45" s="42">
        <v>2</v>
      </c>
      <c r="BJ45" s="42"/>
      <c r="BK45" s="42">
        <v>2</v>
      </c>
      <c r="BL45" s="42"/>
      <c r="BM45" s="42">
        <f t="shared" si="14"/>
        <v>17</v>
      </c>
    </row>
    <row r="46" s="29" customFormat="1" ht="30" customHeight="1" spans="1:65">
      <c r="A46" s="41">
        <v>25</v>
      </c>
      <c r="B46" s="42" t="s">
        <v>534</v>
      </c>
      <c r="C46" s="42" t="s">
        <v>535</v>
      </c>
      <c r="D46" s="41" t="s">
        <v>462</v>
      </c>
      <c r="E46" s="43" t="s">
        <v>536</v>
      </c>
      <c r="F46" s="42" t="s">
        <v>491</v>
      </c>
      <c r="G46" s="42" t="s">
        <v>399</v>
      </c>
      <c r="H46" s="42">
        <v>47.6</v>
      </c>
      <c r="I46" s="42">
        <v>1990</v>
      </c>
      <c r="J46" s="42">
        <v>2017</v>
      </c>
      <c r="K46" s="42">
        <v>10.55</v>
      </c>
      <c r="L46" s="42"/>
      <c r="M46" s="42"/>
      <c r="N46" s="42"/>
      <c r="O46" s="52" t="s">
        <v>400</v>
      </c>
      <c r="P46" s="52">
        <v>15</v>
      </c>
      <c r="Q46" s="52">
        <v>1</v>
      </c>
      <c r="R46" s="52" t="s">
        <v>401</v>
      </c>
      <c r="S46" s="52" t="s">
        <v>401</v>
      </c>
      <c r="T46" s="52">
        <v>7</v>
      </c>
      <c r="U46" s="52" t="s">
        <v>435</v>
      </c>
      <c r="V46" s="52" t="s">
        <v>403</v>
      </c>
      <c r="W46" s="52">
        <v>1</v>
      </c>
      <c r="X46" s="52">
        <v>0</v>
      </c>
      <c r="Y46" s="52">
        <v>1</v>
      </c>
      <c r="Z46" s="52">
        <v>1</v>
      </c>
      <c r="AA46" s="52">
        <v>6</v>
      </c>
      <c r="AB46" s="52">
        <v>2</v>
      </c>
      <c r="AC46" s="52">
        <v>0</v>
      </c>
      <c r="AD46" s="52">
        <v>2</v>
      </c>
      <c r="AE46" s="52">
        <v>2</v>
      </c>
      <c r="AF46" s="52">
        <v>0</v>
      </c>
      <c r="AG46" s="52">
        <v>2</v>
      </c>
      <c r="AH46" s="52">
        <v>0</v>
      </c>
      <c r="AI46" s="52">
        <v>0</v>
      </c>
      <c r="AJ46" s="52">
        <v>0</v>
      </c>
      <c r="AK46" s="52">
        <v>0</v>
      </c>
      <c r="AL46" s="52">
        <v>0</v>
      </c>
      <c r="AM46" s="52">
        <v>0</v>
      </c>
      <c r="AN46" s="52">
        <v>0</v>
      </c>
      <c r="AO46" s="52"/>
      <c r="AP46" s="52"/>
      <c r="AQ46" s="52"/>
      <c r="AR46" s="52"/>
      <c r="AS46" s="52"/>
      <c r="AT46" s="52"/>
      <c r="AU46" s="52"/>
      <c r="AV46" s="42">
        <v>2</v>
      </c>
      <c r="AW46" s="42"/>
      <c r="AX46" s="42">
        <v>1</v>
      </c>
      <c r="AY46" s="42">
        <v>1</v>
      </c>
      <c r="AZ46" s="42">
        <f t="shared" si="11"/>
        <v>4</v>
      </c>
      <c r="BA46" s="42">
        <v>2</v>
      </c>
      <c r="BB46" s="42">
        <v>2</v>
      </c>
      <c r="BC46" s="42">
        <f t="shared" si="12"/>
        <v>4</v>
      </c>
      <c r="BD46" s="42"/>
      <c r="BE46" s="42"/>
      <c r="BF46" s="42"/>
      <c r="BG46" s="42"/>
      <c r="BH46" s="42">
        <f t="shared" si="13"/>
        <v>0</v>
      </c>
      <c r="BI46" s="42">
        <v>2</v>
      </c>
      <c r="BJ46" s="42"/>
      <c r="BK46" s="42">
        <v>1</v>
      </c>
      <c r="BL46" s="42"/>
      <c r="BM46" s="42">
        <f t="shared" si="14"/>
        <v>11</v>
      </c>
    </row>
    <row r="47" s="29" customFormat="1" ht="30" customHeight="1" spans="1:65">
      <c r="A47" s="41">
        <v>26</v>
      </c>
      <c r="B47" s="42" t="s">
        <v>537</v>
      </c>
      <c r="C47" s="42" t="s">
        <v>136</v>
      </c>
      <c r="D47" s="41" t="s">
        <v>462</v>
      </c>
      <c r="E47" s="43" t="s">
        <v>538</v>
      </c>
      <c r="F47" s="42" t="s">
        <v>18</v>
      </c>
      <c r="G47" s="42" t="s">
        <v>417</v>
      </c>
      <c r="H47" s="42">
        <v>51.5</v>
      </c>
      <c r="I47" s="42">
        <v>1990</v>
      </c>
      <c r="J47" s="42">
        <v>2017</v>
      </c>
      <c r="K47" s="42">
        <v>4.448</v>
      </c>
      <c r="L47" s="42"/>
      <c r="M47" s="42"/>
      <c r="N47" s="42"/>
      <c r="O47" s="52" t="s">
        <v>400</v>
      </c>
      <c r="P47" s="52">
        <v>9</v>
      </c>
      <c r="Q47" s="52">
        <v>1</v>
      </c>
      <c r="R47" s="52" t="s">
        <v>401</v>
      </c>
      <c r="S47" s="52" t="s">
        <v>401</v>
      </c>
      <c r="T47" s="52">
        <v>12</v>
      </c>
      <c r="U47" s="52" t="s">
        <v>435</v>
      </c>
      <c r="V47" s="52" t="s">
        <v>403</v>
      </c>
      <c r="W47" s="52">
        <v>1</v>
      </c>
      <c r="X47" s="52">
        <v>0</v>
      </c>
      <c r="Y47" s="52">
        <v>1</v>
      </c>
      <c r="Z47" s="52">
        <v>1</v>
      </c>
      <c r="AA47" s="52">
        <v>0</v>
      </c>
      <c r="AB47" s="52">
        <v>2</v>
      </c>
      <c r="AC47" s="52">
        <v>0</v>
      </c>
      <c r="AD47" s="52">
        <v>2</v>
      </c>
      <c r="AE47" s="52">
        <v>2</v>
      </c>
      <c r="AF47" s="52">
        <v>0</v>
      </c>
      <c r="AG47" s="52">
        <v>2</v>
      </c>
      <c r="AH47" s="52">
        <v>0</v>
      </c>
      <c r="AI47" s="52">
        <v>0</v>
      </c>
      <c r="AJ47" s="52">
        <v>0</v>
      </c>
      <c r="AK47" s="52">
        <v>8</v>
      </c>
      <c r="AL47" s="52">
        <v>0</v>
      </c>
      <c r="AM47" s="52">
        <v>0</v>
      </c>
      <c r="AN47" s="52">
        <v>0</v>
      </c>
      <c r="AO47" s="52"/>
      <c r="AP47" s="52">
        <v>1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42">
        <v>4</v>
      </c>
      <c r="AW47" s="42"/>
      <c r="AX47" s="42">
        <v>4</v>
      </c>
      <c r="AY47" s="42">
        <v>1</v>
      </c>
      <c r="AZ47" s="42">
        <f t="shared" si="11"/>
        <v>9</v>
      </c>
      <c r="BA47" s="42">
        <v>2</v>
      </c>
      <c r="BB47" s="42">
        <v>1</v>
      </c>
      <c r="BC47" s="42">
        <f t="shared" si="12"/>
        <v>3</v>
      </c>
      <c r="BD47" s="42"/>
      <c r="BE47" s="42"/>
      <c r="BF47" s="42"/>
      <c r="BG47" s="42"/>
      <c r="BH47" s="42">
        <f t="shared" si="13"/>
        <v>0</v>
      </c>
      <c r="BI47" s="42">
        <v>3</v>
      </c>
      <c r="BJ47" s="42"/>
      <c r="BK47" s="42">
        <v>1</v>
      </c>
      <c r="BL47" s="42"/>
      <c r="BM47" s="42">
        <f t="shared" si="14"/>
        <v>16</v>
      </c>
    </row>
    <row r="48" s="29" customFormat="1" ht="30" customHeight="1" spans="1:65">
      <c r="A48" s="41">
        <v>27</v>
      </c>
      <c r="B48" s="42" t="s">
        <v>539</v>
      </c>
      <c r="C48" s="42" t="s">
        <v>540</v>
      </c>
      <c r="D48" s="41" t="s">
        <v>462</v>
      </c>
      <c r="E48" s="43" t="s">
        <v>541</v>
      </c>
      <c r="F48" s="42" t="s">
        <v>491</v>
      </c>
      <c r="G48" s="42" t="s">
        <v>399</v>
      </c>
      <c r="H48" s="42">
        <v>76.04</v>
      </c>
      <c r="I48" s="42">
        <v>1985</v>
      </c>
      <c r="J48" s="42">
        <v>2018</v>
      </c>
      <c r="K48" s="42">
        <v>3.52</v>
      </c>
      <c r="L48" s="42"/>
      <c r="M48" s="42"/>
      <c r="N48" s="42"/>
      <c r="O48" s="52" t="s">
        <v>400</v>
      </c>
      <c r="P48" s="52">
        <v>40</v>
      </c>
      <c r="Q48" s="52">
        <v>1</v>
      </c>
      <c r="R48" s="52" t="s">
        <v>401</v>
      </c>
      <c r="S48" s="52" t="s">
        <v>401</v>
      </c>
      <c r="T48" s="52">
        <v>8</v>
      </c>
      <c r="U48" s="52" t="s">
        <v>435</v>
      </c>
      <c r="V48" s="52" t="s">
        <v>403</v>
      </c>
      <c r="W48" s="52">
        <v>1</v>
      </c>
      <c r="X48" s="52">
        <v>0</v>
      </c>
      <c r="Y48" s="52">
        <v>1</v>
      </c>
      <c r="Z48" s="52">
        <v>1</v>
      </c>
      <c r="AA48" s="52">
        <v>10</v>
      </c>
      <c r="AB48" s="52">
        <v>2</v>
      </c>
      <c r="AC48" s="52">
        <v>0</v>
      </c>
      <c r="AD48" s="52">
        <v>2</v>
      </c>
      <c r="AE48" s="52">
        <v>2</v>
      </c>
      <c r="AF48" s="52">
        <v>0</v>
      </c>
      <c r="AG48" s="52">
        <v>2</v>
      </c>
      <c r="AH48" s="52">
        <v>0</v>
      </c>
      <c r="AI48" s="52">
        <v>0</v>
      </c>
      <c r="AJ48" s="52">
        <v>0</v>
      </c>
      <c r="AK48" s="52">
        <v>10</v>
      </c>
      <c r="AL48" s="52">
        <v>0</v>
      </c>
      <c r="AM48" s="52">
        <v>0</v>
      </c>
      <c r="AN48" s="52">
        <v>0</v>
      </c>
      <c r="AO48" s="52"/>
      <c r="AP48" s="52">
        <v>1</v>
      </c>
      <c r="AQ48" s="52">
        <v>0</v>
      </c>
      <c r="AR48" s="52">
        <v>0</v>
      </c>
      <c r="AS48" s="52">
        <v>0</v>
      </c>
      <c r="AT48" s="52">
        <v>0</v>
      </c>
      <c r="AU48" s="52">
        <v>0</v>
      </c>
      <c r="AV48" s="42">
        <v>3</v>
      </c>
      <c r="AW48" s="42"/>
      <c r="AX48" s="42">
        <v>2</v>
      </c>
      <c r="AY48" s="42">
        <v>1</v>
      </c>
      <c r="AZ48" s="42">
        <f t="shared" si="11"/>
        <v>6</v>
      </c>
      <c r="BA48" s="42">
        <v>6</v>
      </c>
      <c r="BB48" s="42">
        <v>1</v>
      </c>
      <c r="BC48" s="42">
        <f t="shared" si="12"/>
        <v>7</v>
      </c>
      <c r="BD48" s="42"/>
      <c r="BE48" s="42"/>
      <c r="BF48" s="42"/>
      <c r="BG48" s="42"/>
      <c r="BH48" s="42">
        <f t="shared" si="13"/>
        <v>0</v>
      </c>
      <c r="BI48" s="42">
        <v>2</v>
      </c>
      <c r="BJ48" s="42">
        <v>2</v>
      </c>
      <c r="BK48" s="42">
        <v>1</v>
      </c>
      <c r="BL48" s="42"/>
      <c r="BM48" s="42">
        <f t="shared" si="14"/>
        <v>18</v>
      </c>
    </row>
    <row r="49" s="29" customFormat="1" ht="30" customHeight="1" spans="1:65">
      <c r="A49" s="41">
        <v>28</v>
      </c>
      <c r="B49" s="42" t="s">
        <v>542</v>
      </c>
      <c r="C49" s="42" t="s">
        <v>150</v>
      </c>
      <c r="D49" s="41" t="s">
        <v>462</v>
      </c>
      <c r="E49" s="43" t="s">
        <v>543</v>
      </c>
      <c r="F49" s="42" t="s">
        <v>38</v>
      </c>
      <c r="G49" s="42" t="s">
        <v>399</v>
      </c>
      <c r="H49" s="42">
        <v>50</v>
      </c>
      <c r="I49" s="42">
        <v>1990</v>
      </c>
      <c r="J49" s="42">
        <v>2018</v>
      </c>
      <c r="K49" s="42">
        <v>3.269</v>
      </c>
      <c r="L49" s="42"/>
      <c r="M49" s="42"/>
      <c r="N49" s="42"/>
      <c r="O49" s="52" t="s">
        <v>400</v>
      </c>
      <c r="P49" s="52">
        <v>7.13</v>
      </c>
      <c r="Q49" s="52">
        <v>1</v>
      </c>
      <c r="R49" s="52" t="s">
        <v>401</v>
      </c>
      <c r="S49" s="52" t="s">
        <v>401</v>
      </c>
      <c r="T49" s="52">
        <v>8</v>
      </c>
      <c r="U49" s="52" t="s">
        <v>435</v>
      </c>
      <c r="V49" s="52" t="s">
        <v>403</v>
      </c>
      <c r="W49" s="52">
        <v>1</v>
      </c>
      <c r="X49" s="52">
        <v>0</v>
      </c>
      <c r="Y49" s="52">
        <v>1</v>
      </c>
      <c r="Z49" s="52">
        <v>1</v>
      </c>
      <c r="AA49" s="52">
        <v>4</v>
      </c>
      <c r="AB49" s="52">
        <v>4</v>
      </c>
      <c r="AC49" s="52">
        <v>1</v>
      </c>
      <c r="AD49" s="52">
        <v>2</v>
      </c>
      <c r="AE49" s="52">
        <v>0</v>
      </c>
      <c r="AF49" s="52">
        <v>0</v>
      </c>
      <c r="AG49" s="52">
        <v>2</v>
      </c>
      <c r="AH49" s="52">
        <v>0</v>
      </c>
      <c r="AI49" s="52">
        <v>0</v>
      </c>
      <c r="AJ49" s="52">
        <v>0</v>
      </c>
      <c r="AK49" s="52">
        <v>0</v>
      </c>
      <c r="AL49" s="52">
        <v>0</v>
      </c>
      <c r="AM49" s="52">
        <v>0</v>
      </c>
      <c r="AN49" s="52">
        <v>0</v>
      </c>
      <c r="AO49" s="52"/>
      <c r="AP49" s="52">
        <v>1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42">
        <v>2</v>
      </c>
      <c r="AW49" s="42">
        <v>0</v>
      </c>
      <c r="AX49" s="42">
        <v>4</v>
      </c>
      <c r="AY49" s="42">
        <v>1</v>
      </c>
      <c r="AZ49" s="42">
        <f t="shared" si="11"/>
        <v>7</v>
      </c>
      <c r="BA49" s="42">
        <v>4</v>
      </c>
      <c r="BB49" s="42">
        <v>1</v>
      </c>
      <c r="BC49" s="42">
        <f t="shared" si="12"/>
        <v>5</v>
      </c>
      <c r="BD49" s="42"/>
      <c r="BE49" s="42"/>
      <c r="BF49" s="42"/>
      <c r="BG49" s="42"/>
      <c r="BH49" s="42">
        <f t="shared" si="13"/>
        <v>0</v>
      </c>
      <c r="BI49" s="42">
        <v>2</v>
      </c>
      <c r="BJ49" s="42">
        <v>0</v>
      </c>
      <c r="BK49" s="42">
        <v>0</v>
      </c>
      <c r="BL49" s="42">
        <v>0</v>
      </c>
      <c r="BM49" s="42">
        <f t="shared" si="14"/>
        <v>14</v>
      </c>
    </row>
    <row r="50" s="29" customFormat="1" ht="30" customHeight="1" spans="1:65">
      <c r="A50" s="41">
        <v>29</v>
      </c>
      <c r="B50" s="42" t="s">
        <v>544</v>
      </c>
      <c r="C50" s="42" t="s">
        <v>545</v>
      </c>
      <c r="D50" s="41" t="s">
        <v>462</v>
      </c>
      <c r="E50" s="43" t="s">
        <v>546</v>
      </c>
      <c r="F50" s="42" t="s">
        <v>425</v>
      </c>
      <c r="G50" s="42" t="s">
        <v>399</v>
      </c>
      <c r="H50" s="42">
        <v>49.14</v>
      </c>
      <c r="I50" s="42">
        <v>1985</v>
      </c>
      <c r="J50" s="42">
        <v>2018</v>
      </c>
      <c r="K50" s="42">
        <v>4.49</v>
      </c>
      <c r="L50" s="42"/>
      <c r="M50" s="42"/>
      <c r="N50" s="42"/>
      <c r="O50" s="52" t="s">
        <v>400</v>
      </c>
      <c r="P50" s="52">
        <v>5.5</v>
      </c>
      <c r="Q50" s="52">
        <v>1</v>
      </c>
      <c r="R50" s="52" t="s">
        <v>401</v>
      </c>
      <c r="S50" s="52" t="s">
        <v>401</v>
      </c>
      <c r="T50" s="52">
        <v>5</v>
      </c>
      <c r="U50" s="52" t="s">
        <v>446</v>
      </c>
      <c r="V50" s="52" t="s">
        <v>403</v>
      </c>
      <c r="W50" s="52">
        <v>1</v>
      </c>
      <c r="X50" s="52">
        <v>0</v>
      </c>
      <c r="Y50" s="52">
        <v>1</v>
      </c>
      <c r="Z50" s="52">
        <v>1</v>
      </c>
      <c r="AA50" s="52">
        <v>6</v>
      </c>
      <c r="AB50" s="52">
        <v>2</v>
      </c>
      <c r="AC50" s="52">
        <v>1</v>
      </c>
      <c r="AD50" s="52">
        <v>2</v>
      </c>
      <c r="AE50" s="52">
        <v>2</v>
      </c>
      <c r="AF50" s="52">
        <v>0</v>
      </c>
      <c r="AG50" s="52">
        <v>2</v>
      </c>
      <c r="AH50" s="52">
        <v>0</v>
      </c>
      <c r="AI50" s="52">
        <v>0</v>
      </c>
      <c r="AJ50" s="52">
        <v>0</v>
      </c>
      <c r="AK50" s="52">
        <v>7</v>
      </c>
      <c r="AL50" s="52">
        <v>0</v>
      </c>
      <c r="AM50" s="52">
        <v>0</v>
      </c>
      <c r="AN50" s="52">
        <v>0</v>
      </c>
      <c r="AO50" s="52"/>
      <c r="AP50" s="52">
        <v>1</v>
      </c>
      <c r="AQ50" s="52">
        <v>0</v>
      </c>
      <c r="AR50" s="52">
        <v>0</v>
      </c>
      <c r="AS50" s="52">
        <v>0</v>
      </c>
      <c r="AT50" s="52">
        <v>0</v>
      </c>
      <c r="AU50" s="52">
        <v>0</v>
      </c>
      <c r="AV50" s="42">
        <v>3</v>
      </c>
      <c r="AW50" s="42"/>
      <c r="AX50" s="42">
        <v>2</v>
      </c>
      <c r="AY50" s="42">
        <v>0</v>
      </c>
      <c r="AZ50" s="42">
        <f t="shared" si="11"/>
        <v>5</v>
      </c>
      <c r="BA50" s="42">
        <v>3</v>
      </c>
      <c r="BB50" s="42">
        <v>1</v>
      </c>
      <c r="BC50" s="42">
        <f t="shared" si="12"/>
        <v>4</v>
      </c>
      <c r="BD50" s="42"/>
      <c r="BE50" s="42"/>
      <c r="BF50" s="42"/>
      <c r="BG50" s="42"/>
      <c r="BH50" s="42">
        <f t="shared" si="13"/>
        <v>0</v>
      </c>
      <c r="BI50" s="42">
        <v>2</v>
      </c>
      <c r="BJ50" s="42"/>
      <c r="BK50" s="42">
        <v>3</v>
      </c>
      <c r="BL50" s="42">
        <v>1</v>
      </c>
      <c r="BM50" s="42">
        <f t="shared" si="14"/>
        <v>15</v>
      </c>
    </row>
    <row r="51" s="29" customFormat="1" ht="30" customHeight="1" spans="1:65">
      <c r="A51" s="41">
        <v>30</v>
      </c>
      <c r="B51" s="42" t="s">
        <v>547</v>
      </c>
      <c r="C51" s="42" t="s">
        <v>548</v>
      </c>
      <c r="D51" s="41" t="s">
        <v>462</v>
      </c>
      <c r="E51" s="43" t="s">
        <v>549</v>
      </c>
      <c r="F51" s="42" t="s">
        <v>425</v>
      </c>
      <c r="G51" s="42" t="s">
        <v>417</v>
      </c>
      <c r="H51" s="42">
        <v>50.6</v>
      </c>
      <c r="I51" s="42">
        <v>1994</v>
      </c>
      <c r="J51" s="42">
        <v>2018</v>
      </c>
      <c r="K51" s="42">
        <v>5.24</v>
      </c>
      <c r="L51" s="42"/>
      <c r="M51" s="42"/>
      <c r="N51" s="42"/>
      <c r="O51" s="52" t="s">
        <v>400</v>
      </c>
      <c r="P51" s="52">
        <v>11</v>
      </c>
      <c r="Q51" s="52">
        <v>1</v>
      </c>
      <c r="R51" s="52" t="s">
        <v>401</v>
      </c>
      <c r="S51" s="52" t="s">
        <v>401</v>
      </c>
      <c r="T51" s="52">
        <v>24</v>
      </c>
      <c r="U51" s="52" t="s">
        <v>470</v>
      </c>
      <c r="V51" s="52" t="s">
        <v>403</v>
      </c>
      <c r="W51" s="52">
        <v>1</v>
      </c>
      <c r="X51" s="52">
        <v>0</v>
      </c>
      <c r="Y51" s="52">
        <v>1</v>
      </c>
      <c r="Z51" s="52">
        <v>1</v>
      </c>
      <c r="AA51" s="52">
        <v>12</v>
      </c>
      <c r="AB51" s="52">
        <v>2</v>
      </c>
      <c r="AC51" s="52">
        <v>1</v>
      </c>
      <c r="AD51" s="52">
        <v>4</v>
      </c>
      <c r="AE51" s="52">
        <v>2</v>
      </c>
      <c r="AF51" s="52">
        <v>0</v>
      </c>
      <c r="AG51" s="52">
        <v>2</v>
      </c>
      <c r="AH51" s="52">
        <v>0</v>
      </c>
      <c r="AI51" s="52">
        <v>0</v>
      </c>
      <c r="AJ51" s="52">
        <v>0</v>
      </c>
      <c r="AK51" s="52">
        <v>12</v>
      </c>
      <c r="AL51" s="52">
        <v>0</v>
      </c>
      <c r="AM51" s="52">
        <v>0</v>
      </c>
      <c r="AN51" s="52">
        <v>0</v>
      </c>
      <c r="AO51" s="52"/>
      <c r="AP51" s="52">
        <v>1</v>
      </c>
      <c r="AQ51" s="52">
        <v>0</v>
      </c>
      <c r="AR51" s="52">
        <v>0</v>
      </c>
      <c r="AS51" s="52">
        <v>0</v>
      </c>
      <c r="AT51" s="52">
        <v>0</v>
      </c>
      <c r="AU51" s="52">
        <v>0</v>
      </c>
      <c r="AV51" s="42">
        <v>4</v>
      </c>
      <c r="AW51" s="42"/>
      <c r="AX51" s="42">
        <v>5</v>
      </c>
      <c r="AY51" s="42">
        <v>1</v>
      </c>
      <c r="AZ51" s="42">
        <f t="shared" si="11"/>
        <v>10</v>
      </c>
      <c r="BA51" s="42">
        <v>5</v>
      </c>
      <c r="BB51" s="42">
        <v>1</v>
      </c>
      <c r="BC51" s="42">
        <f t="shared" si="12"/>
        <v>6</v>
      </c>
      <c r="BD51" s="42"/>
      <c r="BE51" s="42"/>
      <c r="BF51" s="42"/>
      <c r="BG51" s="42"/>
      <c r="BH51" s="42">
        <f t="shared" si="13"/>
        <v>0</v>
      </c>
      <c r="BI51" s="42">
        <v>3</v>
      </c>
      <c r="BJ51" s="42"/>
      <c r="BK51" s="42">
        <v>2</v>
      </c>
      <c r="BL51" s="42">
        <v>1</v>
      </c>
      <c r="BM51" s="42">
        <f t="shared" si="14"/>
        <v>22</v>
      </c>
    </row>
    <row r="52" s="29" customFormat="1" ht="30" customHeight="1" spans="1:65">
      <c r="A52" s="41">
        <v>31</v>
      </c>
      <c r="B52" s="42" t="s">
        <v>550</v>
      </c>
      <c r="C52" s="47" t="s">
        <v>551</v>
      </c>
      <c r="D52" s="41" t="s">
        <v>462</v>
      </c>
      <c r="E52" s="43" t="s">
        <v>552</v>
      </c>
      <c r="F52" s="42" t="s">
        <v>425</v>
      </c>
      <c r="G52" s="42" t="s">
        <v>399</v>
      </c>
      <c r="H52" s="42">
        <v>57.93</v>
      </c>
      <c r="I52" s="42">
        <v>2015</v>
      </c>
      <c r="J52" s="42">
        <v>2018</v>
      </c>
      <c r="K52" s="42">
        <v>9.89</v>
      </c>
      <c r="L52" s="42"/>
      <c r="M52" s="42"/>
      <c r="N52" s="42"/>
      <c r="O52" s="52" t="s">
        <v>400</v>
      </c>
      <c r="P52" s="43">
        <v>0</v>
      </c>
      <c r="Q52" s="52">
        <v>1</v>
      </c>
      <c r="R52" s="52" t="s">
        <v>401</v>
      </c>
      <c r="S52" s="52" t="s">
        <v>401</v>
      </c>
      <c r="T52" s="52">
        <v>8</v>
      </c>
      <c r="U52" s="52" t="s">
        <v>446</v>
      </c>
      <c r="V52" s="52" t="s">
        <v>403</v>
      </c>
      <c r="W52" s="52">
        <v>1</v>
      </c>
      <c r="X52" s="52">
        <v>0</v>
      </c>
      <c r="Y52" s="52">
        <v>1</v>
      </c>
      <c r="Z52" s="52">
        <v>1</v>
      </c>
      <c r="AA52" s="52">
        <v>8</v>
      </c>
      <c r="AB52" s="52">
        <v>2</v>
      </c>
      <c r="AC52" s="52">
        <v>1</v>
      </c>
      <c r="AD52" s="52">
        <v>2</v>
      </c>
      <c r="AE52" s="52">
        <v>2</v>
      </c>
      <c r="AF52" s="52">
        <v>0</v>
      </c>
      <c r="AG52" s="52">
        <v>2</v>
      </c>
      <c r="AH52" s="52">
        <v>0</v>
      </c>
      <c r="AI52" s="52">
        <v>0</v>
      </c>
      <c r="AJ52" s="52">
        <v>0</v>
      </c>
      <c r="AK52" s="52">
        <v>8</v>
      </c>
      <c r="AL52" s="52">
        <v>0</v>
      </c>
      <c r="AM52" s="52">
        <v>0</v>
      </c>
      <c r="AN52" s="52">
        <v>0</v>
      </c>
      <c r="AO52" s="52"/>
      <c r="AP52" s="52">
        <v>1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42">
        <v>4</v>
      </c>
      <c r="AW52" s="42"/>
      <c r="AX52" s="42">
        <v>3</v>
      </c>
      <c r="AY52" s="42">
        <v>1</v>
      </c>
      <c r="AZ52" s="42">
        <f t="shared" si="11"/>
        <v>8</v>
      </c>
      <c r="BA52" s="42">
        <v>3</v>
      </c>
      <c r="BB52" s="42">
        <v>1</v>
      </c>
      <c r="BC52" s="42">
        <f t="shared" si="12"/>
        <v>4</v>
      </c>
      <c r="BD52" s="42"/>
      <c r="BE52" s="42"/>
      <c r="BF52" s="42"/>
      <c r="BG52" s="42"/>
      <c r="BH52" s="42">
        <f t="shared" si="13"/>
        <v>0</v>
      </c>
      <c r="BI52" s="42">
        <v>2</v>
      </c>
      <c r="BJ52" s="42"/>
      <c r="BK52" s="42">
        <v>2</v>
      </c>
      <c r="BL52" s="42">
        <v>1</v>
      </c>
      <c r="BM52" s="42">
        <f t="shared" si="14"/>
        <v>17</v>
      </c>
    </row>
    <row r="53" s="29" customFormat="1" ht="30" customHeight="1" spans="1:65">
      <c r="A53" s="41">
        <v>32</v>
      </c>
      <c r="B53" s="42" t="s">
        <v>553</v>
      </c>
      <c r="C53" s="42" t="s">
        <v>224</v>
      </c>
      <c r="D53" s="41" t="s">
        <v>462</v>
      </c>
      <c r="E53" s="43" t="s">
        <v>554</v>
      </c>
      <c r="F53" s="42" t="s">
        <v>18</v>
      </c>
      <c r="G53" s="42" t="s">
        <v>399</v>
      </c>
      <c r="H53" s="42">
        <v>51.5</v>
      </c>
      <c r="I53" s="42">
        <v>1990</v>
      </c>
      <c r="J53" s="42">
        <v>2017</v>
      </c>
      <c r="K53" s="42">
        <v>7.519</v>
      </c>
      <c r="L53" s="42"/>
      <c r="M53" s="42"/>
      <c r="N53" s="42"/>
      <c r="O53" s="52" t="s">
        <v>400</v>
      </c>
      <c r="P53" s="52">
        <v>11.5</v>
      </c>
      <c r="Q53" s="52">
        <v>1</v>
      </c>
      <c r="R53" s="52" t="s">
        <v>401</v>
      </c>
      <c r="S53" s="52" t="s">
        <v>401</v>
      </c>
      <c r="T53" s="52">
        <v>4</v>
      </c>
      <c r="U53" s="52" t="s">
        <v>435</v>
      </c>
      <c r="V53" s="52" t="s">
        <v>403</v>
      </c>
      <c r="W53" s="52">
        <v>1</v>
      </c>
      <c r="X53" s="52">
        <v>0</v>
      </c>
      <c r="Y53" s="52">
        <v>1</v>
      </c>
      <c r="Z53" s="52">
        <v>1</v>
      </c>
      <c r="AA53" s="52">
        <v>4</v>
      </c>
      <c r="AB53" s="52">
        <v>2</v>
      </c>
      <c r="AC53" s="52">
        <v>1</v>
      </c>
      <c r="AD53" s="52">
        <v>2</v>
      </c>
      <c r="AE53" s="52">
        <v>0</v>
      </c>
      <c r="AF53" s="52">
        <v>0</v>
      </c>
      <c r="AG53" s="52">
        <v>0</v>
      </c>
      <c r="AH53" s="52">
        <v>0</v>
      </c>
      <c r="AI53" s="52">
        <v>0</v>
      </c>
      <c r="AJ53" s="52">
        <v>0</v>
      </c>
      <c r="AK53" s="52">
        <v>0</v>
      </c>
      <c r="AL53" s="52">
        <v>0</v>
      </c>
      <c r="AM53" s="52">
        <v>0</v>
      </c>
      <c r="AN53" s="52">
        <v>0</v>
      </c>
      <c r="AO53" s="52"/>
      <c r="AP53" s="52">
        <v>1</v>
      </c>
      <c r="AQ53" s="52">
        <v>0</v>
      </c>
      <c r="AR53" s="52">
        <v>0</v>
      </c>
      <c r="AS53" s="52">
        <v>0</v>
      </c>
      <c r="AT53" s="52">
        <v>0</v>
      </c>
      <c r="AU53" s="52">
        <v>0</v>
      </c>
      <c r="AV53" s="42">
        <v>2</v>
      </c>
      <c r="AW53" s="42"/>
      <c r="AX53" s="42">
        <v>2</v>
      </c>
      <c r="AY53" s="42">
        <v>0</v>
      </c>
      <c r="AZ53" s="42">
        <f t="shared" si="11"/>
        <v>4</v>
      </c>
      <c r="BA53" s="42">
        <v>4</v>
      </c>
      <c r="BB53" s="42">
        <v>1</v>
      </c>
      <c r="BC53" s="42">
        <f t="shared" si="12"/>
        <v>5</v>
      </c>
      <c r="BD53" s="42"/>
      <c r="BE53" s="42"/>
      <c r="BF53" s="42"/>
      <c r="BG53" s="42"/>
      <c r="BH53" s="42">
        <f t="shared" si="13"/>
        <v>0</v>
      </c>
      <c r="BI53" s="42">
        <v>3</v>
      </c>
      <c r="BJ53" s="42"/>
      <c r="BK53" s="42">
        <v>1</v>
      </c>
      <c r="BL53" s="42"/>
      <c r="BM53" s="42">
        <f t="shared" si="14"/>
        <v>13</v>
      </c>
    </row>
    <row r="54" s="29" customFormat="1" ht="30" customHeight="1" spans="1:65">
      <c r="A54" s="41">
        <v>33</v>
      </c>
      <c r="B54" s="42" t="s">
        <v>555</v>
      </c>
      <c r="C54" s="42" t="s">
        <v>556</v>
      </c>
      <c r="D54" s="41" t="s">
        <v>462</v>
      </c>
      <c r="E54" s="43" t="s">
        <v>557</v>
      </c>
      <c r="F54" s="42" t="s">
        <v>491</v>
      </c>
      <c r="G54" s="42" t="s">
        <v>417</v>
      </c>
      <c r="H54" s="42">
        <v>42.37</v>
      </c>
      <c r="I54" s="42">
        <v>1977</v>
      </c>
      <c r="J54" s="42">
        <v>2018</v>
      </c>
      <c r="K54" s="42">
        <v>4.33</v>
      </c>
      <c r="L54" s="42"/>
      <c r="M54" s="42"/>
      <c r="N54" s="42"/>
      <c r="O54" s="52" t="s">
        <v>400</v>
      </c>
      <c r="P54" s="52">
        <v>5.41</v>
      </c>
      <c r="Q54" s="52">
        <v>1</v>
      </c>
      <c r="R54" s="52" t="s">
        <v>401</v>
      </c>
      <c r="S54" s="52" t="s">
        <v>401</v>
      </c>
      <c r="T54" s="52">
        <v>7</v>
      </c>
      <c r="U54" s="52" t="s">
        <v>558</v>
      </c>
      <c r="V54" s="52" t="s">
        <v>403</v>
      </c>
      <c r="W54" s="52">
        <v>1</v>
      </c>
      <c r="X54" s="52">
        <v>0</v>
      </c>
      <c r="Y54" s="52">
        <v>1</v>
      </c>
      <c r="Z54" s="52">
        <v>1</v>
      </c>
      <c r="AA54" s="52">
        <v>3</v>
      </c>
      <c r="AB54" s="52">
        <v>2</v>
      </c>
      <c r="AC54" s="52">
        <v>1</v>
      </c>
      <c r="AD54" s="52">
        <v>1</v>
      </c>
      <c r="AE54" s="52">
        <v>1</v>
      </c>
      <c r="AF54" s="52">
        <v>0</v>
      </c>
      <c r="AG54" s="52">
        <v>2</v>
      </c>
      <c r="AH54" s="52">
        <v>0</v>
      </c>
      <c r="AI54" s="52">
        <v>0</v>
      </c>
      <c r="AJ54" s="52">
        <v>0</v>
      </c>
      <c r="AK54" s="52">
        <v>0</v>
      </c>
      <c r="AL54" s="52">
        <v>0</v>
      </c>
      <c r="AM54" s="52">
        <v>0</v>
      </c>
      <c r="AN54" s="52">
        <v>0</v>
      </c>
      <c r="AO54" s="52"/>
      <c r="AP54" s="52">
        <v>1</v>
      </c>
      <c r="AQ54" s="52">
        <v>0</v>
      </c>
      <c r="AR54" s="52">
        <v>0</v>
      </c>
      <c r="AS54" s="52">
        <v>0</v>
      </c>
      <c r="AT54" s="52">
        <v>0</v>
      </c>
      <c r="AU54" s="52">
        <v>0</v>
      </c>
      <c r="AV54" s="42">
        <v>2</v>
      </c>
      <c r="AW54" s="42">
        <v>1</v>
      </c>
      <c r="AX54" s="42">
        <v>3</v>
      </c>
      <c r="AY54" s="42"/>
      <c r="AZ54" s="42">
        <f t="shared" si="11"/>
        <v>6</v>
      </c>
      <c r="BA54" s="42">
        <v>2</v>
      </c>
      <c r="BB54" s="42"/>
      <c r="BC54" s="42">
        <f t="shared" si="12"/>
        <v>2</v>
      </c>
      <c r="BD54" s="42"/>
      <c r="BE54" s="42"/>
      <c r="BF54" s="42"/>
      <c r="BG54" s="42"/>
      <c r="BH54" s="42">
        <f t="shared" si="13"/>
        <v>0</v>
      </c>
      <c r="BI54" s="42">
        <v>2</v>
      </c>
      <c r="BJ54" s="42"/>
      <c r="BK54" s="42">
        <v>2</v>
      </c>
      <c r="BL54" s="42">
        <v>1</v>
      </c>
      <c r="BM54" s="42">
        <f t="shared" si="14"/>
        <v>13</v>
      </c>
    </row>
    <row r="55" s="29" customFormat="1" ht="30" customHeight="1" spans="1:65">
      <c r="A55" s="41">
        <v>34</v>
      </c>
      <c r="B55" s="42" t="s">
        <v>559</v>
      </c>
      <c r="C55" s="42" t="s">
        <v>17</v>
      </c>
      <c r="D55" s="41" t="s">
        <v>462</v>
      </c>
      <c r="E55" s="43" t="s">
        <v>560</v>
      </c>
      <c r="F55" s="42" t="s">
        <v>18</v>
      </c>
      <c r="G55" s="42" t="s">
        <v>417</v>
      </c>
      <c r="H55" s="42">
        <v>38.44</v>
      </c>
      <c r="I55" s="42">
        <v>1990</v>
      </c>
      <c r="J55" s="42">
        <v>2017</v>
      </c>
      <c r="K55" s="42">
        <v>5.94</v>
      </c>
      <c r="L55" s="42"/>
      <c r="M55" s="42"/>
      <c r="N55" s="42"/>
      <c r="O55" s="52" t="s">
        <v>400</v>
      </c>
      <c r="P55" s="52">
        <v>24</v>
      </c>
      <c r="Q55" s="52">
        <v>1</v>
      </c>
      <c r="R55" s="52" t="s">
        <v>401</v>
      </c>
      <c r="S55" s="52" t="s">
        <v>401</v>
      </c>
      <c r="T55" s="52">
        <v>27</v>
      </c>
      <c r="U55" s="52" t="s">
        <v>435</v>
      </c>
      <c r="V55" s="52" t="s">
        <v>403</v>
      </c>
      <c r="W55" s="52">
        <v>1</v>
      </c>
      <c r="X55" s="52">
        <v>1</v>
      </c>
      <c r="Y55" s="52">
        <v>1</v>
      </c>
      <c r="Z55" s="52">
        <v>1</v>
      </c>
      <c r="AA55" s="52">
        <v>0</v>
      </c>
      <c r="AB55" s="52">
        <v>2</v>
      </c>
      <c r="AC55" s="52">
        <v>1</v>
      </c>
      <c r="AD55" s="52">
        <v>4</v>
      </c>
      <c r="AE55" s="52">
        <v>2</v>
      </c>
      <c r="AF55" s="52">
        <v>0</v>
      </c>
      <c r="AG55" s="52">
        <v>2</v>
      </c>
      <c r="AH55" s="52">
        <v>0</v>
      </c>
      <c r="AI55" s="52">
        <v>0</v>
      </c>
      <c r="AJ55" s="52">
        <v>0</v>
      </c>
      <c r="AK55" s="52">
        <v>0</v>
      </c>
      <c r="AL55" s="52">
        <v>0</v>
      </c>
      <c r="AM55" s="52">
        <v>0</v>
      </c>
      <c r="AN55" s="52">
        <v>0</v>
      </c>
      <c r="AO55" s="52"/>
      <c r="AP55" s="52">
        <v>1</v>
      </c>
      <c r="AQ55" s="52">
        <v>0</v>
      </c>
      <c r="AR55" s="52">
        <v>0</v>
      </c>
      <c r="AS55" s="52">
        <v>0</v>
      </c>
      <c r="AT55" s="52">
        <v>0</v>
      </c>
      <c r="AU55" s="52">
        <v>0</v>
      </c>
      <c r="AV55" s="42">
        <v>4</v>
      </c>
      <c r="AW55" s="42"/>
      <c r="AX55" s="42">
        <v>3</v>
      </c>
      <c r="AY55" s="42">
        <v>1</v>
      </c>
      <c r="AZ55" s="42">
        <f t="shared" si="11"/>
        <v>8</v>
      </c>
      <c r="BA55" s="42">
        <v>5</v>
      </c>
      <c r="BB55" s="42">
        <v>1</v>
      </c>
      <c r="BC55" s="42">
        <f t="shared" si="12"/>
        <v>6</v>
      </c>
      <c r="BD55" s="42"/>
      <c r="BE55" s="42"/>
      <c r="BF55" s="42"/>
      <c r="BG55" s="42"/>
      <c r="BH55" s="42">
        <f t="shared" si="13"/>
        <v>0</v>
      </c>
      <c r="BI55" s="42">
        <v>2</v>
      </c>
      <c r="BJ55" s="42"/>
      <c r="BK55" s="42">
        <v>3</v>
      </c>
      <c r="BL55" s="42"/>
      <c r="BM55" s="42">
        <f t="shared" si="14"/>
        <v>19</v>
      </c>
    </row>
    <row r="56" s="29" customFormat="1" ht="30" customHeight="1" spans="1:65">
      <c r="A56" s="41">
        <v>35</v>
      </c>
      <c r="B56" s="42" t="s">
        <v>561</v>
      </c>
      <c r="C56" s="42" t="s">
        <v>148</v>
      </c>
      <c r="D56" s="41" t="s">
        <v>462</v>
      </c>
      <c r="E56" s="43" t="s">
        <v>562</v>
      </c>
      <c r="F56" s="42" t="s">
        <v>38</v>
      </c>
      <c r="G56" s="42" t="s">
        <v>399</v>
      </c>
      <c r="H56" s="42">
        <v>52.78</v>
      </c>
      <c r="I56" s="42">
        <v>1986</v>
      </c>
      <c r="J56" s="42">
        <v>2018</v>
      </c>
      <c r="K56" s="42">
        <v>7.886</v>
      </c>
      <c r="L56" s="42">
        <v>0.798</v>
      </c>
      <c r="M56" s="42"/>
      <c r="N56" s="42"/>
      <c r="O56" s="52" t="s">
        <v>400</v>
      </c>
      <c r="P56" s="52">
        <v>9</v>
      </c>
      <c r="Q56" s="52">
        <v>1</v>
      </c>
      <c r="R56" s="52" t="s">
        <v>401</v>
      </c>
      <c r="S56" s="52" t="s">
        <v>401</v>
      </c>
      <c r="T56" s="52">
        <v>4</v>
      </c>
      <c r="U56" s="52" t="s">
        <v>435</v>
      </c>
      <c r="V56" s="52" t="s">
        <v>403</v>
      </c>
      <c r="W56" s="52">
        <v>1</v>
      </c>
      <c r="X56" s="52">
        <v>0</v>
      </c>
      <c r="Y56" s="52">
        <v>1</v>
      </c>
      <c r="Z56" s="52">
        <v>1</v>
      </c>
      <c r="AA56" s="52">
        <v>8</v>
      </c>
      <c r="AB56" s="52">
        <v>2</v>
      </c>
      <c r="AC56" s="52">
        <v>1</v>
      </c>
      <c r="AD56" s="52">
        <v>2</v>
      </c>
      <c r="AE56" s="52">
        <v>0</v>
      </c>
      <c r="AF56" s="52">
        <v>0</v>
      </c>
      <c r="AG56" s="52">
        <v>2</v>
      </c>
      <c r="AH56" s="52">
        <v>0</v>
      </c>
      <c r="AI56" s="52">
        <v>0</v>
      </c>
      <c r="AJ56" s="52">
        <v>0</v>
      </c>
      <c r="AK56" s="52">
        <v>0</v>
      </c>
      <c r="AL56" s="52">
        <v>0</v>
      </c>
      <c r="AM56" s="52">
        <v>0</v>
      </c>
      <c r="AN56" s="52">
        <v>0</v>
      </c>
      <c r="AO56" s="52"/>
      <c r="AP56" s="52">
        <v>1</v>
      </c>
      <c r="AQ56" s="52">
        <v>0</v>
      </c>
      <c r="AR56" s="52">
        <v>0</v>
      </c>
      <c r="AS56" s="52">
        <v>0</v>
      </c>
      <c r="AT56" s="52">
        <v>0</v>
      </c>
      <c r="AU56" s="52">
        <v>0</v>
      </c>
      <c r="AV56" s="42">
        <v>3</v>
      </c>
      <c r="AW56" s="42">
        <v>0</v>
      </c>
      <c r="AX56" s="42">
        <v>3</v>
      </c>
      <c r="AY56" s="42">
        <v>1</v>
      </c>
      <c r="AZ56" s="42">
        <f t="shared" si="11"/>
        <v>7</v>
      </c>
      <c r="BA56" s="42">
        <v>3</v>
      </c>
      <c r="BB56" s="42">
        <v>1</v>
      </c>
      <c r="BC56" s="42">
        <f t="shared" si="12"/>
        <v>4</v>
      </c>
      <c r="BD56" s="42"/>
      <c r="BE56" s="42"/>
      <c r="BF56" s="42"/>
      <c r="BG56" s="42"/>
      <c r="BH56" s="42">
        <f t="shared" si="13"/>
        <v>0</v>
      </c>
      <c r="BI56" s="42">
        <v>2</v>
      </c>
      <c r="BJ56" s="42">
        <v>0</v>
      </c>
      <c r="BK56" s="42">
        <v>2</v>
      </c>
      <c r="BL56" s="42">
        <v>0</v>
      </c>
      <c r="BM56" s="42">
        <f t="shared" si="14"/>
        <v>15</v>
      </c>
    </row>
    <row r="57" s="30" customFormat="1" ht="30" customHeight="1" spans="1:65">
      <c r="A57" s="44" t="s">
        <v>53</v>
      </c>
      <c r="B57" s="48">
        <f>A56</f>
        <v>35</v>
      </c>
      <c r="C57" s="49"/>
      <c r="D57" s="44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>
        <f t="shared" ref="W57:BM57" si="15">SUM(W22:W56)</f>
        <v>35</v>
      </c>
      <c r="X57" s="45">
        <f t="shared" si="15"/>
        <v>5</v>
      </c>
      <c r="Y57" s="45">
        <f t="shared" si="15"/>
        <v>35</v>
      </c>
      <c r="Z57" s="45">
        <f t="shared" si="15"/>
        <v>35</v>
      </c>
      <c r="AA57" s="45">
        <f t="shared" si="15"/>
        <v>186</v>
      </c>
      <c r="AB57" s="45">
        <f t="shared" si="15"/>
        <v>72</v>
      </c>
      <c r="AC57" s="45">
        <f t="shared" si="15"/>
        <v>25</v>
      </c>
      <c r="AD57" s="45">
        <f t="shared" si="15"/>
        <v>74</v>
      </c>
      <c r="AE57" s="45">
        <f t="shared" si="15"/>
        <v>55</v>
      </c>
      <c r="AF57" s="45">
        <f t="shared" si="15"/>
        <v>0</v>
      </c>
      <c r="AG57" s="45">
        <f t="shared" si="15"/>
        <v>56</v>
      </c>
      <c r="AH57" s="45">
        <f t="shared" si="15"/>
        <v>0</v>
      </c>
      <c r="AI57" s="45">
        <f t="shared" si="15"/>
        <v>0</v>
      </c>
      <c r="AJ57" s="45">
        <f t="shared" si="15"/>
        <v>0</v>
      </c>
      <c r="AK57" s="45">
        <f t="shared" si="15"/>
        <v>112</v>
      </c>
      <c r="AL57" s="45">
        <f t="shared" si="15"/>
        <v>1</v>
      </c>
      <c r="AM57" s="45">
        <f t="shared" si="15"/>
        <v>0</v>
      </c>
      <c r="AN57" s="45">
        <f t="shared" si="15"/>
        <v>0</v>
      </c>
      <c r="AO57" s="45">
        <f t="shared" si="15"/>
        <v>0</v>
      </c>
      <c r="AP57" s="45">
        <f t="shared" si="15"/>
        <v>34</v>
      </c>
      <c r="AQ57" s="45">
        <f t="shared" si="15"/>
        <v>0</v>
      </c>
      <c r="AR57" s="45">
        <f t="shared" si="15"/>
        <v>0</v>
      </c>
      <c r="AS57" s="45">
        <f t="shared" si="15"/>
        <v>1</v>
      </c>
      <c r="AT57" s="45">
        <f t="shared" si="15"/>
        <v>0</v>
      </c>
      <c r="AU57" s="45">
        <f t="shared" si="15"/>
        <v>5</v>
      </c>
      <c r="AV57" s="45">
        <f t="shared" si="15"/>
        <v>114</v>
      </c>
      <c r="AW57" s="45">
        <f t="shared" si="15"/>
        <v>3</v>
      </c>
      <c r="AX57" s="45">
        <f t="shared" si="15"/>
        <v>122</v>
      </c>
      <c r="AY57" s="45">
        <f t="shared" si="15"/>
        <v>26</v>
      </c>
      <c r="AZ57" s="45">
        <f t="shared" si="15"/>
        <v>265</v>
      </c>
      <c r="BA57" s="45">
        <f t="shared" si="15"/>
        <v>150</v>
      </c>
      <c r="BB57" s="45">
        <f t="shared" si="15"/>
        <v>32</v>
      </c>
      <c r="BC57" s="45">
        <f t="shared" si="15"/>
        <v>182</v>
      </c>
      <c r="BD57" s="45">
        <f t="shared" si="15"/>
        <v>2</v>
      </c>
      <c r="BE57" s="45">
        <f t="shared" si="15"/>
        <v>0</v>
      </c>
      <c r="BF57" s="45">
        <f t="shared" si="15"/>
        <v>0</v>
      </c>
      <c r="BG57" s="45">
        <f t="shared" si="15"/>
        <v>9</v>
      </c>
      <c r="BH57" s="45">
        <f t="shared" si="15"/>
        <v>11</v>
      </c>
      <c r="BI57" s="45">
        <f t="shared" si="15"/>
        <v>84</v>
      </c>
      <c r="BJ57" s="45">
        <f t="shared" si="15"/>
        <v>15</v>
      </c>
      <c r="BK57" s="45">
        <f t="shared" si="15"/>
        <v>54</v>
      </c>
      <c r="BL57" s="45">
        <f t="shared" si="15"/>
        <v>6</v>
      </c>
      <c r="BM57" s="45">
        <f t="shared" si="15"/>
        <v>617</v>
      </c>
    </row>
    <row r="58" s="29" customFormat="1" ht="30" customHeight="1" spans="1:65">
      <c r="A58" s="41">
        <v>1</v>
      </c>
      <c r="B58" s="42" t="s">
        <v>563</v>
      </c>
      <c r="C58" s="47" t="s">
        <v>564</v>
      </c>
      <c r="D58" s="41" t="s">
        <v>565</v>
      </c>
      <c r="E58" s="43" t="s">
        <v>566</v>
      </c>
      <c r="F58" s="42" t="s">
        <v>416</v>
      </c>
      <c r="G58" s="42" t="s">
        <v>399</v>
      </c>
      <c r="H58" s="42">
        <v>23.35</v>
      </c>
      <c r="I58" s="42">
        <v>2015</v>
      </c>
      <c r="J58" s="42">
        <v>2017</v>
      </c>
      <c r="K58" s="42"/>
      <c r="L58" s="42"/>
      <c r="M58" s="42"/>
      <c r="N58" s="42"/>
      <c r="O58" s="52" t="s">
        <v>400</v>
      </c>
      <c r="P58" s="43">
        <v>0</v>
      </c>
      <c r="Q58" s="52">
        <v>1</v>
      </c>
      <c r="R58" s="52" t="s">
        <v>401</v>
      </c>
      <c r="S58" s="52" t="s">
        <v>401</v>
      </c>
      <c r="T58" s="52">
        <v>4</v>
      </c>
      <c r="U58" s="52" t="s">
        <v>435</v>
      </c>
      <c r="V58" s="52" t="s">
        <v>403</v>
      </c>
      <c r="W58" s="52">
        <v>1</v>
      </c>
      <c r="X58" s="52">
        <v>0</v>
      </c>
      <c r="Y58" s="52">
        <v>1</v>
      </c>
      <c r="Z58" s="52">
        <v>1</v>
      </c>
      <c r="AA58" s="52">
        <v>5</v>
      </c>
      <c r="AB58" s="52">
        <v>2</v>
      </c>
      <c r="AC58" s="52">
        <v>0</v>
      </c>
      <c r="AD58" s="52">
        <v>2</v>
      </c>
      <c r="AE58" s="52">
        <v>0</v>
      </c>
      <c r="AF58" s="52">
        <v>0</v>
      </c>
      <c r="AG58" s="52">
        <v>2</v>
      </c>
      <c r="AH58" s="52">
        <v>0</v>
      </c>
      <c r="AI58" s="52">
        <v>0</v>
      </c>
      <c r="AJ58" s="52">
        <v>0</v>
      </c>
      <c r="AK58" s="52">
        <v>5</v>
      </c>
      <c r="AL58" s="52">
        <v>0</v>
      </c>
      <c r="AM58" s="52">
        <v>0</v>
      </c>
      <c r="AN58" s="52">
        <v>0</v>
      </c>
      <c r="AO58" s="52"/>
      <c r="AP58" s="52">
        <v>1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42">
        <v>2</v>
      </c>
      <c r="AW58" s="42"/>
      <c r="AX58" s="42">
        <v>2</v>
      </c>
      <c r="AY58" s="42"/>
      <c r="AZ58" s="42">
        <f t="shared" ref="AZ58:AZ79" si="16">SUM(AV58:AY58)</f>
        <v>4</v>
      </c>
      <c r="BA58" s="42">
        <v>3</v>
      </c>
      <c r="BB58" s="42"/>
      <c r="BC58" s="42">
        <f t="shared" ref="BC58:BC79" si="17">SUM(BA58:BB58)</f>
        <v>3</v>
      </c>
      <c r="BD58" s="42"/>
      <c r="BE58" s="42"/>
      <c r="BF58" s="42"/>
      <c r="BG58" s="42"/>
      <c r="BH58" s="42">
        <f t="shared" ref="BH58:BH79" si="18">SUM(BD58:BG58)</f>
        <v>0</v>
      </c>
      <c r="BI58" s="42">
        <v>2</v>
      </c>
      <c r="BJ58" s="42"/>
      <c r="BK58" s="42">
        <v>1</v>
      </c>
      <c r="BL58" s="42"/>
      <c r="BM58" s="42">
        <f t="shared" ref="BM58:BM79" si="19">SUM(AZ58,BC58,BH58:BL58)</f>
        <v>10</v>
      </c>
    </row>
    <row r="59" s="29" customFormat="1" ht="30" customHeight="1" spans="1:65">
      <c r="A59" s="41">
        <v>2</v>
      </c>
      <c r="B59" s="42" t="s">
        <v>567</v>
      </c>
      <c r="C59" s="42" t="s">
        <v>568</v>
      </c>
      <c r="D59" s="41" t="s">
        <v>565</v>
      </c>
      <c r="E59" s="43" t="s">
        <v>569</v>
      </c>
      <c r="F59" s="42" t="s">
        <v>416</v>
      </c>
      <c r="G59" s="42" t="s">
        <v>399</v>
      </c>
      <c r="H59" s="42">
        <v>15.87</v>
      </c>
      <c r="I59" s="42">
        <v>1989</v>
      </c>
      <c r="J59" s="42">
        <v>2017</v>
      </c>
      <c r="K59" s="42">
        <v>2.13</v>
      </c>
      <c r="L59" s="42"/>
      <c r="M59" s="42"/>
      <c r="N59" s="42"/>
      <c r="O59" s="52" t="s">
        <v>400</v>
      </c>
      <c r="P59" s="52">
        <v>8.69</v>
      </c>
      <c r="Q59" s="52">
        <v>1</v>
      </c>
      <c r="R59" s="52" t="s">
        <v>401</v>
      </c>
      <c r="S59" s="52" t="s">
        <v>401</v>
      </c>
      <c r="T59" s="52">
        <v>4</v>
      </c>
      <c r="U59" s="52" t="s">
        <v>435</v>
      </c>
      <c r="V59" s="52" t="s">
        <v>403</v>
      </c>
      <c r="W59" s="52">
        <v>1</v>
      </c>
      <c r="X59" s="52">
        <v>0</v>
      </c>
      <c r="Y59" s="52">
        <v>1</v>
      </c>
      <c r="Z59" s="52">
        <v>0</v>
      </c>
      <c r="AA59" s="52">
        <v>3</v>
      </c>
      <c r="AB59" s="52">
        <v>0</v>
      </c>
      <c r="AC59" s="52">
        <v>1</v>
      </c>
      <c r="AD59" s="52">
        <v>0</v>
      </c>
      <c r="AE59" s="52">
        <v>0</v>
      </c>
      <c r="AF59" s="52">
        <v>0</v>
      </c>
      <c r="AG59" s="52">
        <v>0</v>
      </c>
      <c r="AH59" s="52">
        <v>0</v>
      </c>
      <c r="AI59" s="52">
        <v>0</v>
      </c>
      <c r="AJ59" s="52">
        <v>0</v>
      </c>
      <c r="AK59" s="52">
        <v>0</v>
      </c>
      <c r="AL59" s="52">
        <v>0</v>
      </c>
      <c r="AM59" s="52">
        <v>0</v>
      </c>
      <c r="AN59" s="52">
        <v>0</v>
      </c>
      <c r="AO59" s="52"/>
      <c r="AP59" s="52">
        <v>1</v>
      </c>
      <c r="AQ59" s="52">
        <v>0</v>
      </c>
      <c r="AR59" s="52">
        <v>0</v>
      </c>
      <c r="AS59" s="52">
        <v>0</v>
      </c>
      <c r="AT59" s="52">
        <v>0</v>
      </c>
      <c r="AU59" s="52">
        <v>0</v>
      </c>
      <c r="AV59" s="42">
        <v>0</v>
      </c>
      <c r="AW59" s="42"/>
      <c r="AX59" s="42">
        <v>3</v>
      </c>
      <c r="AY59" s="42"/>
      <c r="AZ59" s="42">
        <f t="shared" si="16"/>
        <v>3</v>
      </c>
      <c r="BA59" s="42"/>
      <c r="BB59" s="42"/>
      <c r="BC59" s="42">
        <f t="shared" si="17"/>
        <v>0</v>
      </c>
      <c r="BD59" s="42"/>
      <c r="BE59" s="42"/>
      <c r="BF59" s="42"/>
      <c r="BG59" s="42"/>
      <c r="BH59" s="42">
        <f t="shared" si="18"/>
        <v>0</v>
      </c>
      <c r="BI59" s="42">
        <v>3</v>
      </c>
      <c r="BJ59" s="42"/>
      <c r="BK59" s="42">
        <v>1</v>
      </c>
      <c r="BL59" s="42"/>
      <c r="BM59" s="42">
        <f t="shared" si="19"/>
        <v>7</v>
      </c>
    </row>
    <row r="60" s="29" customFormat="1" ht="30" customHeight="1" spans="1:65">
      <c r="A60" s="41">
        <v>3</v>
      </c>
      <c r="B60" s="42" t="s">
        <v>570</v>
      </c>
      <c r="C60" s="42" t="s">
        <v>571</v>
      </c>
      <c r="D60" s="41" t="s">
        <v>565</v>
      </c>
      <c r="E60" s="43" t="s">
        <v>572</v>
      </c>
      <c r="F60" s="42" t="s">
        <v>416</v>
      </c>
      <c r="G60" s="42" t="s">
        <v>417</v>
      </c>
      <c r="H60" s="42">
        <v>30.34</v>
      </c>
      <c r="I60" s="42">
        <v>1987</v>
      </c>
      <c r="J60" s="42">
        <v>2017</v>
      </c>
      <c r="K60" s="42">
        <v>2.17</v>
      </c>
      <c r="L60" s="42"/>
      <c r="M60" s="42"/>
      <c r="N60" s="42"/>
      <c r="O60" s="52" t="s">
        <v>400</v>
      </c>
      <c r="P60" s="52">
        <v>9.12</v>
      </c>
      <c r="Q60" s="52">
        <v>1</v>
      </c>
      <c r="R60" s="52" t="s">
        <v>401</v>
      </c>
      <c r="S60" s="52" t="s">
        <v>401</v>
      </c>
      <c r="T60" s="52">
        <v>4</v>
      </c>
      <c r="U60" s="52" t="s">
        <v>435</v>
      </c>
      <c r="V60" s="52" t="s">
        <v>403</v>
      </c>
      <c r="W60" s="52">
        <v>1</v>
      </c>
      <c r="X60" s="52">
        <v>0</v>
      </c>
      <c r="Y60" s="52">
        <v>2</v>
      </c>
      <c r="Z60" s="52">
        <v>1</v>
      </c>
      <c r="AA60" s="52">
        <v>4</v>
      </c>
      <c r="AB60" s="52">
        <v>2</v>
      </c>
      <c r="AC60" s="52">
        <v>0</v>
      </c>
      <c r="AD60" s="52">
        <v>2</v>
      </c>
      <c r="AE60" s="52">
        <v>2</v>
      </c>
      <c r="AF60" s="52">
        <v>0</v>
      </c>
      <c r="AG60" s="52">
        <v>2</v>
      </c>
      <c r="AH60" s="52">
        <v>0</v>
      </c>
      <c r="AI60" s="52">
        <v>0</v>
      </c>
      <c r="AJ60" s="52">
        <v>0</v>
      </c>
      <c r="AK60" s="52">
        <v>0</v>
      </c>
      <c r="AL60" s="52">
        <v>1</v>
      </c>
      <c r="AM60" s="52">
        <v>0</v>
      </c>
      <c r="AN60" s="52">
        <v>0</v>
      </c>
      <c r="AO60" s="52"/>
      <c r="AP60" s="52">
        <v>1</v>
      </c>
      <c r="AQ60" s="52">
        <v>0</v>
      </c>
      <c r="AR60" s="52">
        <v>0</v>
      </c>
      <c r="AS60" s="52">
        <v>0</v>
      </c>
      <c r="AT60" s="52">
        <v>0</v>
      </c>
      <c r="AU60" s="52">
        <v>0</v>
      </c>
      <c r="AV60" s="42">
        <v>2</v>
      </c>
      <c r="AW60" s="42"/>
      <c r="AX60" s="42">
        <v>1</v>
      </c>
      <c r="AY60" s="42">
        <v>1</v>
      </c>
      <c r="AZ60" s="42">
        <f t="shared" si="16"/>
        <v>4</v>
      </c>
      <c r="BA60" s="42">
        <v>1</v>
      </c>
      <c r="BB60" s="42">
        <v>1</v>
      </c>
      <c r="BC60" s="42">
        <f t="shared" si="17"/>
        <v>2</v>
      </c>
      <c r="BD60" s="42"/>
      <c r="BE60" s="42"/>
      <c r="BF60" s="42"/>
      <c r="BG60" s="42"/>
      <c r="BH60" s="42">
        <f t="shared" si="18"/>
        <v>0</v>
      </c>
      <c r="BI60" s="42">
        <v>2</v>
      </c>
      <c r="BJ60" s="42"/>
      <c r="BK60" s="42">
        <v>2</v>
      </c>
      <c r="BL60" s="42"/>
      <c r="BM60" s="42">
        <f t="shared" si="19"/>
        <v>10</v>
      </c>
    </row>
    <row r="61" s="29" customFormat="1" ht="30" customHeight="1" spans="1:65">
      <c r="A61" s="41">
        <v>4</v>
      </c>
      <c r="B61" s="42" t="s">
        <v>573</v>
      </c>
      <c r="C61" s="42" t="s">
        <v>574</v>
      </c>
      <c r="D61" s="41" t="s">
        <v>565</v>
      </c>
      <c r="E61" s="43" t="s">
        <v>575</v>
      </c>
      <c r="F61" s="42" t="s">
        <v>416</v>
      </c>
      <c r="G61" s="42" t="s">
        <v>399</v>
      </c>
      <c r="H61" s="42">
        <v>42</v>
      </c>
      <c r="I61" s="42">
        <v>1986</v>
      </c>
      <c r="J61" s="42">
        <v>2017</v>
      </c>
      <c r="K61" s="42">
        <v>3.75</v>
      </c>
      <c r="L61" s="42"/>
      <c r="M61" s="42"/>
      <c r="N61" s="42"/>
      <c r="O61" s="52" t="s">
        <v>400</v>
      </c>
      <c r="P61" s="52">
        <v>18</v>
      </c>
      <c r="Q61" s="52">
        <v>1</v>
      </c>
      <c r="R61" s="52" t="s">
        <v>401</v>
      </c>
      <c r="S61" s="52" t="s">
        <v>401</v>
      </c>
      <c r="T61" s="52">
        <v>5</v>
      </c>
      <c r="U61" s="52" t="s">
        <v>435</v>
      </c>
      <c r="V61" s="52" t="s">
        <v>403</v>
      </c>
      <c r="W61" s="52">
        <v>1</v>
      </c>
      <c r="X61" s="52">
        <v>0</v>
      </c>
      <c r="Y61" s="52">
        <v>1</v>
      </c>
      <c r="Z61" s="52">
        <v>1</v>
      </c>
      <c r="AA61" s="52">
        <v>6</v>
      </c>
      <c r="AB61" s="52">
        <v>2</v>
      </c>
      <c r="AC61" s="52">
        <v>0</v>
      </c>
      <c r="AD61" s="52">
        <v>0</v>
      </c>
      <c r="AE61" s="52">
        <v>2</v>
      </c>
      <c r="AF61" s="52">
        <v>0</v>
      </c>
      <c r="AG61" s="52">
        <v>2</v>
      </c>
      <c r="AH61" s="52">
        <v>0</v>
      </c>
      <c r="AI61" s="52">
        <v>0</v>
      </c>
      <c r="AJ61" s="52">
        <v>0</v>
      </c>
      <c r="AK61" s="52">
        <v>0</v>
      </c>
      <c r="AL61" s="52">
        <v>0</v>
      </c>
      <c r="AM61" s="52">
        <v>0</v>
      </c>
      <c r="AN61" s="52">
        <v>0</v>
      </c>
      <c r="AO61" s="52"/>
      <c r="AP61" s="52">
        <v>1</v>
      </c>
      <c r="AQ61" s="52">
        <v>0</v>
      </c>
      <c r="AR61" s="52">
        <v>0</v>
      </c>
      <c r="AS61" s="52">
        <v>0</v>
      </c>
      <c r="AT61" s="52">
        <v>0</v>
      </c>
      <c r="AU61" s="52">
        <v>0</v>
      </c>
      <c r="AV61" s="42">
        <v>3</v>
      </c>
      <c r="AW61" s="42"/>
      <c r="AX61" s="42">
        <v>1</v>
      </c>
      <c r="AY61" s="42">
        <v>1</v>
      </c>
      <c r="AZ61" s="42">
        <f t="shared" si="16"/>
        <v>5</v>
      </c>
      <c r="BA61" s="42">
        <v>3</v>
      </c>
      <c r="BB61" s="42">
        <v>1</v>
      </c>
      <c r="BC61" s="42">
        <f t="shared" si="17"/>
        <v>4</v>
      </c>
      <c r="BD61" s="42"/>
      <c r="BE61" s="42"/>
      <c r="BF61" s="42"/>
      <c r="BG61" s="42"/>
      <c r="BH61" s="42">
        <f t="shared" si="18"/>
        <v>0</v>
      </c>
      <c r="BI61" s="42">
        <v>2</v>
      </c>
      <c r="BJ61" s="42"/>
      <c r="BK61" s="42">
        <v>2</v>
      </c>
      <c r="BL61" s="42"/>
      <c r="BM61" s="42">
        <f t="shared" si="19"/>
        <v>13</v>
      </c>
    </row>
    <row r="62" s="29" customFormat="1" ht="30" customHeight="1" spans="1:65">
      <c r="A62" s="41">
        <v>5</v>
      </c>
      <c r="B62" s="42" t="s">
        <v>576</v>
      </c>
      <c r="C62" s="42" t="s">
        <v>577</v>
      </c>
      <c r="D62" s="41" t="s">
        <v>565</v>
      </c>
      <c r="E62" s="43" t="s">
        <v>578</v>
      </c>
      <c r="F62" s="42" t="s">
        <v>491</v>
      </c>
      <c r="G62" s="42" t="s">
        <v>399</v>
      </c>
      <c r="H62" s="42">
        <v>38</v>
      </c>
      <c r="I62" s="42">
        <v>1986</v>
      </c>
      <c r="J62" s="42">
        <v>2018</v>
      </c>
      <c r="K62" s="42">
        <v>1.98</v>
      </c>
      <c r="L62" s="42"/>
      <c r="M62" s="42"/>
      <c r="N62" s="42"/>
      <c r="O62" s="52" t="s">
        <v>400</v>
      </c>
      <c r="P62" s="52">
        <v>21.8</v>
      </c>
      <c r="Q62" s="52">
        <v>1</v>
      </c>
      <c r="R62" s="52" t="s">
        <v>401</v>
      </c>
      <c r="S62" s="52" t="s">
        <v>401</v>
      </c>
      <c r="T62" s="52">
        <v>5</v>
      </c>
      <c r="U62" s="52" t="s">
        <v>435</v>
      </c>
      <c r="V62" s="52" t="s">
        <v>403</v>
      </c>
      <c r="W62" s="52">
        <v>1</v>
      </c>
      <c r="X62" s="52">
        <v>0</v>
      </c>
      <c r="Y62" s="52">
        <v>1</v>
      </c>
      <c r="Z62" s="52">
        <v>1</v>
      </c>
      <c r="AA62" s="52">
        <v>0</v>
      </c>
      <c r="AB62" s="52">
        <v>2</v>
      </c>
      <c r="AC62" s="52">
        <v>1</v>
      </c>
      <c r="AD62" s="52">
        <v>2</v>
      </c>
      <c r="AE62" s="52">
        <v>2</v>
      </c>
      <c r="AF62" s="52">
        <v>0</v>
      </c>
      <c r="AG62" s="52">
        <v>2</v>
      </c>
      <c r="AH62" s="52">
        <v>0</v>
      </c>
      <c r="AI62" s="52">
        <v>0</v>
      </c>
      <c r="AJ62" s="52">
        <v>0</v>
      </c>
      <c r="AK62" s="52">
        <v>11</v>
      </c>
      <c r="AL62" s="52">
        <v>0</v>
      </c>
      <c r="AM62" s="52">
        <v>0</v>
      </c>
      <c r="AN62" s="52">
        <v>0</v>
      </c>
      <c r="AO62" s="52"/>
      <c r="AP62" s="52">
        <v>1</v>
      </c>
      <c r="AQ62" s="52">
        <v>0</v>
      </c>
      <c r="AR62" s="52">
        <v>0</v>
      </c>
      <c r="AS62" s="52">
        <v>0</v>
      </c>
      <c r="AT62" s="52">
        <v>0</v>
      </c>
      <c r="AU62" s="52">
        <v>0</v>
      </c>
      <c r="AV62" s="42">
        <v>4</v>
      </c>
      <c r="AW62" s="42"/>
      <c r="AX62" s="42">
        <v>4</v>
      </c>
      <c r="AY62" s="42">
        <v>0</v>
      </c>
      <c r="AZ62" s="42">
        <f t="shared" si="16"/>
        <v>8</v>
      </c>
      <c r="BA62" s="42">
        <v>4</v>
      </c>
      <c r="BB62" s="42">
        <v>0</v>
      </c>
      <c r="BC62" s="42">
        <f t="shared" si="17"/>
        <v>4</v>
      </c>
      <c r="BD62" s="42"/>
      <c r="BE62" s="42"/>
      <c r="BF62" s="42"/>
      <c r="BG62" s="42"/>
      <c r="BH62" s="42">
        <f t="shared" si="18"/>
        <v>0</v>
      </c>
      <c r="BI62" s="42">
        <v>2</v>
      </c>
      <c r="BJ62" s="42"/>
      <c r="BK62" s="42">
        <v>2</v>
      </c>
      <c r="BL62" s="42"/>
      <c r="BM62" s="42">
        <f t="shared" si="19"/>
        <v>16</v>
      </c>
    </row>
    <row r="63" s="29" customFormat="1" ht="30" customHeight="1" spans="1:65">
      <c r="A63" s="41">
        <v>6</v>
      </c>
      <c r="B63" s="42" t="s">
        <v>579</v>
      </c>
      <c r="C63" s="42" t="s">
        <v>580</v>
      </c>
      <c r="D63" s="41" t="s">
        <v>565</v>
      </c>
      <c r="E63" s="43" t="s">
        <v>581</v>
      </c>
      <c r="F63" s="42" t="s">
        <v>425</v>
      </c>
      <c r="G63" s="42" t="s">
        <v>399</v>
      </c>
      <c r="H63" s="42">
        <v>40</v>
      </c>
      <c r="I63" s="42">
        <v>1992</v>
      </c>
      <c r="J63" s="42">
        <v>2017</v>
      </c>
      <c r="K63" s="42">
        <v>2.557</v>
      </c>
      <c r="L63" s="42"/>
      <c r="M63" s="42"/>
      <c r="N63" s="42"/>
      <c r="O63" s="52" t="s">
        <v>400</v>
      </c>
      <c r="P63" s="52">
        <v>5</v>
      </c>
      <c r="Q63" s="52">
        <v>1</v>
      </c>
      <c r="R63" s="52" t="s">
        <v>401</v>
      </c>
      <c r="S63" s="52" t="s">
        <v>401</v>
      </c>
      <c r="T63" s="52">
        <v>3</v>
      </c>
      <c r="U63" s="52" t="s">
        <v>446</v>
      </c>
      <c r="V63" s="52" t="s">
        <v>403</v>
      </c>
      <c r="W63" s="52">
        <v>1</v>
      </c>
      <c r="X63" s="52">
        <v>1</v>
      </c>
      <c r="Y63" s="52">
        <v>1</v>
      </c>
      <c r="Z63" s="52">
        <v>1</v>
      </c>
      <c r="AA63" s="52">
        <v>6</v>
      </c>
      <c r="AB63" s="52">
        <v>2</v>
      </c>
      <c r="AC63" s="52">
        <v>1</v>
      </c>
      <c r="AD63" s="52">
        <v>2</v>
      </c>
      <c r="AE63" s="52">
        <v>2</v>
      </c>
      <c r="AF63" s="52">
        <v>0</v>
      </c>
      <c r="AG63" s="52">
        <v>2</v>
      </c>
      <c r="AH63" s="52">
        <v>0</v>
      </c>
      <c r="AI63" s="52">
        <v>0</v>
      </c>
      <c r="AJ63" s="52">
        <v>0</v>
      </c>
      <c r="AK63" s="52">
        <v>7</v>
      </c>
      <c r="AL63" s="52">
        <v>0</v>
      </c>
      <c r="AM63" s="52">
        <v>0</v>
      </c>
      <c r="AN63" s="52">
        <v>0</v>
      </c>
      <c r="AO63" s="52"/>
      <c r="AP63" s="52">
        <v>1</v>
      </c>
      <c r="AQ63" s="52">
        <v>0</v>
      </c>
      <c r="AR63" s="52">
        <v>0</v>
      </c>
      <c r="AS63" s="52">
        <v>0</v>
      </c>
      <c r="AT63" s="52">
        <v>0</v>
      </c>
      <c r="AU63" s="52">
        <v>0</v>
      </c>
      <c r="AV63" s="42">
        <v>2</v>
      </c>
      <c r="AW63" s="42"/>
      <c r="AX63" s="42">
        <v>3</v>
      </c>
      <c r="AY63" s="42">
        <v>1</v>
      </c>
      <c r="AZ63" s="42">
        <f t="shared" si="16"/>
        <v>6</v>
      </c>
      <c r="BA63" s="42">
        <v>2</v>
      </c>
      <c r="BB63" s="42">
        <v>1</v>
      </c>
      <c r="BC63" s="42">
        <f t="shared" si="17"/>
        <v>3</v>
      </c>
      <c r="BD63" s="42"/>
      <c r="BE63" s="42"/>
      <c r="BF63" s="42"/>
      <c r="BG63" s="42"/>
      <c r="BH63" s="42">
        <f t="shared" si="18"/>
        <v>0</v>
      </c>
      <c r="BI63" s="42">
        <v>2</v>
      </c>
      <c r="BJ63" s="42"/>
      <c r="BK63" s="42">
        <v>1</v>
      </c>
      <c r="BL63" s="42">
        <v>1</v>
      </c>
      <c r="BM63" s="42">
        <f t="shared" si="19"/>
        <v>13</v>
      </c>
    </row>
    <row r="64" s="29" customFormat="1" ht="30" customHeight="1" spans="1:65">
      <c r="A64" s="41">
        <v>7</v>
      </c>
      <c r="B64" s="42" t="s">
        <v>582</v>
      </c>
      <c r="C64" s="42" t="s">
        <v>583</v>
      </c>
      <c r="D64" s="41" t="s">
        <v>565</v>
      </c>
      <c r="E64" s="43" t="s">
        <v>584</v>
      </c>
      <c r="F64" s="42" t="s">
        <v>425</v>
      </c>
      <c r="G64" s="42" t="s">
        <v>399</v>
      </c>
      <c r="H64" s="42">
        <v>50.16</v>
      </c>
      <c r="I64" s="42">
        <v>1991</v>
      </c>
      <c r="J64" s="42">
        <v>2017</v>
      </c>
      <c r="K64" s="42">
        <v>1.76</v>
      </c>
      <c r="L64" s="42"/>
      <c r="M64" s="42"/>
      <c r="N64" s="42"/>
      <c r="O64" s="52" t="s">
        <v>400</v>
      </c>
      <c r="P64" s="52">
        <v>26</v>
      </c>
      <c r="Q64" s="52">
        <v>1</v>
      </c>
      <c r="R64" s="52" t="s">
        <v>401</v>
      </c>
      <c r="S64" s="52" t="s">
        <v>401</v>
      </c>
      <c r="T64" s="52">
        <v>11</v>
      </c>
      <c r="U64" s="52" t="s">
        <v>435</v>
      </c>
      <c r="V64" s="52" t="s">
        <v>403</v>
      </c>
      <c r="W64" s="52">
        <v>1</v>
      </c>
      <c r="X64" s="52">
        <v>0</v>
      </c>
      <c r="Y64" s="52">
        <v>1</v>
      </c>
      <c r="Z64" s="52">
        <v>1</v>
      </c>
      <c r="AA64" s="52">
        <v>2</v>
      </c>
      <c r="AB64" s="52">
        <v>3</v>
      </c>
      <c r="AC64" s="52">
        <v>0</v>
      </c>
      <c r="AD64" s="52">
        <v>2</v>
      </c>
      <c r="AE64" s="52">
        <v>2</v>
      </c>
      <c r="AF64" s="52">
        <v>0</v>
      </c>
      <c r="AG64" s="52">
        <v>2</v>
      </c>
      <c r="AH64" s="52">
        <v>0</v>
      </c>
      <c r="AI64" s="52">
        <v>0</v>
      </c>
      <c r="AJ64" s="52">
        <v>0</v>
      </c>
      <c r="AK64" s="52">
        <v>8</v>
      </c>
      <c r="AL64" s="52">
        <v>0</v>
      </c>
      <c r="AM64" s="52">
        <v>0</v>
      </c>
      <c r="AN64" s="52">
        <v>0</v>
      </c>
      <c r="AO64" s="52"/>
      <c r="AP64" s="52">
        <v>1</v>
      </c>
      <c r="AQ64" s="52">
        <v>0</v>
      </c>
      <c r="AR64" s="52">
        <v>0</v>
      </c>
      <c r="AS64" s="52">
        <v>0</v>
      </c>
      <c r="AT64" s="52">
        <v>0</v>
      </c>
      <c r="AU64" s="52">
        <v>0</v>
      </c>
      <c r="AV64" s="42">
        <v>3</v>
      </c>
      <c r="AW64" s="42"/>
      <c r="AX64" s="42">
        <v>3</v>
      </c>
      <c r="AY64" s="42">
        <v>1</v>
      </c>
      <c r="AZ64" s="42">
        <f t="shared" si="16"/>
        <v>7</v>
      </c>
      <c r="BA64" s="42">
        <v>3</v>
      </c>
      <c r="BB64" s="42">
        <v>1</v>
      </c>
      <c r="BC64" s="42">
        <f t="shared" si="17"/>
        <v>4</v>
      </c>
      <c r="BD64" s="42"/>
      <c r="BE64" s="42"/>
      <c r="BF64" s="42"/>
      <c r="BG64" s="42"/>
      <c r="BH64" s="42">
        <f t="shared" si="18"/>
        <v>0</v>
      </c>
      <c r="BI64" s="42">
        <v>3</v>
      </c>
      <c r="BJ64" s="42"/>
      <c r="BK64" s="42">
        <v>2</v>
      </c>
      <c r="BL64" s="42"/>
      <c r="BM64" s="42">
        <f t="shared" si="19"/>
        <v>16</v>
      </c>
    </row>
    <row r="65" s="29" customFormat="1" ht="30" customHeight="1" spans="1:65">
      <c r="A65" s="41">
        <v>8</v>
      </c>
      <c r="B65" s="42" t="s">
        <v>585</v>
      </c>
      <c r="C65" s="42" t="s">
        <v>586</v>
      </c>
      <c r="D65" s="41" t="s">
        <v>565</v>
      </c>
      <c r="E65" s="43" t="s">
        <v>587</v>
      </c>
      <c r="F65" s="42" t="s">
        <v>411</v>
      </c>
      <c r="G65" s="42" t="s">
        <v>399</v>
      </c>
      <c r="H65" s="42">
        <v>43</v>
      </c>
      <c r="I65" s="42">
        <v>1995</v>
      </c>
      <c r="J65" s="42">
        <v>2017</v>
      </c>
      <c r="K65" s="42">
        <v>1.38</v>
      </c>
      <c r="L65" s="42"/>
      <c r="M65" s="42"/>
      <c r="N65" s="42"/>
      <c r="O65" s="52" t="s">
        <v>400</v>
      </c>
      <c r="P65" s="52">
        <v>7.5</v>
      </c>
      <c r="Q65" s="52">
        <v>1</v>
      </c>
      <c r="R65" s="52" t="s">
        <v>401</v>
      </c>
      <c r="S65" s="52" t="s">
        <v>401</v>
      </c>
      <c r="T65" s="52">
        <v>5</v>
      </c>
      <c r="U65" s="52" t="s">
        <v>435</v>
      </c>
      <c r="V65" s="52" t="s">
        <v>403</v>
      </c>
      <c r="W65" s="52">
        <v>1</v>
      </c>
      <c r="X65" s="52">
        <v>1</v>
      </c>
      <c r="Y65" s="52">
        <v>1</v>
      </c>
      <c r="Z65" s="52">
        <v>1</v>
      </c>
      <c r="AA65" s="52">
        <v>0</v>
      </c>
      <c r="AB65" s="52">
        <v>3</v>
      </c>
      <c r="AC65" s="52">
        <v>1</v>
      </c>
      <c r="AD65" s="52">
        <v>2</v>
      </c>
      <c r="AE65" s="52">
        <v>0</v>
      </c>
      <c r="AF65" s="52">
        <v>0</v>
      </c>
      <c r="AG65" s="52">
        <v>1</v>
      </c>
      <c r="AH65" s="52">
        <v>0</v>
      </c>
      <c r="AI65" s="52">
        <v>0</v>
      </c>
      <c r="AJ65" s="52">
        <v>0</v>
      </c>
      <c r="AK65" s="52">
        <v>0</v>
      </c>
      <c r="AL65" s="52">
        <v>0</v>
      </c>
      <c r="AM65" s="52">
        <v>0</v>
      </c>
      <c r="AN65" s="52">
        <v>0</v>
      </c>
      <c r="AO65" s="52"/>
      <c r="AP65" s="52">
        <v>1</v>
      </c>
      <c r="AQ65" s="52">
        <v>0</v>
      </c>
      <c r="AR65" s="52">
        <v>0</v>
      </c>
      <c r="AS65" s="52">
        <v>0</v>
      </c>
      <c r="AT65" s="52">
        <v>0</v>
      </c>
      <c r="AU65" s="52">
        <v>0</v>
      </c>
      <c r="AV65" s="42">
        <v>2</v>
      </c>
      <c r="AW65" s="42">
        <v>1</v>
      </c>
      <c r="AX65" s="42">
        <v>2</v>
      </c>
      <c r="AY65" s="42">
        <v>1</v>
      </c>
      <c r="AZ65" s="42">
        <f t="shared" si="16"/>
        <v>6</v>
      </c>
      <c r="BA65" s="42">
        <v>3</v>
      </c>
      <c r="BB65" s="42">
        <v>0</v>
      </c>
      <c r="BC65" s="42">
        <f t="shared" si="17"/>
        <v>3</v>
      </c>
      <c r="BD65" s="42"/>
      <c r="BE65" s="42"/>
      <c r="BF65" s="42"/>
      <c r="BG65" s="42"/>
      <c r="BH65" s="42">
        <f t="shared" si="18"/>
        <v>0</v>
      </c>
      <c r="BI65" s="42">
        <v>2</v>
      </c>
      <c r="BJ65" s="42">
        <v>1</v>
      </c>
      <c r="BK65" s="42">
        <v>2</v>
      </c>
      <c r="BL65" s="42"/>
      <c r="BM65" s="42">
        <f t="shared" si="19"/>
        <v>14</v>
      </c>
    </row>
    <row r="66" s="29" customFormat="1" ht="30" customHeight="1" spans="1:65">
      <c r="A66" s="41">
        <v>9</v>
      </c>
      <c r="B66" s="42" t="s">
        <v>588</v>
      </c>
      <c r="C66" s="42" t="s">
        <v>589</v>
      </c>
      <c r="D66" s="41" t="s">
        <v>565</v>
      </c>
      <c r="E66" s="43" t="s">
        <v>590</v>
      </c>
      <c r="F66" s="42" t="s">
        <v>398</v>
      </c>
      <c r="G66" s="42" t="s">
        <v>417</v>
      </c>
      <c r="H66" s="42">
        <v>43.26</v>
      </c>
      <c r="I66" s="42">
        <v>2003</v>
      </c>
      <c r="J66" s="42">
        <v>2017</v>
      </c>
      <c r="K66" s="42">
        <v>3.764</v>
      </c>
      <c r="L66" s="42"/>
      <c r="M66" s="42"/>
      <c r="N66" s="42"/>
      <c r="O66" s="52" t="s">
        <v>400</v>
      </c>
      <c r="P66" s="43">
        <v>0</v>
      </c>
      <c r="Q66" s="52">
        <v>1</v>
      </c>
      <c r="R66" s="52" t="s">
        <v>401</v>
      </c>
      <c r="S66" s="52" t="s">
        <v>401</v>
      </c>
      <c r="T66" s="52">
        <v>12</v>
      </c>
      <c r="U66" s="52" t="s">
        <v>435</v>
      </c>
      <c r="V66" s="52" t="s">
        <v>527</v>
      </c>
      <c r="W66" s="52">
        <v>1</v>
      </c>
      <c r="X66" s="52">
        <v>1</v>
      </c>
      <c r="Y66" s="52">
        <v>1</v>
      </c>
      <c r="Z66" s="52">
        <v>1</v>
      </c>
      <c r="AA66" s="52">
        <v>9</v>
      </c>
      <c r="AB66" s="52">
        <v>2</v>
      </c>
      <c r="AC66" s="52">
        <v>0</v>
      </c>
      <c r="AD66" s="52">
        <v>2</v>
      </c>
      <c r="AE66" s="52">
        <v>2</v>
      </c>
      <c r="AF66" s="52">
        <v>0</v>
      </c>
      <c r="AG66" s="52">
        <v>2</v>
      </c>
      <c r="AH66" s="52">
        <v>0</v>
      </c>
      <c r="AI66" s="52">
        <v>0</v>
      </c>
      <c r="AJ66" s="52">
        <v>0</v>
      </c>
      <c r="AK66" s="52">
        <v>9</v>
      </c>
      <c r="AL66" s="52">
        <v>0</v>
      </c>
      <c r="AM66" s="52">
        <v>0</v>
      </c>
      <c r="AN66" s="52">
        <v>0</v>
      </c>
      <c r="AO66" s="52"/>
      <c r="AP66" s="52">
        <v>1</v>
      </c>
      <c r="AQ66" s="52">
        <v>0</v>
      </c>
      <c r="AR66" s="52">
        <v>0</v>
      </c>
      <c r="AS66" s="52">
        <v>0</v>
      </c>
      <c r="AT66" s="52">
        <v>0</v>
      </c>
      <c r="AU66" s="52">
        <v>0</v>
      </c>
      <c r="AV66" s="42">
        <v>3</v>
      </c>
      <c r="AW66" s="42"/>
      <c r="AX66" s="42">
        <v>3</v>
      </c>
      <c r="AY66" s="42">
        <v>1</v>
      </c>
      <c r="AZ66" s="42">
        <f t="shared" si="16"/>
        <v>7</v>
      </c>
      <c r="BA66" s="42">
        <v>4</v>
      </c>
      <c r="BB66" s="42">
        <v>1</v>
      </c>
      <c r="BC66" s="42">
        <f t="shared" si="17"/>
        <v>5</v>
      </c>
      <c r="BD66" s="42"/>
      <c r="BE66" s="42"/>
      <c r="BF66" s="42"/>
      <c r="BG66" s="42"/>
      <c r="BH66" s="42">
        <f t="shared" si="18"/>
        <v>0</v>
      </c>
      <c r="BI66" s="42">
        <v>2</v>
      </c>
      <c r="BJ66" s="42"/>
      <c r="BK66" s="42">
        <v>1</v>
      </c>
      <c r="BL66" s="42"/>
      <c r="BM66" s="42">
        <f t="shared" si="19"/>
        <v>15</v>
      </c>
    </row>
    <row r="67" s="29" customFormat="1" ht="30" customHeight="1" spans="1:65">
      <c r="A67" s="41">
        <v>10</v>
      </c>
      <c r="B67" s="42" t="s">
        <v>591</v>
      </c>
      <c r="C67" s="42" t="s">
        <v>592</v>
      </c>
      <c r="D67" s="41" t="s">
        <v>565</v>
      </c>
      <c r="E67" s="43" t="s">
        <v>593</v>
      </c>
      <c r="F67" s="42" t="s">
        <v>398</v>
      </c>
      <c r="G67" s="42" t="s">
        <v>399</v>
      </c>
      <c r="H67" s="42">
        <v>50</v>
      </c>
      <c r="I67" s="42">
        <v>1989</v>
      </c>
      <c r="J67" s="42">
        <v>2017</v>
      </c>
      <c r="K67" s="42">
        <v>2.06</v>
      </c>
      <c r="L67" s="42"/>
      <c r="M67" s="42"/>
      <c r="N67" s="42"/>
      <c r="O67" s="43" t="s">
        <v>400</v>
      </c>
      <c r="P67" s="43">
        <v>0</v>
      </c>
      <c r="Q67" s="43">
        <v>1</v>
      </c>
      <c r="R67" s="43" t="s">
        <v>401</v>
      </c>
      <c r="S67" s="43" t="s">
        <v>401</v>
      </c>
      <c r="T67" s="52">
        <v>29</v>
      </c>
      <c r="U67" s="52" t="s">
        <v>435</v>
      </c>
      <c r="V67" s="43" t="s">
        <v>403</v>
      </c>
      <c r="W67" s="43">
        <v>1</v>
      </c>
      <c r="X67" s="52">
        <v>0</v>
      </c>
      <c r="Y67" s="43">
        <v>1</v>
      </c>
      <c r="Z67" s="52">
        <v>1</v>
      </c>
      <c r="AA67" s="43">
        <v>11</v>
      </c>
      <c r="AB67" s="43">
        <v>2</v>
      </c>
      <c r="AC67" s="52">
        <v>1</v>
      </c>
      <c r="AD67" s="43">
        <v>4</v>
      </c>
      <c r="AE67" s="43">
        <v>2</v>
      </c>
      <c r="AF67" s="52">
        <v>0</v>
      </c>
      <c r="AG67" s="43">
        <v>2</v>
      </c>
      <c r="AH67" s="52">
        <v>0</v>
      </c>
      <c r="AI67" s="52">
        <v>0</v>
      </c>
      <c r="AJ67" s="52">
        <v>0</v>
      </c>
      <c r="AK67" s="52">
        <v>0</v>
      </c>
      <c r="AL67" s="52">
        <v>0</v>
      </c>
      <c r="AM67" s="52">
        <v>0</v>
      </c>
      <c r="AN67" s="52">
        <v>0</v>
      </c>
      <c r="AO67" s="42"/>
      <c r="AP67" s="52">
        <v>1</v>
      </c>
      <c r="AQ67" s="52">
        <v>0</v>
      </c>
      <c r="AR67" s="52">
        <v>0</v>
      </c>
      <c r="AS67" s="52">
        <v>0</v>
      </c>
      <c r="AT67" s="52">
        <v>0</v>
      </c>
      <c r="AU67" s="52">
        <v>0</v>
      </c>
      <c r="AV67" s="42">
        <v>2</v>
      </c>
      <c r="AW67" s="42"/>
      <c r="AX67" s="42">
        <v>4</v>
      </c>
      <c r="AY67" s="42">
        <v>1</v>
      </c>
      <c r="AZ67" s="42">
        <f t="shared" si="16"/>
        <v>7</v>
      </c>
      <c r="BA67" s="42">
        <v>5</v>
      </c>
      <c r="BB67" s="42">
        <v>1</v>
      </c>
      <c r="BC67" s="42">
        <f t="shared" si="17"/>
        <v>6</v>
      </c>
      <c r="BD67" s="42"/>
      <c r="BE67" s="42"/>
      <c r="BF67" s="42"/>
      <c r="BG67" s="42"/>
      <c r="BH67" s="42">
        <f t="shared" si="18"/>
        <v>0</v>
      </c>
      <c r="BI67" s="42">
        <v>4</v>
      </c>
      <c r="BJ67" s="42"/>
      <c r="BK67" s="42">
        <v>1</v>
      </c>
      <c r="BL67" s="42"/>
      <c r="BM67" s="42">
        <f t="shared" si="19"/>
        <v>18</v>
      </c>
    </row>
    <row r="68" s="29" customFormat="1" ht="30" customHeight="1" spans="1:65">
      <c r="A68" s="41">
        <v>11</v>
      </c>
      <c r="B68" s="42" t="s">
        <v>594</v>
      </c>
      <c r="C68" s="42" t="s">
        <v>595</v>
      </c>
      <c r="D68" s="41" t="s">
        <v>565</v>
      </c>
      <c r="E68" s="43" t="s">
        <v>596</v>
      </c>
      <c r="F68" s="42" t="s">
        <v>416</v>
      </c>
      <c r="G68" s="42" t="s">
        <v>399</v>
      </c>
      <c r="H68" s="42">
        <v>46.29</v>
      </c>
      <c r="I68" s="42">
        <v>1978</v>
      </c>
      <c r="J68" s="42">
        <v>2017</v>
      </c>
      <c r="K68" s="42">
        <v>1.99</v>
      </c>
      <c r="L68" s="42"/>
      <c r="M68" s="42"/>
      <c r="N68" s="42"/>
      <c r="O68" s="52" t="s">
        <v>400</v>
      </c>
      <c r="P68" s="52">
        <v>8.69</v>
      </c>
      <c r="Q68" s="52">
        <v>1</v>
      </c>
      <c r="R68" s="52" t="s">
        <v>401</v>
      </c>
      <c r="S68" s="52" t="s">
        <v>401</v>
      </c>
      <c r="T68" s="52">
        <v>5</v>
      </c>
      <c r="U68" s="52" t="s">
        <v>435</v>
      </c>
      <c r="V68" s="52" t="s">
        <v>403</v>
      </c>
      <c r="W68" s="52">
        <v>1</v>
      </c>
      <c r="X68" s="52">
        <v>0</v>
      </c>
      <c r="Y68" s="52">
        <v>2</v>
      </c>
      <c r="Z68" s="52">
        <v>1</v>
      </c>
      <c r="AA68" s="52">
        <v>0</v>
      </c>
      <c r="AB68" s="52">
        <v>3</v>
      </c>
      <c r="AC68" s="52">
        <v>1</v>
      </c>
      <c r="AD68" s="52">
        <v>2</v>
      </c>
      <c r="AE68" s="52">
        <v>2</v>
      </c>
      <c r="AF68" s="52">
        <v>0</v>
      </c>
      <c r="AG68" s="52">
        <v>2</v>
      </c>
      <c r="AH68" s="52">
        <v>0</v>
      </c>
      <c r="AI68" s="52">
        <v>0</v>
      </c>
      <c r="AJ68" s="52">
        <v>0</v>
      </c>
      <c r="AK68" s="52">
        <v>0</v>
      </c>
      <c r="AL68" s="52">
        <v>1</v>
      </c>
      <c r="AM68" s="52">
        <v>0</v>
      </c>
      <c r="AN68" s="52">
        <v>0</v>
      </c>
      <c r="AO68" s="52"/>
      <c r="AP68" s="52">
        <v>1</v>
      </c>
      <c r="AQ68" s="52">
        <v>0</v>
      </c>
      <c r="AR68" s="52">
        <v>0</v>
      </c>
      <c r="AS68" s="52">
        <v>0</v>
      </c>
      <c r="AT68" s="52">
        <v>0</v>
      </c>
      <c r="AU68" s="52">
        <v>0</v>
      </c>
      <c r="AV68" s="42">
        <v>1</v>
      </c>
      <c r="AW68" s="42"/>
      <c r="AX68" s="42">
        <v>2</v>
      </c>
      <c r="AY68" s="42">
        <v>0</v>
      </c>
      <c r="AZ68" s="42">
        <f t="shared" si="16"/>
        <v>3</v>
      </c>
      <c r="BA68" s="42">
        <v>3</v>
      </c>
      <c r="BB68" s="42">
        <v>1</v>
      </c>
      <c r="BC68" s="42">
        <f t="shared" si="17"/>
        <v>4</v>
      </c>
      <c r="BD68" s="42"/>
      <c r="BE68" s="42"/>
      <c r="BF68" s="42"/>
      <c r="BG68" s="42"/>
      <c r="BH68" s="42">
        <f t="shared" si="18"/>
        <v>0</v>
      </c>
      <c r="BI68" s="42">
        <v>2</v>
      </c>
      <c r="BJ68" s="42">
        <v>1</v>
      </c>
      <c r="BK68" s="42">
        <v>1</v>
      </c>
      <c r="BL68" s="42">
        <v>1</v>
      </c>
      <c r="BM68" s="42">
        <f t="shared" si="19"/>
        <v>12</v>
      </c>
    </row>
    <row r="69" s="29" customFormat="1" ht="30" customHeight="1" spans="1:65">
      <c r="A69" s="41">
        <v>12</v>
      </c>
      <c r="B69" s="42" t="s">
        <v>597</v>
      </c>
      <c r="C69" s="42" t="s">
        <v>598</v>
      </c>
      <c r="D69" s="41" t="s">
        <v>565</v>
      </c>
      <c r="E69" s="43" t="s">
        <v>599</v>
      </c>
      <c r="F69" s="42" t="s">
        <v>416</v>
      </c>
      <c r="G69" s="42" t="s">
        <v>399</v>
      </c>
      <c r="H69" s="42">
        <v>27.44</v>
      </c>
      <c r="I69" s="42">
        <v>1981</v>
      </c>
      <c r="J69" s="42">
        <v>2017</v>
      </c>
      <c r="K69" s="42">
        <v>0</v>
      </c>
      <c r="L69" s="42"/>
      <c r="M69" s="42"/>
      <c r="N69" s="42"/>
      <c r="O69" s="52" t="s">
        <v>400</v>
      </c>
      <c r="P69" s="52">
        <v>5.2</v>
      </c>
      <c r="Q69" s="52">
        <v>1</v>
      </c>
      <c r="R69" s="52" t="s">
        <v>401</v>
      </c>
      <c r="S69" s="52" t="s">
        <v>401</v>
      </c>
      <c r="T69" s="52">
        <v>4</v>
      </c>
      <c r="U69" s="52" t="s">
        <v>435</v>
      </c>
      <c r="V69" s="52" t="s">
        <v>403</v>
      </c>
      <c r="W69" s="52">
        <v>1</v>
      </c>
      <c r="X69" s="52">
        <v>0</v>
      </c>
      <c r="Y69" s="52">
        <v>1</v>
      </c>
      <c r="Z69" s="52">
        <v>1</v>
      </c>
      <c r="AA69" s="52">
        <v>6</v>
      </c>
      <c r="AB69" s="52">
        <v>2</v>
      </c>
      <c r="AC69" s="52">
        <v>0</v>
      </c>
      <c r="AD69" s="52">
        <v>0</v>
      </c>
      <c r="AE69" s="52">
        <v>0</v>
      </c>
      <c r="AF69" s="52">
        <v>0</v>
      </c>
      <c r="AG69" s="52">
        <v>0</v>
      </c>
      <c r="AH69" s="52">
        <v>0</v>
      </c>
      <c r="AI69" s="52">
        <v>0</v>
      </c>
      <c r="AJ69" s="52">
        <v>0</v>
      </c>
      <c r="AK69" s="52">
        <v>0</v>
      </c>
      <c r="AL69" s="52">
        <v>0</v>
      </c>
      <c r="AM69" s="52">
        <v>0</v>
      </c>
      <c r="AN69" s="52">
        <v>0</v>
      </c>
      <c r="AO69" s="52"/>
      <c r="AP69" s="52">
        <v>1</v>
      </c>
      <c r="AQ69" s="52">
        <v>0</v>
      </c>
      <c r="AR69" s="52">
        <v>0</v>
      </c>
      <c r="AS69" s="52">
        <v>0</v>
      </c>
      <c r="AT69" s="52">
        <v>0</v>
      </c>
      <c r="AU69" s="52">
        <v>0</v>
      </c>
      <c r="AV69" s="42">
        <v>2</v>
      </c>
      <c r="AW69" s="42"/>
      <c r="AX69" s="42">
        <v>1</v>
      </c>
      <c r="AY69" s="42">
        <v>1</v>
      </c>
      <c r="AZ69" s="42">
        <f t="shared" si="16"/>
        <v>4</v>
      </c>
      <c r="BA69" s="42">
        <v>3</v>
      </c>
      <c r="BB69" s="42">
        <v>1</v>
      </c>
      <c r="BC69" s="42">
        <f t="shared" si="17"/>
        <v>4</v>
      </c>
      <c r="BD69" s="42"/>
      <c r="BE69" s="42"/>
      <c r="BF69" s="42"/>
      <c r="BG69" s="42"/>
      <c r="BH69" s="42">
        <f t="shared" si="18"/>
        <v>0</v>
      </c>
      <c r="BI69" s="42">
        <v>2</v>
      </c>
      <c r="BJ69" s="42"/>
      <c r="BK69" s="42">
        <v>1</v>
      </c>
      <c r="BL69" s="42"/>
      <c r="BM69" s="42">
        <f t="shared" si="19"/>
        <v>11</v>
      </c>
    </row>
    <row r="70" s="29" customFormat="1" ht="30" customHeight="1" spans="1:65">
      <c r="A70" s="41">
        <v>13</v>
      </c>
      <c r="B70" s="42" t="s">
        <v>600</v>
      </c>
      <c r="C70" s="42" t="s">
        <v>601</v>
      </c>
      <c r="D70" s="41" t="s">
        <v>565</v>
      </c>
      <c r="E70" s="43" t="s">
        <v>602</v>
      </c>
      <c r="F70" s="42" t="s">
        <v>18</v>
      </c>
      <c r="G70" s="42" t="s">
        <v>399</v>
      </c>
      <c r="H70" s="42">
        <v>38.44</v>
      </c>
      <c r="I70" s="42">
        <v>1990</v>
      </c>
      <c r="J70" s="42">
        <v>2017</v>
      </c>
      <c r="K70" s="42">
        <v>1.99</v>
      </c>
      <c r="L70" s="42"/>
      <c r="M70" s="42"/>
      <c r="N70" s="42"/>
      <c r="O70" s="52" t="s">
        <v>400</v>
      </c>
      <c r="P70" s="52">
        <v>13.3</v>
      </c>
      <c r="Q70" s="52">
        <v>1</v>
      </c>
      <c r="R70" s="52" t="s">
        <v>401</v>
      </c>
      <c r="S70" s="52" t="s">
        <v>401</v>
      </c>
      <c r="T70" s="52">
        <v>3</v>
      </c>
      <c r="U70" s="52" t="s">
        <v>435</v>
      </c>
      <c r="V70" s="52" t="s">
        <v>403</v>
      </c>
      <c r="W70" s="52">
        <v>1</v>
      </c>
      <c r="X70" s="52">
        <v>0</v>
      </c>
      <c r="Y70" s="52">
        <v>1</v>
      </c>
      <c r="Z70" s="52">
        <v>1</v>
      </c>
      <c r="AA70" s="52">
        <v>4</v>
      </c>
      <c r="AB70" s="52">
        <v>2</v>
      </c>
      <c r="AC70" s="52">
        <v>0</v>
      </c>
      <c r="AD70" s="52">
        <v>2</v>
      </c>
      <c r="AE70" s="52">
        <v>0</v>
      </c>
      <c r="AF70" s="52">
        <v>0</v>
      </c>
      <c r="AG70" s="52">
        <v>0</v>
      </c>
      <c r="AH70" s="52">
        <v>0</v>
      </c>
      <c r="AI70" s="52">
        <v>0</v>
      </c>
      <c r="AJ70" s="52">
        <v>0</v>
      </c>
      <c r="AK70" s="52">
        <v>0</v>
      </c>
      <c r="AL70" s="52">
        <v>0</v>
      </c>
      <c r="AM70" s="52">
        <v>0</v>
      </c>
      <c r="AN70" s="52">
        <v>0</v>
      </c>
      <c r="AO70" s="52"/>
      <c r="AP70" s="52">
        <v>1</v>
      </c>
      <c r="AQ70" s="52">
        <v>0</v>
      </c>
      <c r="AR70" s="52">
        <v>0</v>
      </c>
      <c r="AS70" s="52">
        <v>0</v>
      </c>
      <c r="AT70" s="52">
        <v>0</v>
      </c>
      <c r="AU70" s="52">
        <v>0</v>
      </c>
      <c r="AV70" s="42">
        <v>2</v>
      </c>
      <c r="AW70" s="42"/>
      <c r="AX70" s="42">
        <v>2</v>
      </c>
      <c r="AY70" s="42"/>
      <c r="AZ70" s="42">
        <f t="shared" si="16"/>
        <v>4</v>
      </c>
      <c r="BA70" s="42">
        <v>2</v>
      </c>
      <c r="BB70" s="42">
        <v>0</v>
      </c>
      <c r="BC70" s="42">
        <f t="shared" si="17"/>
        <v>2</v>
      </c>
      <c r="BD70" s="42"/>
      <c r="BE70" s="42"/>
      <c r="BF70" s="42"/>
      <c r="BG70" s="42"/>
      <c r="BH70" s="42">
        <f t="shared" si="18"/>
        <v>0</v>
      </c>
      <c r="BI70" s="42">
        <v>2</v>
      </c>
      <c r="BJ70" s="42"/>
      <c r="BK70" s="42">
        <v>3</v>
      </c>
      <c r="BL70" s="42"/>
      <c r="BM70" s="42">
        <f t="shared" si="19"/>
        <v>11</v>
      </c>
    </row>
    <row r="71" s="29" customFormat="1" ht="30" customHeight="1" spans="1:65">
      <c r="A71" s="41">
        <v>14</v>
      </c>
      <c r="B71" s="42" t="s">
        <v>603</v>
      </c>
      <c r="C71" s="42" t="s">
        <v>604</v>
      </c>
      <c r="D71" s="41" t="s">
        <v>565</v>
      </c>
      <c r="E71" s="43" t="s">
        <v>605</v>
      </c>
      <c r="F71" s="42" t="s">
        <v>38</v>
      </c>
      <c r="G71" s="42" t="s">
        <v>399</v>
      </c>
      <c r="H71" s="42">
        <v>44.56</v>
      </c>
      <c r="I71" s="42">
        <v>1986</v>
      </c>
      <c r="J71" s="42">
        <v>2006</v>
      </c>
      <c r="K71" s="42">
        <v>3.84</v>
      </c>
      <c r="L71" s="42"/>
      <c r="M71" s="42"/>
      <c r="N71" s="42"/>
      <c r="O71" s="52" t="s">
        <v>400</v>
      </c>
      <c r="P71" s="52">
        <v>18.5</v>
      </c>
      <c r="Q71" s="52">
        <v>1</v>
      </c>
      <c r="R71" s="52" t="s">
        <v>401</v>
      </c>
      <c r="S71" s="52" t="s">
        <v>401</v>
      </c>
      <c r="T71" s="52">
        <v>3</v>
      </c>
      <c r="U71" s="52" t="s">
        <v>606</v>
      </c>
      <c r="V71" s="52" t="s">
        <v>403</v>
      </c>
      <c r="W71" s="52">
        <v>1</v>
      </c>
      <c r="X71" s="52">
        <v>0</v>
      </c>
      <c r="Y71" s="52">
        <v>1</v>
      </c>
      <c r="Z71" s="52">
        <v>1</v>
      </c>
      <c r="AA71" s="52">
        <v>0</v>
      </c>
      <c r="AB71" s="52">
        <v>0</v>
      </c>
      <c r="AC71" s="52">
        <v>0</v>
      </c>
      <c r="AD71" s="52">
        <v>0</v>
      </c>
      <c r="AE71" s="52">
        <v>0</v>
      </c>
      <c r="AF71" s="52">
        <v>0</v>
      </c>
      <c r="AG71" s="52">
        <v>0</v>
      </c>
      <c r="AH71" s="52">
        <v>0</v>
      </c>
      <c r="AI71" s="52">
        <v>0</v>
      </c>
      <c r="AJ71" s="52">
        <v>0</v>
      </c>
      <c r="AK71" s="52">
        <v>0</v>
      </c>
      <c r="AL71" s="52">
        <v>0</v>
      </c>
      <c r="AM71" s="52">
        <v>0</v>
      </c>
      <c r="AN71" s="52">
        <v>0</v>
      </c>
      <c r="AO71" s="52"/>
      <c r="AP71" s="52">
        <v>1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42">
        <v>3</v>
      </c>
      <c r="AW71" s="42"/>
      <c r="AX71" s="42">
        <v>6</v>
      </c>
      <c r="AY71" s="42">
        <v>1</v>
      </c>
      <c r="AZ71" s="42">
        <f t="shared" si="16"/>
        <v>10</v>
      </c>
      <c r="BA71" s="42">
        <v>3</v>
      </c>
      <c r="BB71" s="42">
        <v>1</v>
      </c>
      <c r="BC71" s="42">
        <f t="shared" si="17"/>
        <v>4</v>
      </c>
      <c r="BD71" s="42"/>
      <c r="BE71" s="42"/>
      <c r="BF71" s="42"/>
      <c r="BG71" s="42"/>
      <c r="BH71" s="42">
        <f t="shared" si="18"/>
        <v>0</v>
      </c>
      <c r="BI71" s="42">
        <v>2</v>
      </c>
      <c r="BJ71" s="42"/>
      <c r="BK71" s="42">
        <v>2</v>
      </c>
      <c r="BL71" s="42"/>
      <c r="BM71" s="42">
        <f t="shared" si="19"/>
        <v>18</v>
      </c>
    </row>
    <row r="72" s="29" customFormat="1" ht="30" customHeight="1" spans="1:65">
      <c r="A72" s="41">
        <v>15</v>
      </c>
      <c r="B72" s="42" t="s">
        <v>607</v>
      </c>
      <c r="C72" s="42" t="s">
        <v>608</v>
      </c>
      <c r="D72" s="41" t="s">
        <v>565</v>
      </c>
      <c r="E72" s="43" t="s">
        <v>609</v>
      </c>
      <c r="F72" s="42" t="s">
        <v>416</v>
      </c>
      <c r="G72" s="42" t="s">
        <v>399</v>
      </c>
      <c r="H72" s="42">
        <v>30</v>
      </c>
      <c r="I72" s="42">
        <v>1992</v>
      </c>
      <c r="J72" s="42">
        <v>2017</v>
      </c>
      <c r="K72" s="42">
        <v>1.98</v>
      </c>
      <c r="L72" s="42"/>
      <c r="M72" s="42"/>
      <c r="N72" s="42"/>
      <c r="O72" s="52" t="s">
        <v>400</v>
      </c>
      <c r="P72" s="52">
        <v>4.56</v>
      </c>
      <c r="Q72" s="52">
        <v>1</v>
      </c>
      <c r="R72" s="52" t="s">
        <v>401</v>
      </c>
      <c r="S72" s="52" t="s">
        <v>401</v>
      </c>
      <c r="T72" s="52">
        <v>7</v>
      </c>
      <c r="U72" s="52" t="s">
        <v>435</v>
      </c>
      <c r="V72" s="52" t="s">
        <v>403</v>
      </c>
      <c r="W72" s="52">
        <v>1</v>
      </c>
      <c r="X72" s="52">
        <v>0</v>
      </c>
      <c r="Y72" s="52">
        <v>1</v>
      </c>
      <c r="Z72" s="52">
        <v>1</v>
      </c>
      <c r="AA72" s="52">
        <v>6</v>
      </c>
      <c r="AB72" s="52">
        <v>2</v>
      </c>
      <c r="AC72" s="52">
        <v>1</v>
      </c>
      <c r="AD72" s="52">
        <v>2</v>
      </c>
      <c r="AE72" s="52">
        <v>0</v>
      </c>
      <c r="AF72" s="52">
        <v>0</v>
      </c>
      <c r="AG72" s="52">
        <v>2</v>
      </c>
      <c r="AH72" s="52">
        <v>0</v>
      </c>
      <c r="AI72" s="52">
        <v>0</v>
      </c>
      <c r="AJ72" s="52">
        <v>0</v>
      </c>
      <c r="AK72" s="52">
        <v>6</v>
      </c>
      <c r="AL72" s="52">
        <v>1</v>
      </c>
      <c r="AM72" s="52">
        <v>0</v>
      </c>
      <c r="AN72" s="52">
        <v>0</v>
      </c>
      <c r="AO72" s="52"/>
      <c r="AP72" s="52">
        <v>1</v>
      </c>
      <c r="AQ72" s="52">
        <v>0</v>
      </c>
      <c r="AR72" s="52">
        <v>0</v>
      </c>
      <c r="AS72" s="52">
        <v>0</v>
      </c>
      <c r="AT72" s="52">
        <v>0</v>
      </c>
      <c r="AU72" s="52">
        <v>0</v>
      </c>
      <c r="AV72" s="42">
        <v>2</v>
      </c>
      <c r="AW72" s="42"/>
      <c r="AX72" s="42">
        <v>3</v>
      </c>
      <c r="AY72" s="42"/>
      <c r="AZ72" s="42">
        <f t="shared" si="16"/>
        <v>5</v>
      </c>
      <c r="BA72" s="42">
        <v>3</v>
      </c>
      <c r="BB72" s="42"/>
      <c r="BC72" s="42">
        <f t="shared" si="17"/>
        <v>3</v>
      </c>
      <c r="BD72" s="42"/>
      <c r="BE72" s="42"/>
      <c r="BF72" s="42"/>
      <c r="BG72" s="42"/>
      <c r="BH72" s="42">
        <f t="shared" si="18"/>
        <v>0</v>
      </c>
      <c r="BI72" s="42">
        <v>2</v>
      </c>
      <c r="BJ72" s="42"/>
      <c r="BK72" s="42">
        <v>1</v>
      </c>
      <c r="BL72" s="42">
        <v>1</v>
      </c>
      <c r="BM72" s="42">
        <f t="shared" si="19"/>
        <v>12</v>
      </c>
    </row>
    <row r="73" s="29" customFormat="1" ht="30" customHeight="1" spans="1:65">
      <c r="A73" s="41">
        <v>16</v>
      </c>
      <c r="B73" s="42" t="s">
        <v>610</v>
      </c>
      <c r="C73" s="42" t="s">
        <v>611</v>
      </c>
      <c r="D73" s="41" t="s">
        <v>565</v>
      </c>
      <c r="E73" s="57" t="s">
        <v>612</v>
      </c>
      <c r="F73" s="42" t="s">
        <v>398</v>
      </c>
      <c r="G73" s="41" t="s">
        <v>399</v>
      </c>
      <c r="H73" s="42">
        <v>65</v>
      </c>
      <c r="I73" s="42">
        <v>2003</v>
      </c>
      <c r="J73" s="55"/>
      <c r="K73" s="42">
        <v>0</v>
      </c>
      <c r="L73" s="42"/>
      <c r="M73" s="42"/>
      <c r="N73" s="42"/>
      <c r="O73" s="63" t="s">
        <v>400</v>
      </c>
      <c r="P73" s="52">
        <v>15</v>
      </c>
      <c r="Q73" s="52">
        <v>1</v>
      </c>
      <c r="R73" s="52" t="s">
        <v>401</v>
      </c>
      <c r="S73" s="52" t="s">
        <v>401</v>
      </c>
      <c r="T73" s="52">
        <v>10</v>
      </c>
      <c r="U73" s="52" t="s">
        <v>446</v>
      </c>
      <c r="V73" s="63" t="s">
        <v>403</v>
      </c>
      <c r="W73" s="52">
        <v>1</v>
      </c>
      <c r="X73" s="52">
        <v>0</v>
      </c>
      <c r="Y73" s="52">
        <v>1</v>
      </c>
      <c r="Z73" s="52">
        <v>1</v>
      </c>
      <c r="AA73" s="52">
        <v>6</v>
      </c>
      <c r="AB73" s="52">
        <v>2</v>
      </c>
      <c r="AC73" s="52">
        <v>0</v>
      </c>
      <c r="AD73" s="52">
        <v>0</v>
      </c>
      <c r="AE73" s="52">
        <v>2</v>
      </c>
      <c r="AF73" s="52">
        <v>0</v>
      </c>
      <c r="AG73" s="52">
        <v>2</v>
      </c>
      <c r="AH73" s="52">
        <v>0</v>
      </c>
      <c r="AI73" s="52">
        <v>0</v>
      </c>
      <c r="AJ73" s="52">
        <v>0</v>
      </c>
      <c r="AK73" s="52">
        <v>0</v>
      </c>
      <c r="AL73" s="52">
        <v>0</v>
      </c>
      <c r="AM73" s="52">
        <v>0</v>
      </c>
      <c r="AN73" s="52">
        <v>0</v>
      </c>
      <c r="AO73" s="55"/>
      <c r="AP73" s="52">
        <v>1</v>
      </c>
      <c r="AQ73" s="52">
        <v>0</v>
      </c>
      <c r="AR73" s="52">
        <v>0</v>
      </c>
      <c r="AS73" s="52">
        <v>0</v>
      </c>
      <c r="AT73" s="52">
        <v>0</v>
      </c>
      <c r="AU73" s="52">
        <v>0</v>
      </c>
      <c r="AV73" s="42">
        <v>3</v>
      </c>
      <c r="AW73" s="42"/>
      <c r="AX73" s="42">
        <v>3</v>
      </c>
      <c r="AY73" s="42">
        <v>0</v>
      </c>
      <c r="AZ73" s="42">
        <f t="shared" si="16"/>
        <v>6</v>
      </c>
      <c r="BA73" s="42">
        <v>3</v>
      </c>
      <c r="BB73" s="42">
        <v>0</v>
      </c>
      <c r="BC73" s="42">
        <f t="shared" si="17"/>
        <v>3</v>
      </c>
      <c r="BD73" s="42"/>
      <c r="BE73" s="42"/>
      <c r="BF73" s="42"/>
      <c r="BG73" s="42"/>
      <c r="BH73" s="42">
        <f t="shared" si="18"/>
        <v>0</v>
      </c>
      <c r="BI73" s="42">
        <v>2</v>
      </c>
      <c r="BJ73" s="42"/>
      <c r="BK73" s="42">
        <v>1</v>
      </c>
      <c r="BL73" s="42"/>
      <c r="BM73" s="42">
        <f t="shared" si="19"/>
        <v>12</v>
      </c>
    </row>
    <row r="74" s="29" customFormat="1" ht="30" customHeight="1" spans="1:65">
      <c r="A74" s="41">
        <v>17</v>
      </c>
      <c r="B74" s="42" t="s">
        <v>613</v>
      </c>
      <c r="C74" s="42" t="s">
        <v>614</v>
      </c>
      <c r="D74" s="41" t="s">
        <v>565</v>
      </c>
      <c r="E74" s="43" t="s">
        <v>615</v>
      </c>
      <c r="F74" s="42" t="s">
        <v>416</v>
      </c>
      <c r="G74" s="42" t="s">
        <v>399</v>
      </c>
      <c r="H74" s="42">
        <v>34.1</v>
      </c>
      <c r="I74" s="42">
        <v>1989</v>
      </c>
      <c r="J74" s="42">
        <v>2017</v>
      </c>
      <c r="K74" s="42">
        <v>4.72</v>
      </c>
      <c r="L74" s="42"/>
      <c r="M74" s="42"/>
      <c r="N74" s="42"/>
      <c r="O74" s="52" t="s">
        <v>400</v>
      </c>
      <c r="P74" s="52">
        <v>10.07</v>
      </c>
      <c r="Q74" s="52">
        <v>1</v>
      </c>
      <c r="R74" s="52" t="s">
        <v>401</v>
      </c>
      <c r="S74" s="52" t="s">
        <v>401</v>
      </c>
      <c r="T74" s="52">
        <v>7</v>
      </c>
      <c r="U74" s="52" t="s">
        <v>435</v>
      </c>
      <c r="V74" s="52" t="s">
        <v>403</v>
      </c>
      <c r="W74" s="52">
        <v>1</v>
      </c>
      <c r="X74" s="52">
        <v>0</v>
      </c>
      <c r="Y74" s="52">
        <v>2</v>
      </c>
      <c r="Z74" s="52">
        <v>1</v>
      </c>
      <c r="AA74" s="52">
        <v>0</v>
      </c>
      <c r="AB74" s="52">
        <v>2</v>
      </c>
      <c r="AC74" s="52">
        <v>1</v>
      </c>
      <c r="AD74" s="52">
        <v>0</v>
      </c>
      <c r="AE74" s="52">
        <v>2</v>
      </c>
      <c r="AF74" s="52">
        <v>0</v>
      </c>
      <c r="AG74" s="52">
        <v>2</v>
      </c>
      <c r="AH74" s="52">
        <v>0</v>
      </c>
      <c r="AI74" s="52">
        <v>0</v>
      </c>
      <c r="AJ74" s="52">
        <v>0</v>
      </c>
      <c r="AK74" s="52">
        <v>0</v>
      </c>
      <c r="AL74" s="52">
        <v>1</v>
      </c>
      <c r="AM74" s="52">
        <v>0</v>
      </c>
      <c r="AN74" s="52">
        <v>0</v>
      </c>
      <c r="AO74" s="52"/>
      <c r="AP74" s="52">
        <v>1</v>
      </c>
      <c r="AQ74" s="52">
        <v>0</v>
      </c>
      <c r="AR74" s="52">
        <v>0</v>
      </c>
      <c r="AS74" s="52">
        <v>0</v>
      </c>
      <c r="AT74" s="52">
        <v>0</v>
      </c>
      <c r="AU74" s="52">
        <v>0</v>
      </c>
      <c r="AV74" s="42">
        <v>3</v>
      </c>
      <c r="AW74" s="42"/>
      <c r="AX74" s="42">
        <v>3</v>
      </c>
      <c r="AY74" s="42">
        <v>1</v>
      </c>
      <c r="AZ74" s="42">
        <f t="shared" si="16"/>
        <v>7</v>
      </c>
      <c r="BA74" s="42">
        <v>3</v>
      </c>
      <c r="BB74" s="42">
        <v>1</v>
      </c>
      <c r="BC74" s="42">
        <f t="shared" si="17"/>
        <v>4</v>
      </c>
      <c r="BD74" s="42"/>
      <c r="BE74" s="42"/>
      <c r="BF74" s="42"/>
      <c r="BG74" s="42"/>
      <c r="BH74" s="42">
        <f t="shared" si="18"/>
        <v>0</v>
      </c>
      <c r="BI74" s="42">
        <v>2</v>
      </c>
      <c r="BJ74" s="42"/>
      <c r="BK74" s="42">
        <v>2</v>
      </c>
      <c r="BL74" s="42"/>
      <c r="BM74" s="42">
        <f t="shared" si="19"/>
        <v>15</v>
      </c>
    </row>
    <row r="75" s="29" customFormat="1" ht="30" customHeight="1" spans="1:65">
      <c r="A75" s="41">
        <v>18</v>
      </c>
      <c r="B75" s="42" t="s">
        <v>616</v>
      </c>
      <c r="C75" s="42" t="s">
        <v>617</v>
      </c>
      <c r="D75" s="41" t="s">
        <v>565</v>
      </c>
      <c r="E75" s="43" t="s">
        <v>618</v>
      </c>
      <c r="F75" s="42" t="s">
        <v>416</v>
      </c>
      <c r="G75" s="42" t="s">
        <v>417</v>
      </c>
      <c r="H75" s="42">
        <v>25.59</v>
      </c>
      <c r="I75" s="42">
        <v>1987</v>
      </c>
      <c r="J75" s="42">
        <v>2017</v>
      </c>
      <c r="K75" s="42">
        <v>2.56</v>
      </c>
      <c r="L75" s="42"/>
      <c r="M75" s="42"/>
      <c r="N75" s="42">
        <v>2.509</v>
      </c>
      <c r="O75" s="52" t="s">
        <v>400</v>
      </c>
      <c r="P75" s="52">
        <v>3.5</v>
      </c>
      <c r="Q75" s="52">
        <v>1</v>
      </c>
      <c r="R75" s="52" t="s">
        <v>401</v>
      </c>
      <c r="S75" s="52" t="s">
        <v>401</v>
      </c>
      <c r="T75" s="52">
        <v>14</v>
      </c>
      <c r="U75" s="52" t="s">
        <v>435</v>
      </c>
      <c r="V75" s="52" t="s">
        <v>403</v>
      </c>
      <c r="W75" s="52">
        <v>1</v>
      </c>
      <c r="X75" s="52">
        <v>0</v>
      </c>
      <c r="Y75" s="52">
        <v>1</v>
      </c>
      <c r="Z75" s="52">
        <v>1</v>
      </c>
      <c r="AA75" s="52">
        <v>0</v>
      </c>
      <c r="AB75" s="52">
        <v>0</v>
      </c>
      <c r="AC75" s="52">
        <v>1</v>
      </c>
      <c r="AD75" s="52">
        <v>0</v>
      </c>
      <c r="AE75" s="52">
        <v>0</v>
      </c>
      <c r="AF75" s="52">
        <v>0</v>
      </c>
      <c r="AG75" s="52">
        <v>0</v>
      </c>
      <c r="AH75" s="52">
        <v>0</v>
      </c>
      <c r="AI75" s="52">
        <v>0</v>
      </c>
      <c r="AJ75" s="52">
        <v>0</v>
      </c>
      <c r="AK75" s="52">
        <v>0</v>
      </c>
      <c r="AL75" s="52">
        <v>0</v>
      </c>
      <c r="AM75" s="52">
        <v>0</v>
      </c>
      <c r="AN75" s="52">
        <v>0</v>
      </c>
      <c r="AO75" s="52"/>
      <c r="AP75" s="52">
        <v>1</v>
      </c>
      <c r="AQ75" s="52">
        <v>0</v>
      </c>
      <c r="AR75" s="52">
        <v>0</v>
      </c>
      <c r="AS75" s="52">
        <v>0</v>
      </c>
      <c r="AT75" s="52">
        <v>0</v>
      </c>
      <c r="AU75" s="52">
        <v>0</v>
      </c>
      <c r="AV75" s="42">
        <v>3</v>
      </c>
      <c r="AW75" s="42"/>
      <c r="AX75" s="42">
        <v>2</v>
      </c>
      <c r="AY75" s="42"/>
      <c r="AZ75" s="42">
        <f t="shared" si="16"/>
        <v>5</v>
      </c>
      <c r="BA75" s="42">
        <v>3</v>
      </c>
      <c r="BB75" s="42"/>
      <c r="BC75" s="42">
        <f t="shared" si="17"/>
        <v>3</v>
      </c>
      <c r="BD75" s="42"/>
      <c r="BE75" s="42"/>
      <c r="BF75" s="42"/>
      <c r="BG75" s="42">
        <v>1</v>
      </c>
      <c r="BH75" s="42">
        <f t="shared" si="18"/>
        <v>1</v>
      </c>
      <c r="BI75" s="42">
        <v>3</v>
      </c>
      <c r="BJ75" s="42"/>
      <c r="BK75" s="42">
        <v>1</v>
      </c>
      <c r="BL75" s="42"/>
      <c r="BM75" s="42">
        <f t="shared" si="19"/>
        <v>13</v>
      </c>
    </row>
    <row r="76" s="29" customFormat="1" ht="30" customHeight="1" spans="1:65">
      <c r="A76" s="41">
        <v>19</v>
      </c>
      <c r="B76" s="42" t="s">
        <v>619</v>
      </c>
      <c r="C76" s="42" t="s">
        <v>620</v>
      </c>
      <c r="D76" s="41" t="s">
        <v>565</v>
      </c>
      <c r="E76" s="43" t="s">
        <v>621</v>
      </c>
      <c r="F76" s="42" t="s">
        <v>491</v>
      </c>
      <c r="G76" s="42" t="s">
        <v>399</v>
      </c>
      <c r="H76" s="42">
        <v>41.9</v>
      </c>
      <c r="I76" s="42">
        <v>1987</v>
      </c>
      <c r="J76" s="42">
        <v>2017</v>
      </c>
      <c r="K76" s="42">
        <v>5.57</v>
      </c>
      <c r="L76" s="42"/>
      <c r="M76" s="42"/>
      <c r="N76" s="42"/>
      <c r="O76" s="52" t="s">
        <v>400</v>
      </c>
      <c r="P76" s="52">
        <v>17.5</v>
      </c>
      <c r="Q76" s="52">
        <v>1</v>
      </c>
      <c r="R76" s="52" t="s">
        <v>401</v>
      </c>
      <c r="S76" s="52" t="s">
        <v>401</v>
      </c>
      <c r="T76" s="52">
        <v>15</v>
      </c>
      <c r="U76" s="52" t="s">
        <v>435</v>
      </c>
      <c r="V76" s="52" t="s">
        <v>403</v>
      </c>
      <c r="W76" s="52">
        <v>1</v>
      </c>
      <c r="X76" s="52">
        <v>0</v>
      </c>
      <c r="Y76" s="52">
        <v>1</v>
      </c>
      <c r="Z76" s="52">
        <v>1</v>
      </c>
      <c r="AA76" s="52">
        <v>9</v>
      </c>
      <c r="AB76" s="52">
        <v>2</v>
      </c>
      <c r="AC76" s="52">
        <v>1</v>
      </c>
      <c r="AD76" s="52">
        <v>3</v>
      </c>
      <c r="AE76" s="52">
        <v>2</v>
      </c>
      <c r="AF76" s="52">
        <v>0</v>
      </c>
      <c r="AG76" s="52">
        <v>2</v>
      </c>
      <c r="AH76" s="52">
        <v>0</v>
      </c>
      <c r="AI76" s="52">
        <v>0</v>
      </c>
      <c r="AJ76" s="52">
        <v>0</v>
      </c>
      <c r="AK76" s="52">
        <v>0</v>
      </c>
      <c r="AL76" s="52">
        <v>0</v>
      </c>
      <c r="AM76" s="52">
        <v>0</v>
      </c>
      <c r="AN76" s="52">
        <v>0</v>
      </c>
      <c r="AO76" s="52"/>
      <c r="AP76" s="52">
        <v>1</v>
      </c>
      <c r="AQ76" s="52">
        <v>0</v>
      </c>
      <c r="AR76" s="52">
        <v>0</v>
      </c>
      <c r="AS76" s="52">
        <v>0</v>
      </c>
      <c r="AT76" s="52">
        <v>0</v>
      </c>
      <c r="AU76" s="52">
        <v>0</v>
      </c>
      <c r="AV76" s="42">
        <v>4</v>
      </c>
      <c r="AW76" s="42"/>
      <c r="AX76" s="42">
        <v>3</v>
      </c>
      <c r="AY76" s="42">
        <v>1</v>
      </c>
      <c r="AZ76" s="42">
        <f t="shared" si="16"/>
        <v>8</v>
      </c>
      <c r="BA76" s="42">
        <v>4</v>
      </c>
      <c r="BB76" s="42">
        <v>1</v>
      </c>
      <c r="BC76" s="42">
        <f t="shared" si="17"/>
        <v>5</v>
      </c>
      <c r="BD76" s="42"/>
      <c r="BE76" s="42"/>
      <c r="BF76" s="42"/>
      <c r="BG76" s="42"/>
      <c r="BH76" s="42">
        <f t="shared" si="18"/>
        <v>0</v>
      </c>
      <c r="BI76" s="42">
        <v>2</v>
      </c>
      <c r="BJ76" s="42"/>
      <c r="BK76" s="42">
        <v>1</v>
      </c>
      <c r="BL76" s="42"/>
      <c r="BM76" s="42">
        <f t="shared" si="19"/>
        <v>16</v>
      </c>
    </row>
    <row r="77" s="29" customFormat="1" ht="30" customHeight="1" spans="1:65">
      <c r="A77" s="41">
        <v>20</v>
      </c>
      <c r="B77" s="42" t="s">
        <v>622</v>
      </c>
      <c r="C77" s="42" t="s">
        <v>623</v>
      </c>
      <c r="D77" s="41" t="s">
        <v>565</v>
      </c>
      <c r="E77" s="43" t="s">
        <v>624</v>
      </c>
      <c r="F77" s="42" t="s">
        <v>38</v>
      </c>
      <c r="G77" s="42" t="s">
        <v>399</v>
      </c>
      <c r="H77" s="42">
        <v>25</v>
      </c>
      <c r="I77" s="42">
        <v>1993</v>
      </c>
      <c r="J77" s="42">
        <v>2018</v>
      </c>
      <c r="K77" s="42">
        <v>9.89</v>
      </c>
      <c r="L77" s="42">
        <v>0</v>
      </c>
      <c r="M77" s="42">
        <v>0</v>
      </c>
      <c r="N77" s="42">
        <v>0</v>
      </c>
      <c r="O77" s="52" t="s">
        <v>400</v>
      </c>
      <c r="P77" s="52">
        <v>8.63</v>
      </c>
      <c r="Q77" s="52">
        <v>1</v>
      </c>
      <c r="R77" s="52" t="s">
        <v>401</v>
      </c>
      <c r="S77" s="52" t="s">
        <v>401</v>
      </c>
      <c r="T77" s="52">
        <v>4</v>
      </c>
      <c r="U77" s="52" t="s">
        <v>435</v>
      </c>
      <c r="V77" s="52" t="s">
        <v>403</v>
      </c>
      <c r="W77" s="52">
        <v>1</v>
      </c>
      <c r="X77" s="52">
        <v>0</v>
      </c>
      <c r="Y77" s="52">
        <v>1</v>
      </c>
      <c r="Z77" s="52">
        <v>1</v>
      </c>
      <c r="AA77" s="52">
        <v>4</v>
      </c>
      <c r="AB77" s="52">
        <v>2</v>
      </c>
      <c r="AC77" s="52">
        <v>0</v>
      </c>
      <c r="AD77" s="52">
        <v>2</v>
      </c>
      <c r="AE77" s="52">
        <v>2</v>
      </c>
      <c r="AF77" s="52">
        <v>0</v>
      </c>
      <c r="AG77" s="52">
        <v>2</v>
      </c>
      <c r="AH77" s="52">
        <v>0</v>
      </c>
      <c r="AI77" s="52">
        <v>0</v>
      </c>
      <c r="AJ77" s="52">
        <v>0</v>
      </c>
      <c r="AK77" s="52">
        <v>0</v>
      </c>
      <c r="AL77" s="52">
        <v>0</v>
      </c>
      <c r="AM77" s="52">
        <v>0</v>
      </c>
      <c r="AN77" s="52">
        <v>0</v>
      </c>
      <c r="AO77" s="52"/>
      <c r="AP77" s="52">
        <v>1</v>
      </c>
      <c r="AQ77" s="52">
        <v>0</v>
      </c>
      <c r="AR77" s="52">
        <v>0</v>
      </c>
      <c r="AS77" s="52">
        <v>0</v>
      </c>
      <c r="AT77" s="52">
        <v>0</v>
      </c>
      <c r="AU77" s="52">
        <v>0</v>
      </c>
      <c r="AV77" s="42">
        <v>2</v>
      </c>
      <c r="AW77" s="42">
        <v>0</v>
      </c>
      <c r="AX77" s="42">
        <v>3</v>
      </c>
      <c r="AY77" s="42">
        <v>0</v>
      </c>
      <c r="AZ77" s="42">
        <f t="shared" si="16"/>
        <v>5</v>
      </c>
      <c r="BA77" s="42">
        <v>2</v>
      </c>
      <c r="BB77" s="42">
        <v>0</v>
      </c>
      <c r="BC77" s="42">
        <f t="shared" si="17"/>
        <v>2</v>
      </c>
      <c r="BD77" s="42">
        <v>0</v>
      </c>
      <c r="BE77" s="42">
        <v>0</v>
      </c>
      <c r="BF77" s="42">
        <v>0</v>
      </c>
      <c r="BG77" s="42">
        <v>0</v>
      </c>
      <c r="BH77" s="42">
        <f t="shared" si="18"/>
        <v>0</v>
      </c>
      <c r="BI77" s="42">
        <v>2</v>
      </c>
      <c r="BJ77" s="42">
        <v>2</v>
      </c>
      <c r="BK77" s="42">
        <v>0</v>
      </c>
      <c r="BL77" s="42">
        <v>0</v>
      </c>
      <c r="BM77" s="42">
        <f t="shared" si="19"/>
        <v>11</v>
      </c>
    </row>
    <row r="78" s="31" customFormat="1" ht="30" customHeight="1" spans="1:65">
      <c r="A78" s="41">
        <v>21</v>
      </c>
      <c r="B78" s="58" t="s">
        <v>625</v>
      </c>
      <c r="C78" s="58" t="s">
        <v>626</v>
      </c>
      <c r="D78" s="41" t="s">
        <v>565</v>
      </c>
      <c r="E78" s="58" t="s">
        <v>627</v>
      </c>
      <c r="F78" s="58" t="s">
        <v>491</v>
      </c>
      <c r="G78" s="58" t="s">
        <v>399</v>
      </c>
      <c r="H78" s="58">
        <v>36.05</v>
      </c>
      <c r="I78" s="58" t="s">
        <v>628</v>
      </c>
      <c r="J78" s="58">
        <v>2019</v>
      </c>
      <c r="K78" s="64">
        <v>3.943</v>
      </c>
      <c r="L78" s="64">
        <v>0</v>
      </c>
      <c r="M78" s="64">
        <v>0</v>
      </c>
      <c r="N78" s="64">
        <v>0</v>
      </c>
      <c r="O78" s="58" t="s">
        <v>400</v>
      </c>
      <c r="P78" s="58">
        <v>20</v>
      </c>
      <c r="Q78" s="58">
        <v>1</v>
      </c>
      <c r="R78" s="58" t="s">
        <v>401</v>
      </c>
      <c r="S78" s="58" t="s">
        <v>401</v>
      </c>
      <c r="T78" s="58">
        <v>16</v>
      </c>
      <c r="U78" s="58" t="s">
        <v>470</v>
      </c>
      <c r="V78" s="58" t="s">
        <v>629</v>
      </c>
      <c r="W78" s="58">
        <v>2</v>
      </c>
      <c r="X78" s="58">
        <v>2</v>
      </c>
      <c r="Y78" s="58">
        <v>20</v>
      </c>
      <c r="Z78" s="58">
        <v>1</v>
      </c>
      <c r="AA78" s="58">
        <v>7</v>
      </c>
      <c r="AB78" s="58">
        <v>2</v>
      </c>
      <c r="AC78" s="58">
        <v>1</v>
      </c>
      <c r="AD78" s="58">
        <v>2</v>
      </c>
      <c r="AE78" s="58">
        <v>2</v>
      </c>
      <c r="AF78" s="58">
        <v>0</v>
      </c>
      <c r="AG78" s="58">
        <v>2</v>
      </c>
      <c r="AH78" s="58">
        <v>0</v>
      </c>
      <c r="AI78" s="58">
        <v>0</v>
      </c>
      <c r="AJ78" s="58">
        <v>0</v>
      </c>
      <c r="AK78" s="58">
        <v>2</v>
      </c>
      <c r="AL78" s="58">
        <v>0</v>
      </c>
      <c r="AM78" s="58">
        <v>0</v>
      </c>
      <c r="AN78" s="58">
        <v>0</v>
      </c>
      <c r="AO78" s="58"/>
      <c r="AP78" s="58">
        <v>0</v>
      </c>
      <c r="AQ78" s="58">
        <v>0</v>
      </c>
      <c r="AR78" s="58">
        <v>0</v>
      </c>
      <c r="AS78" s="58">
        <v>0</v>
      </c>
      <c r="AT78" s="58">
        <v>0</v>
      </c>
      <c r="AU78" s="58">
        <v>0</v>
      </c>
      <c r="AV78" s="58">
        <v>2</v>
      </c>
      <c r="AW78" s="58">
        <v>1</v>
      </c>
      <c r="AX78" s="58">
        <v>2</v>
      </c>
      <c r="AY78" s="58">
        <v>1</v>
      </c>
      <c r="AZ78" s="66">
        <f t="shared" si="16"/>
        <v>6</v>
      </c>
      <c r="BA78" s="58">
        <v>3</v>
      </c>
      <c r="BB78" s="58">
        <v>1</v>
      </c>
      <c r="BC78" s="66">
        <f t="shared" si="17"/>
        <v>4</v>
      </c>
      <c r="BD78" s="58">
        <v>0</v>
      </c>
      <c r="BE78" s="58">
        <v>0</v>
      </c>
      <c r="BF78" s="58">
        <v>0</v>
      </c>
      <c r="BG78" s="58">
        <v>0</v>
      </c>
      <c r="BH78" s="66">
        <f t="shared" si="18"/>
        <v>0</v>
      </c>
      <c r="BI78" s="58">
        <v>2</v>
      </c>
      <c r="BJ78" s="58">
        <v>0</v>
      </c>
      <c r="BK78" s="58">
        <v>2</v>
      </c>
      <c r="BL78" s="58">
        <v>1</v>
      </c>
      <c r="BM78" s="66">
        <f t="shared" si="19"/>
        <v>15</v>
      </c>
    </row>
    <row r="79" s="29" customFormat="1" ht="30" customHeight="1" spans="1:65">
      <c r="A79" s="41">
        <v>22</v>
      </c>
      <c r="B79" s="42" t="s">
        <v>630</v>
      </c>
      <c r="C79" s="42" t="s">
        <v>631</v>
      </c>
      <c r="D79" s="41" t="s">
        <v>565</v>
      </c>
      <c r="E79" s="43" t="s">
        <v>632</v>
      </c>
      <c r="F79" s="42" t="s">
        <v>398</v>
      </c>
      <c r="G79" s="42" t="s">
        <v>417</v>
      </c>
      <c r="H79" s="42">
        <v>46.64</v>
      </c>
      <c r="I79" s="42">
        <v>1988</v>
      </c>
      <c r="J79" s="42">
        <v>2017</v>
      </c>
      <c r="K79" s="42"/>
      <c r="L79" s="42"/>
      <c r="M79" s="42"/>
      <c r="N79" s="42"/>
      <c r="O79" s="52" t="s">
        <v>400</v>
      </c>
      <c r="P79" s="43">
        <v>0</v>
      </c>
      <c r="Q79" s="52">
        <v>2</v>
      </c>
      <c r="R79" s="52" t="s">
        <v>401</v>
      </c>
      <c r="S79" s="52" t="s">
        <v>401</v>
      </c>
      <c r="T79" s="52">
        <v>18</v>
      </c>
      <c r="U79" s="52" t="s">
        <v>435</v>
      </c>
      <c r="V79" s="52" t="s">
        <v>403</v>
      </c>
      <c r="W79" s="52">
        <v>1</v>
      </c>
      <c r="X79" s="52">
        <v>1</v>
      </c>
      <c r="Y79" s="52">
        <v>1</v>
      </c>
      <c r="Z79" s="52">
        <v>1</v>
      </c>
      <c r="AA79" s="52">
        <v>8</v>
      </c>
      <c r="AB79" s="52">
        <v>2</v>
      </c>
      <c r="AC79" s="52">
        <v>0</v>
      </c>
      <c r="AD79" s="52">
        <v>2</v>
      </c>
      <c r="AE79" s="52">
        <v>2</v>
      </c>
      <c r="AF79" s="52">
        <v>0</v>
      </c>
      <c r="AG79" s="52">
        <v>2</v>
      </c>
      <c r="AH79" s="52">
        <v>0</v>
      </c>
      <c r="AI79" s="52">
        <v>0</v>
      </c>
      <c r="AJ79" s="52">
        <v>0</v>
      </c>
      <c r="AK79" s="52">
        <v>0</v>
      </c>
      <c r="AL79" s="52">
        <v>0</v>
      </c>
      <c r="AM79" s="52">
        <v>0</v>
      </c>
      <c r="AN79" s="52">
        <v>0</v>
      </c>
      <c r="AO79" s="52"/>
      <c r="AP79" s="52">
        <v>1</v>
      </c>
      <c r="AQ79" s="52">
        <v>0</v>
      </c>
      <c r="AR79" s="52">
        <v>0</v>
      </c>
      <c r="AS79" s="52">
        <v>0</v>
      </c>
      <c r="AT79" s="52">
        <v>0</v>
      </c>
      <c r="AU79" s="52">
        <v>0</v>
      </c>
      <c r="AV79" s="42">
        <v>2</v>
      </c>
      <c r="AW79" s="42"/>
      <c r="AX79" s="42">
        <v>2</v>
      </c>
      <c r="AY79" s="42"/>
      <c r="AZ79" s="42">
        <f t="shared" si="16"/>
        <v>4</v>
      </c>
      <c r="BA79" s="42">
        <v>5</v>
      </c>
      <c r="BB79" s="42">
        <v>1</v>
      </c>
      <c r="BC79" s="42">
        <f t="shared" si="17"/>
        <v>6</v>
      </c>
      <c r="BD79" s="42"/>
      <c r="BE79" s="42"/>
      <c r="BF79" s="42"/>
      <c r="BG79" s="42"/>
      <c r="BH79" s="42">
        <f t="shared" si="18"/>
        <v>0</v>
      </c>
      <c r="BI79" s="42">
        <v>2</v>
      </c>
      <c r="BJ79" s="42"/>
      <c r="BK79" s="42">
        <v>2</v>
      </c>
      <c r="BL79" s="42"/>
      <c r="BM79" s="42">
        <f t="shared" si="19"/>
        <v>14</v>
      </c>
    </row>
    <row r="80" s="30" customFormat="1" ht="30" customHeight="1" spans="1:65">
      <c r="A80" s="44" t="s">
        <v>53</v>
      </c>
      <c r="B80" s="45"/>
      <c r="C80" s="45">
        <f>A79</f>
        <v>22</v>
      </c>
      <c r="D80" s="44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53"/>
      <c r="P80" s="53"/>
      <c r="Q80" s="53"/>
      <c r="R80" s="53"/>
      <c r="S80" s="53"/>
      <c r="T80" s="53"/>
      <c r="U80" s="53"/>
      <c r="V80" s="53"/>
      <c r="W80" s="53">
        <f t="shared" ref="W80:BM80" si="20">SUM(W58:W79)</f>
        <v>23</v>
      </c>
      <c r="X80" s="53">
        <f t="shared" si="20"/>
        <v>6</v>
      </c>
      <c r="Y80" s="53">
        <f t="shared" si="20"/>
        <v>44</v>
      </c>
      <c r="Z80" s="53">
        <f t="shared" si="20"/>
        <v>21</v>
      </c>
      <c r="AA80" s="53">
        <f t="shared" si="20"/>
        <v>96</v>
      </c>
      <c r="AB80" s="53">
        <f t="shared" si="20"/>
        <v>41</v>
      </c>
      <c r="AC80" s="53">
        <f t="shared" si="20"/>
        <v>11</v>
      </c>
      <c r="AD80" s="53">
        <f t="shared" si="20"/>
        <v>33</v>
      </c>
      <c r="AE80" s="53">
        <f t="shared" si="20"/>
        <v>28</v>
      </c>
      <c r="AF80" s="53">
        <f t="shared" si="20"/>
        <v>0</v>
      </c>
      <c r="AG80" s="53">
        <f t="shared" si="20"/>
        <v>33</v>
      </c>
      <c r="AH80" s="53">
        <f t="shared" si="20"/>
        <v>0</v>
      </c>
      <c r="AI80" s="53">
        <f t="shared" si="20"/>
        <v>0</v>
      </c>
      <c r="AJ80" s="53">
        <f t="shared" si="20"/>
        <v>0</v>
      </c>
      <c r="AK80" s="53">
        <f t="shared" si="20"/>
        <v>48</v>
      </c>
      <c r="AL80" s="53">
        <f t="shared" si="20"/>
        <v>4</v>
      </c>
      <c r="AM80" s="53">
        <f t="shared" si="20"/>
        <v>0</v>
      </c>
      <c r="AN80" s="53">
        <f t="shared" si="20"/>
        <v>0</v>
      </c>
      <c r="AO80" s="53">
        <f t="shared" si="20"/>
        <v>0</v>
      </c>
      <c r="AP80" s="53">
        <f t="shared" si="20"/>
        <v>21</v>
      </c>
      <c r="AQ80" s="53">
        <f t="shared" si="20"/>
        <v>0</v>
      </c>
      <c r="AR80" s="53">
        <f t="shared" si="20"/>
        <v>0</v>
      </c>
      <c r="AS80" s="53">
        <f t="shared" si="20"/>
        <v>0</v>
      </c>
      <c r="AT80" s="53">
        <f t="shared" si="20"/>
        <v>0</v>
      </c>
      <c r="AU80" s="53">
        <f t="shared" si="20"/>
        <v>0</v>
      </c>
      <c r="AV80" s="53">
        <f t="shared" si="20"/>
        <v>52</v>
      </c>
      <c r="AW80" s="53">
        <f t="shared" si="20"/>
        <v>2</v>
      </c>
      <c r="AX80" s="53">
        <f t="shared" si="20"/>
        <v>58</v>
      </c>
      <c r="AY80" s="53">
        <f t="shared" si="20"/>
        <v>12</v>
      </c>
      <c r="AZ80" s="53">
        <f t="shared" si="20"/>
        <v>124</v>
      </c>
      <c r="BA80" s="53">
        <f t="shared" si="20"/>
        <v>65</v>
      </c>
      <c r="BB80" s="53">
        <f t="shared" si="20"/>
        <v>13</v>
      </c>
      <c r="BC80" s="53">
        <f t="shared" si="20"/>
        <v>78</v>
      </c>
      <c r="BD80" s="53">
        <f t="shared" si="20"/>
        <v>0</v>
      </c>
      <c r="BE80" s="53">
        <f t="shared" si="20"/>
        <v>0</v>
      </c>
      <c r="BF80" s="53">
        <f t="shared" si="20"/>
        <v>0</v>
      </c>
      <c r="BG80" s="53">
        <f t="shared" si="20"/>
        <v>1</v>
      </c>
      <c r="BH80" s="53">
        <f t="shared" si="20"/>
        <v>1</v>
      </c>
      <c r="BI80" s="53">
        <f t="shared" si="20"/>
        <v>49</v>
      </c>
      <c r="BJ80" s="53">
        <f t="shared" si="20"/>
        <v>4</v>
      </c>
      <c r="BK80" s="53">
        <f t="shared" si="20"/>
        <v>32</v>
      </c>
      <c r="BL80" s="53">
        <f t="shared" si="20"/>
        <v>4</v>
      </c>
      <c r="BM80" s="53">
        <f t="shared" si="20"/>
        <v>292</v>
      </c>
    </row>
    <row r="81" s="29" customFormat="1" ht="30" customHeight="1" spans="1:65">
      <c r="A81" s="41">
        <v>1</v>
      </c>
      <c r="B81" s="43" t="s">
        <v>633</v>
      </c>
      <c r="C81" s="42" t="s">
        <v>634</v>
      </c>
      <c r="D81" s="41" t="s">
        <v>635</v>
      </c>
      <c r="E81" s="43" t="s">
        <v>636</v>
      </c>
      <c r="F81" s="42" t="s">
        <v>398</v>
      </c>
      <c r="G81" s="42" t="s">
        <v>399</v>
      </c>
      <c r="H81" s="43">
        <v>23</v>
      </c>
      <c r="I81" s="42"/>
      <c r="J81" s="42">
        <v>2018</v>
      </c>
      <c r="K81" s="42">
        <v>2.3</v>
      </c>
      <c r="L81" s="42"/>
      <c r="M81" s="42">
        <v>3.75</v>
      </c>
      <c r="N81" s="42"/>
      <c r="O81" s="43"/>
      <c r="P81" s="43">
        <v>0</v>
      </c>
      <c r="Q81" s="52">
        <v>1</v>
      </c>
      <c r="R81" s="43"/>
      <c r="S81" s="43"/>
      <c r="T81" s="52">
        <v>13</v>
      </c>
      <c r="U81" s="52" t="s">
        <v>435</v>
      </c>
      <c r="V81" s="43"/>
      <c r="W81" s="43">
        <v>1</v>
      </c>
      <c r="X81" s="52">
        <v>1</v>
      </c>
      <c r="Y81" s="43">
        <v>1</v>
      </c>
      <c r="Z81" s="52">
        <v>1</v>
      </c>
      <c r="AA81" s="52">
        <v>0</v>
      </c>
      <c r="AB81" s="52">
        <v>0</v>
      </c>
      <c r="AC81" s="52">
        <v>0</v>
      </c>
      <c r="AD81" s="52">
        <v>0</v>
      </c>
      <c r="AE81" s="52">
        <v>0</v>
      </c>
      <c r="AF81" s="52">
        <v>0</v>
      </c>
      <c r="AG81" s="52">
        <v>0</v>
      </c>
      <c r="AH81" s="52">
        <v>0</v>
      </c>
      <c r="AI81" s="52">
        <v>0</v>
      </c>
      <c r="AJ81" s="52">
        <v>0</v>
      </c>
      <c r="AK81" s="52">
        <v>0</v>
      </c>
      <c r="AL81" s="52">
        <v>0</v>
      </c>
      <c r="AM81" s="52">
        <v>0</v>
      </c>
      <c r="AN81" s="52">
        <v>0</v>
      </c>
      <c r="AO81" s="42"/>
      <c r="AP81" s="52">
        <v>1</v>
      </c>
      <c r="AQ81" s="52">
        <v>0</v>
      </c>
      <c r="AR81" s="52">
        <v>0</v>
      </c>
      <c r="AS81" s="52">
        <v>0</v>
      </c>
      <c r="AT81" s="52">
        <v>0</v>
      </c>
      <c r="AU81" s="52">
        <v>0</v>
      </c>
      <c r="AV81" s="42">
        <v>1</v>
      </c>
      <c r="AW81" s="42"/>
      <c r="AX81" s="42">
        <v>1</v>
      </c>
      <c r="AY81" s="42">
        <v>0</v>
      </c>
      <c r="AZ81" s="42">
        <f>SUM(AV81:AY81)</f>
        <v>2</v>
      </c>
      <c r="BA81" s="42">
        <v>2</v>
      </c>
      <c r="BB81" s="42">
        <v>0</v>
      </c>
      <c r="BC81" s="42">
        <f>SUM(BA81:BB81)</f>
        <v>2</v>
      </c>
      <c r="BD81" s="42"/>
      <c r="BE81" s="42"/>
      <c r="BF81" s="42"/>
      <c r="BG81" s="42"/>
      <c r="BH81" s="42">
        <f>SUM(BD81:BG81)</f>
        <v>0</v>
      </c>
      <c r="BI81" s="42"/>
      <c r="BJ81" s="42"/>
      <c r="BK81" s="42"/>
      <c r="BL81" s="42"/>
      <c r="BM81" s="42">
        <f>SUM(AZ81,BC81,BH81:BL81)</f>
        <v>4</v>
      </c>
    </row>
    <row r="82" s="30" customFormat="1" ht="30" customHeight="1" spans="1:65">
      <c r="A82" s="44" t="s">
        <v>53</v>
      </c>
      <c r="B82" s="59"/>
      <c r="C82" s="45">
        <f>A81</f>
        <v>1</v>
      </c>
      <c r="D82" s="44"/>
      <c r="E82" s="59"/>
      <c r="F82" s="45"/>
      <c r="G82" s="45"/>
      <c r="H82" s="59"/>
      <c r="I82" s="45"/>
      <c r="J82" s="45"/>
      <c r="K82" s="45"/>
      <c r="L82" s="45"/>
      <c r="M82" s="45"/>
      <c r="N82" s="45"/>
      <c r="O82" s="59"/>
      <c r="P82" s="59"/>
      <c r="Q82" s="53"/>
      <c r="R82" s="59"/>
      <c r="S82" s="59"/>
      <c r="T82" s="53"/>
      <c r="U82" s="53"/>
      <c r="V82" s="59"/>
      <c r="W82" s="59">
        <f t="shared" ref="W82:BM82" si="21">SUM(W81)</f>
        <v>1</v>
      </c>
      <c r="X82" s="59">
        <f t="shared" si="21"/>
        <v>1</v>
      </c>
      <c r="Y82" s="59">
        <f t="shared" si="21"/>
        <v>1</v>
      </c>
      <c r="Z82" s="59">
        <f t="shared" si="21"/>
        <v>1</v>
      </c>
      <c r="AA82" s="59">
        <f t="shared" si="21"/>
        <v>0</v>
      </c>
      <c r="AB82" s="59">
        <f t="shared" si="21"/>
        <v>0</v>
      </c>
      <c r="AC82" s="59">
        <f t="shared" si="21"/>
        <v>0</v>
      </c>
      <c r="AD82" s="59">
        <f t="shared" si="21"/>
        <v>0</v>
      </c>
      <c r="AE82" s="59">
        <f t="shared" si="21"/>
        <v>0</v>
      </c>
      <c r="AF82" s="59">
        <f t="shared" si="21"/>
        <v>0</v>
      </c>
      <c r="AG82" s="59">
        <f t="shared" si="21"/>
        <v>0</v>
      </c>
      <c r="AH82" s="59">
        <f t="shared" si="21"/>
        <v>0</v>
      </c>
      <c r="AI82" s="59">
        <f t="shared" si="21"/>
        <v>0</v>
      </c>
      <c r="AJ82" s="59">
        <f t="shared" si="21"/>
        <v>0</v>
      </c>
      <c r="AK82" s="59">
        <f t="shared" si="21"/>
        <v>0</v>
      </c>
      <c r="AL82" s="59">
        <f t="shared" si="21"/>
        <v>0</v>
      </c>
      <c r="AM82" s="59">
        <f t="shared" si="21"/>
        <v>0</v>
      </c>
      <c r="AN82" s="59">
        <f t="shared" si="21"/>
        <v>0</v>
      </c>
      <c r="AO82" s="59">
        <f t="shared" si="21"/>
        <v>0</v>
      </c>
      <c r="AP82" s="59">
        <f t="shared" si="21"/>
        <v>1</v>
      </c>
      <c r="AQ82" s="59">
        <f t="shared" si="21"/>
        <v>0</v>
      </c>
      <c r="AR82" s="59">
        <f t="shared" si="21"/>
        <v>0</v>
      </c>
      <c r="AS82" s="59">
        <f t="shared" si="21"/>
        <v>0</v>
      </c>
      <c r="AT82" s="59">
        <f t="shared" si="21"/>
        <v>0</v>
      </c>
      <c r="AU82" s="59">
        <f t="shared" si="21"/>
        <v>0</v>
      </c>
      <c r="AV82" s="59">
        <f t="shared" si="21"/>
        <v>1</v>
      </c>
      <c r="AW82" s="59">
        <f t="shared" si="21"/>
        <v>0</v>
      </c>
      <c r="AX82" s="59">
        <f t="shared" si="21"/>
        <v>1</v>
      </c>
      <c r="AY82" s="59">
        <f t="shared" si="21"/>
        <v>0</v>
      </c>
      <c r="AZ82" s="59">
        <f t="shared" si="21"/>
        <v>2</v>
      </c>
      <c r="BA82" s="59">
        <f t="shared" si="21"/>
        <v>2</v>
      </c>
      <c r="BB82" s="59">
        <f t="shared" si="21"/>
        <v>0</v>
      </c>
      <c r="BC82" s="59">
        <f t="shared" si="21"/>
        <v>2</v>
      </c>
      <c r="BD82" s="59">
        <f t="shared" si="21"/>
        <v>0</v>
      </c>
      <c r="BE82" s="59">
        <f t="shared" si="21"/>
        <v>0</v>
      </c>
      <c r="BF82" s="59">
        <f t="shared" si="21"/>
        <v>0</v>
      </c>
      <c r="BG82" s="59">
        <f t="shared" si="21"/>
        <v>0</v>
      </c>
      <c r="BH82" s="59">
        <f t="shared" si="21"/>
        <v>0</v>
      </c>
      <c r="BI82" s="59">
        <f t="shared" si="21"/>
        <v>0</v>
      </c>
      <c r="BJ82" s="59">
        <f t="shared" si="21"/>
        <v>0</v>
      </c>
      <c r="BK82" s="59">
        <f t="shared" si="21"/>
        <v>0</v>
      </c>
      <c r="BL82" s="59">
        <f t="shared" si="21"/>
        <v>0</v>
      </c>
      <c r="BM82" s="59">
        <f t="shared" si="21"/>
        <v>4</v>
      </c>
    </row>
    <row r="83" s="32" customFormat="1" ht="30" customHeight="1" spans="1:65">
      <c r="A83" s="60" t="s">
        <v>327</v>
      </c>
      <c r="B83" s="61">
        <f>C82+C80+B57+C21+C16+C6</f>
        <v>73</v>
      </c>
      <c r="C83" s="62"/>
      <c r="D83" s="61"/>
      <c r="E83" s="62"/>
      <c r="F83" s="61"/>
      <c r="G83" s="62"/>
      <c r="H83" s="61"/>
      <c r="I83" s="62"/>
      <c r="J83" s="61"/>
      <c r="K83" s="62"/>
      <c r="L83" s="61"/>
      <c r="M83" s="62"/>
      <c r="N83" s="65"/>
      <c r="O83" s="65"/>
      <c r="P83" s="65"/>
      <c r="Q83" s="65"/>
      <c r="R83" s="65"/>
      <c r="S83" s="65"/>
      <c r="T83" s="65"/>
      <c r="U83" s="65"/>
      <c r="V83" s="65"/>
      <c r="W83" s="60">
        <f t="shared" ref="W83:BM83" si="22">W82+W80+W57+W21+W16+W6</f>
        <v>74</v>
      </c>
      <c r="X83" s="60">
        <f t="shared" si="22"/>
        <v>14</v>
      </c>
      <c r="Y83" s="60">
        <f t="shared" si="22"/>
        <v>95</v>
      </c>
      <c r="Z83" s="60">
        <f t="shared" si="22"/>
        <v>72</v>
      </c>
      <c r="AA83" s="60">
        <f t="shared" si="22"/>
        <v>341</v>
      </c>
      <c r="AB83" s="60">
        <f t="shared" si="22"/>
        <v>136</v>
      </c>
      <c r="AC83" s="60">
        <f t="shared" si="22"/>
        <v>48</v>
      </c>
      <c r="AD83" s="60">
        <f t="shared" si="22"/>
        <v>126</v>
      </c>
      <c r="AE83" s="60">
        <f t="shared" si="22"/>
        <v>106</v>
      </c>
      <c r="AF83" s="60">
        <f t="shared" si="22"/>
        <v>3</v>
      </c>
      <c r="AG83" s="60">
        <f t="shared" si="22"/>
        <v>110</v>
      </c>
      <c r="AH83" s="60">
        <f t="shared" si="22"/>
        <v>2</v>
      </c>
      <c r="AI83" s="60">
        <f t="shared" si="22"/>
        <v>10</v>
      </c>
      <c r="AJ83" s="60">
        <f t="shared" si="22"/>
        <v>0</v>
      </c>
      <c r="AK83" s="60">
        <f t="shared" si="22"/>
        <v>182</v>
      </c>
      <c r="AL83" s="60">
        <f t="shared" si="22"/>
        <v>6</v>
      </c>
      <c r="AM83" s="60">
        <f t="shared" si="22"/>
        <v>1</v>
      </c>
      <c r="AN83" s="60">
        <f t="shared" si="22"/>
        <v>0</v>
      </c>
      <c r="AO83" s="60">
        <f t="shared" si="22"/>
        <v>0</v>
      </c>
      <c r="AP83" s="60">
        <f t="shared" si="22"/>
        <v>71</v>
      </c>
      <c r="AQ83" s="60">
        <f t="shared" si="22"/>
        <v>1</v>
      </c>
      <c r="AR83" s="60">
        <f t="shared" si="22"/>
        <v>4</v>
      </c>
      <c r="AS83" s="60">
        <f t="shared" si="22"/>
        <v>2</v>
      </c>
      <c r="AT83" s="60">
        <f t="shared" si="22"/>
        <v>0</v>
      </c>
      <c r="AU83" s="60">
        <f t="shared" si="22"/>
        <v>15</v>
      </c>
      <c r="AV83" s="60">
        <f t="shared" si="22"/>
        <v>217</v>
      </c>
      <c r="AW83" s="60">
        <f t="shared" si="22"/>
        <v>6</v>
      </c>
      <c r="AX83" s="60">
        <f t="shared" si="22"/>
        <v>225</v>
      </c>
      <c r="AY83" s="60">
        <f t="shared" si="22"/>
        <v>50</v>
      </c>
      <c r="AZ83" s="60">
        <f t="shared" si="22"/>
        <v>498</v>
      </c>
      <c r="BA83" s="60">
        <f t="shared" si="22"/>
        <v>300</v>
      </c>
      <c r="BB83" s="60">
        <f t="shared" si="22"/>
        <v>64</v>
      </c>
      <c r="BC83" s="60">
        <f t="shared" si="22"/>
        <v>364</v>
      </c>
      <c r="BD83" s="60">
        <f t="shared" si="22"/>
        <v>4</v>
      </c>
      <c r="BE83" s="60">
        <f t="shared" si="22"/>
        <v>2</v>
      </c>
      <c r="BF83" s="60">
        <f t="shared" si="22"/>
        <v>0</v>
      </c>
      <c r="BG83" s="60">
        <f t="shared" si="22"/>
        <v>35</v>
      </c>
      <c r="BH83" s="60">
        <f t="shared" si="22"/>
        <v>41</v>
      </c>
      <c r="BI83" s="60">
        <f t="shared" si="22"/>
        <v>178</v>
      </c>
      <c r="BJ83" s="60">
        <f t="shared" si="22"/>
        <v>42</v>
      </c>
      <c r="BK83" s="60">
        <f t="shared" si="22"/>
        <v>110</v>
      </c>
      <c r="BL83" s="60">
        <f t="shared" si="22"/>
        <v>14</v>
      </c>
      <c r="BM83" s="60">
        <f t="shared" si="22"/>
        <v>1247</v>
      </c>
    </row>
    <row r="84" ht="9.65" customHeight="1"/>
  </sheetData>
  <mergeCells count="63">
    <mergeCell ref="E1:N1"/>
    <mergeCell ref="O1:Z1"/>
    <mergeCell ref="AA1:AO1"/>
    <mergeCell ref="AP1:AU1"/>
    <mergeCell ref="AV1:BM1"/>
    <mergeCell ref="AM2:AO2"/>
    <mergeCell ref="AV2:AZ2"/>
    <mergeCell ref="BA2:BC2"/>
    <mergeCell ref="BD2:BH2"/>
    <mergeCell ref="BI2:BJ2"/>
    <mergeCell ref="B57:C57"/>
    <mergeCell ref="B83:C83"/>
    <mergeCell ref="F83:G83"/>
    <mergeCell ref="H83:I83"/>
    <mergeCell ref="J83:K83"/>
    <mergeCell ref="L83:M83"/>
    <mergeCell ref="A1:A3"/>
    <mergeCell ref="B1:B3"/>
    <mergeCell ref="C1:C3"/>
    <mergeCell ref="D1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P2:AP3"/>
    <mergeCell ref="AQ2:AQ3"/>
    <mergeCell ref="AR2:AR3"/>
    <mergeCell ref="AS2:AS3"/>
    <mergeCell ref="AT2:AT3"/>
    <mergeCell ref="AU2:AU3"/>
    <mergeCell ref="BK2:BK3"/>
    <mergeCell ref="BL2:BL3"/>
    <mergeCell ref="BM2:BM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85" zoomScaleNormal="85" workbookViewId="0">
      <selection activeCell="P15" sqref="P15"/>
    </sheetView>
  </sheetViews>
  <sheetFormatPr defaultColWidth="9" defaultRowHeight="14"/>
  <cols>
    <col min="2" max="2" width="23.0909090909091" customWidth="1"/>
    <col min="3" max="3" width="20.4545454545455" customWidth="1"/>
    <col min="4" max="4" width="20.2727272727273" customWidth="1"/>
    <col min="5" max="5" width="8.09090909090909" customWidth="1"/>
    <col min="6" max="6" width="10.3636363636364"/>
    <col min="8" max="8" width="11.4545454545455"/>
    <col min="9" max="9" width="10.3636363636364"/>
    <col min="10" max="10" width="11.4545454545455"/>
    <col min="12" max="12" width="11.4545454545455"/>
  </cols>
  <sheetData>
    <row r="1" ht="39" spans="1:13">
      <c r="A1" s="10" t="s">
        <v>637</v>
      </c>
      <c r="B1" s="10" t="s">
        <v>112</v>
      </c>
      <c r="C1" s="10" t="s">
        <v>113</v>
      </c>
      <c r="D1" s="10" t="s">
        <v>114</v>
      </c>
      <c r="E1" s="10" t="s">
        <v>638</v>
      </c>
      <c r="F1" s="11" t="s">
        <v>115</v>
      </c>
      <c r="G1" s="11" t="s">
        <v>116</v>
      </c>
      <c r="H1" s="12" t="s">
        <v>117</v>
      </c>
      <c r="I1" s="12" t="s">
        <v>8</v>
      </c>
      <c r="J1" s="12" t="s">
        <v>9</v>
      </c>
      <c r="K1" s="12" t="s">
        <v>10</v>
      </c>
      <c r="L1" s="12" t="s">
        <v>118</v>
      </c>
      <c r="M1" s="12" t="s">
        <v>12</v>
      </c>
    </row>
    <row r="2" spans="1:13">
      <c r="A2" s="13">
        <v>1</v>
      </c>
      <c r="B2" s="13" t="s">
        <v>639</v>
      </c>
      <c r="C2" s="13" t="s">
        <v>24</v>
      </c>
      <c r="D2" s="13" t="s">
        <v>17</v>
      </c>
      <c r="E2" s="13" t="s">
        <v>212</v>
      </c>
      <c r="F2" s="14">
        <v>119.61</v>
      </c>
      <c r="G2" s="15">
        <f>17.9+2.9+3.12</f>
        <v>23.92</v>
      </c>
      <c r="H2" s="16">
        <f t="shared" ref="H2:H16" si="0">G2*F2/10000</f>
        <v>0.28610712</v>
      </c>
      <c r="I2" s="16">
        <f>17.9*F2/10000</f>
        <v>0.2141019</v>
      </c>
      <c r="J2" s="16">
        <f>(2.9+3.12)*F2/10000</f>
        <v>0.07200522</v>
      </c>
      <c r="K2" s="16">
        <v>0</v>
      </c>
      <c r="L2" s="16">
        <f t="shared" ref="L2:L17" si="1">K2+J2+I2</f>
        <v>0.28610712</v>
      </c>
      <c r="M2" s="16">
        <v>0</v>
      </c>
    </row>
    <row r="3" spans="1:13">
      <c r="A3" s="17">
        <v>2</v>
      </c>
      <c r="B3" s="17" t="s">
        <v>640</v>
      </c>
      <c r="C3" s="13" t="s">
        <v>641</v>
      </c>
      <c r="D3" s="13" t="s">
        <v>642</v>
      </c>
      <c r="E3" s="13" t="s">
        <v>212</v>
      </c>
      <c r="F3" s="18">
        <v>67</v>
      </c>
      <c r="G3" s="15">
        <v>5.78</v>
      </c>
      <c r="H3" s="16">
        <f t="shared" si="0"/>
        <v>0.038726</v>
      </c>
      <c r="I3" s="16">
        <f>5.8*F3/10000</f>
        <v>0.03886</v>
      </c>
      <c r="J3" s="16">
        <v>0</v>
      </c>
      <c r="K3" s="16">
        <v>0</v>
      </c>
      <c r="L3" s="16">
        <f t="shared" si="1"/>
        <v>0.03886</v>
      </c>
      <c r="M3" s="16">
        <v>0</v>
      </c>
    </row>
    <row r="4" spans="1:13">
      <c r="A4" s="19"/>
      <c r="B4" s="19"/>
      <c r="C4" s="13" t="s">
        <v>642</v>
      </c>
      <c r="D4" s="13" t="s">
        <v>643</v>
      </c>
      <c r="E4" s="13" t="s">
        <v>212</v>
      </c>
      <c r="F4" s="18">
        <v>70</v>
      </c>
      <c r="G4" s="15">
        <v>8.38</v>
      </c>
      <c r="H4" s="16">
        <f t="shared" si="0"/>
        <v>0.05866</v>
      </c>
      <c r="I4" s="16">
        <f>8.4*F4/10000</f>
        <v>0.0588</v>
      </c>
      <c r="J4" s="16">
        <v>0</v>
      </c>
      <c r="K4" s="16">
        <v>0</v>
      </c>
      <c r="L4" s="16">
        <f t="shared" si="1"/>
        <v>0.0588</v>
      </c>
      <c r="M4" s="16">
        <v>0</v>
      </c>
    </row>
    <row r="5" spans="1:13">
      <c r="A5" s="20"/>
      <c r="B5" s="20"/>
      <c r="C5" s="13" t="s">
        <v>643</v>
      </c>
      <c r="D5" s="13" t="s">
        <v>644</v>
      </c>
      <c r="E5" s="13" t="s">
        <v>212</v>
      </c>
      <c r="F5" s="18">
        <v>211.66</v>
      </c>
      <c r="G5" s="15">
        <v>4.2</v>
      </c>
      <c r="H5" s="16">
        <f t="shared" si="0"/>
        <v>0.0888972</v>
      </c>
      <c r="I5" s="16">
        <f>4.2*F5/10000</f>
        <v>0.0888972</v>
      </c>
      <c r="J5" s="16">
        <v>0</v>
      </c>
      <c r="K5" s="16">
        <v>0</v>
      </c>
      <c r="L5" s="16">
        <f t="shared" si="1"/>
        <v>0.0888972</v>
      </c>
      <c r="M5" s="16">
        <v>0</v>
      </c>
    </row>
    <row r="6" s="9" customFormat="1" ht="24" customHeight="1" spans="1:13">
      <c r="A6" s="21" t="s">
        <v>53</v>
      </c>
      <c r="B6" s="22"/>
      <c r="C6" s="23"/>
      <c r="D6" s="10"/>
      <c r="E6" s="10"/>
      <c r="F6" s="24">
        <f>SUM(F2:F5)</f>
        <v>468.27</v>
      </c>
      <c r="G6" s="24">
        <f t="shared" ref="G6:M6" si="2">SUM(G2:G5)</f>
        <v>42.28</v>
      </c>
      <c r="H6" s="24">
        <f t="shared" si="2"/>
        <v>0.47239032</v>
      </c>
      <c r="I6" s="24">
        <f t="shared" si="2"/>
        <v>0.4006591</v>
      </c>
      <c r="J6" s="24">
        <f t="shared" si="2"/>
        <v>0.07200522</v>
      </c>
      <c r="K6" s="24">
        <f t="shared" si="2"/>
        <v>0</v>
      </c>
      <c r="L6" s="24">
        <f t="shared" si="1"/>
        <v>0.47266432</v>
      </c>
      <c r="M6" s="24">
        <f t="shared" si="2"/>
        <v>0</v>
      </c>
    </row>
    <row r="7" spans="1:13">
      <c r="A7" s="13">
        <v>3</v>
      </c>
      <c r="B7" s="13" t="s">
        <v>645</v>
      </c>
      <c r="C7" s="25" t="s">
        <v>646</v>
      </c>
      <c r="D7" s="13" t="s">
        <v>647</v>
      </c>
      <c r="E7" s="13" t="s">
        <v>212</v>
      </c>
      <c r="F7" s="18">
        <v>157.28</v>
      </c>
      <c r="G7" s="15">
        <v>8.6</v>
      </c>
      <c r="H7" s="16">
        <f t="shared" si="0"/>
        <v>0.1352608</v>
      </c>
      <c r="I7" s="16">
        <f>8.6*F7/10000</f>
        <v>0.1352608</v>
      </c>
      <c r="J7" s="27">
        <v>0</v>
      </c>
      <c r="K7" s="16">
        <v>0</v>
      </c>
      <c r="L7" s="16">
        <f t="shared" si="1"/>
        <v>0.1352608</v>
      </c>
      <c r="M7" s="27">
        <v>0</v>
      </c>
    </row>
    <row r="8" spans="1:13">
      <c r="A8" s="17">
        <v>4</v>
      </c>
      <c r="B8" s="17" t="s">
        <v>648</v>
      </c>
      <c r="C8" s="25" t="s">
        <v>649</v>
      </c>
      <c r="D8" s="25" t="s">
        <v>650</v>
      </c>
      <c r="E8" s="13" t="s">
        <v>212</v>
      </c>
      <c r="F8" s="18">
        <v>81.73</v>
      </c>
      <c r="G8" s="15">
        <v>6</v>
      </c>
      <c r="H8" s="16">
        <f t="shared" si="0"/>
        <v>0.049038</v>
      </c>
      <c r="I8" s="16">
        <f>6*F8/10000</f>
        <v>0.049038</v>
      </c>
      <c r="J8" s="27">
        <v>0</v>
      </c>
      <c r="K8" s="16">
        <v>0</v>
      </c>
      <c r="L8" s="16">
        <f t="shared" si="1"/>
        <v>0.049038</v>
      </c>
      <c r="M8" s="27">
        <v>0</v>
      </c>
    </row>
    <row r="9" spans="1:13">
      <c r="A9" s="20"/>
      <c r="B9" s="20"/>
      <c r="C9" s="25" t="s">
        <v>650</v>
      </c>
      <c r="D9" s="25" t="s">
        <v>651</v>
      </c>
      <c r="E9" s="13" t="s">
        <v>212</v>
      </c>
      <c r="F9" s="18">
        <v>47.66</v>
      </c>
      <c r="G9" s="15">
        <v>7.8</v>
      </c>
      <c r="H9" s="16">
        <f t="shared" si="0"/>
        <v>0.0371748</v>
      </c>
      <c r="I9" s="16">
        <f>7.8*F9/10000</f>
        <v>0.0371748</v>
      </c>
      <c r="J9" s="27">
        <v>0</v>
      </c>
      <c r="K9" s="16">
        <v>0</v>
      </c>
      <c r="L9" s="16">
        <f t="shared" si="1"/>
        <v>0.0371748</v>
      </c>
      <c r="M9" s="27">
        <v>0</v>
      </c>
    </row>
    <row r="10" spans="1:13">
      <c r="A10" s="13">
        <v>5</v>
      </c>
      <c r="B10" s="13" t="s">
        <v>652</v>
      </c>
      <c r="C10" s="25" t="s">
        <v>653</v>
      </c>
      <c r="D10" s="25" t="s">
        <v>654</v>
      </c>
      <c r="E10" s="13" t="s">
        <v>212</v>
      </c>
      <c r="F10" s="18">
        <v>99.38</v>
      </c>
      <c r="G10" s="15">
        <v>5.48</v>
      </c>
      <c r="H10" s="16">
        <f t="shared" si="0"/>
        <v>0.05446024</v>
      </c>
      <c r="I10" s="16">
        <f>5.48*F10/10000</f>
        <v>0.05446024</v>
      </c>
      <c r="J10" s="27">
        <v>0</v>
      </c>
      <c r="K10" s="16">
        <v>0</v>
      </c>
      <c r="L10" s="16">
        <f t="shared" si="1"/>
        <v>0.05446024</v>
      </c>
      <c r="M10" s="27">
        <v>0</v>
      </c>
    </row>
    <row r="11" spans="1:13">
      <c r="A11" s="13">
        <v>6</v>
      </c>
      <c r="B11" s="13" t="s">
        <v>655</v>
      </c>
      <c r="C11" s="25" t="s">
        <v>75</v>
      </c>
      <c r="D11" s="25" t="s">
        <v>170</v>
      </c>
      <c r="E11" s="13" t="s">
        <v>212</v>
      </c>
      <c r="F11" s="18">
        <v>171.27</v>
      </c>
      <c r="G11" s="15">
        <f>12+3.1+4.2</f>
        <v>19.3</v>
      </c>
      <c r="H11" s="16">
        <f t="shared" si="0"/>
        <v>0.3305511</v>
      </c>
      <c r="I11" s="16">
        <f>12*F11/10000</f>
        <v>0.205524</v>
      </c>
      <c r="J11" s="27">
        <f>(3.1+4.2)*F11/10000</f>
        <v>0.1250271</v>
      </c>
      <c r="K11" s="16">
        <v>0</v>
      </c>
      <c r="L11" s="16">
        <f t="shared" si="1"/>
        <v>0.3305511</v>
      </c>
      <c r="M11" s="27">
        <v>0</v>
      </c>
    </row>
    <row r="12" spans="1:13">
      <c r="A12" s="13">
        <v>7</v>
      </c>
      <c r="B12" s="13" t="s">
        <v>656</v>
      </c>
      <c r="C12" s="26" t="s">
        <v>170</v>
      </c>
      <c r="D12" s="25" t="s">
        <v>76</v>
      </c>
      <c r="E12" s="13" t="s">
        <v>212</v>
      </c>
      <c r="F12" s="18">
        <v>145.7</v>
      </c>
      <c r="G12" s="15">
        <f>4.89+0.9+1.1</f>
        <v>6.89</v>
      </c>
      <c r="H12" s="16">
        <f t="shared" si="0"/>
        <v>0.1003873</v>
      </c>
      <c r="I12" s="16">
        <f>4.89*F12/10000</f>
        <v>0.0712473</v>
      </c>
      <c r="J12" s="27">
        <f>(0.9+1.1)*F12/10000</f>
        <v>0.02914</v>
      </c>
      <c r="K12" s="16">
        <v>0</v>
      </c>
      <c r="L12" s="16">
        <f t="shared" si="1"/>
        <v>0.1003873</v>
      </c>
      <c r="M12" s="27">
        <v>0</v>
      </c>
    </row>
    <row r="13" spans="1:13">
      <c r="A13" s="13">
        <v>8</v>
      </c>
      <c r="B13" s="13" t="s">
        <v>657</v>
      </c>
      <c r="C13" s="26" t="s">
        <v>58</v>
      </c>
      <c r="D13" s="25" t="s">
        <v>658</v>
      </c>
      <c r="E13" s="13" t="s">
        <v>212</v>
      </c>
      <c r="F13" s="18">
        <v>92.52</v>
      </c>
      <c r="G13" s="15">
        <v>4.57</v>
      </c>
      <c r="H13" s="16">
        <f t="shared" si="0"/>
        <v>0.04228164</v>
      </c>
      <c r="I13" s="16">
        <f t="shared" ref="I13:I16" si="3">G13*F13/10000</f>
        <v>0.04228164</v>
      </c>
      <c r="J13" s="27">
        <v>0</v>
      </c>
      <c r="K13" s="16">
        <v>0</v>
      </c>
      <c r="L13" s="16">
        <f t="shared" si="1"/>
        <v>0.04228164</v>
      </c>
      <c r="M13" s="27">
        <v>0</v>
      </c>
    </row>
    <row r="14" spans="1:13">
      <c r="A14" s="13">
        <v>9</v>
      </c>
      <c r="B14" s="13" t="s">
        <v>659</v>
      </c>
      <c r="C14" s="26" t="s">
        <v>58</v>
      </c>
      <c r="D14" s="25" t="s">
        <v>660</v>
      </c>
      <c r="E14" s="13" t="s">
        <v>212</v>
      </c>
      <c r="F14" s="18">
        <v>74.83</v>
      </c>
      <c r="G14" s="15">
        <v>6.75</v>
      </c>
      <c r="H14" s="16">
        <f t="shared" si="0"/>
        <v>0.05051025</v>
      </c>
      <c r="I14" s="16">
        <f t="shared" si="3"/>
        <v>0.05051025</v>
      </c>
      <c r="J14" s="27">
        <v>0</v>
      </c>
      <c r="K14" s="16">
        <f>1*F14/10000</f>
        <v>0.007483</v>
      </c>
      <c r="L14" s="16">
        <f t="shared" si="1"/>
        <v>0.05799325</v>
      </c>
      <c r="M14" s="27">
        <v>0</v>
      </c>
    </row>
    <row r="15" spans="1:13">
      <c r="A15" s="17">
        <v>10</v>
      </c>
      <c r="B15" s="17" t="s">
        <v>661</v>
      </c>
      <c r="C15" s="26" t="s">
        <v>72</v>
      </c>
      <c r="D15" s="25" t="s">
        <v>662</v>
      </c>
      <c r="E15" s="13" t="s">
        <v>212</v>
      </c>
      <c r="F15" s="18">
        <v>75.95</v>
      </c>
      <c r="G15" s="15">
        <v>4</v>
      </c>
      <c r="H15" s="16">
        <f t="shared" si="0"/>
        <v>0.03038</v>
      </c>
      <c r="I15" s="16">
        <f t="shared" si="3"/>
        <v>0.03038</v>
      </c>
      <c r="J15" s="27">
        <v>0</v>
      </c>
      <c r="K15" s="16">
        <v>0</v>
      </c>
      <c r="L15" s="16">
        <f t="shared" si="1"/>
        <v>0.03038</v>
      </c>
      <c r="M15" s="27">
        <v>0</v>
      </c>
    </row>
    <row r="16" spans="1:13">
      <c r="A16" s="20"/>
      <c r="B16" s="20"/>
      <c r="C16" s="26" t="s">
        <v>662</v>
      </c>
      <c r="D16" s="25" t="s">
        <v>663</v>
      </c>
      <c r="E16" s="13" t="s">
        <v>212</v>
      </c>
      <c r="F16" s="18">
        <v>70.39</v>
      </c>
      <c r="G16" s="15">
        <v>4.7</v>
      </c>
      <c r="H16" s="16">
        <f t="shared" si="0"/>
        <v>0.0330833</v>
      </c>
      <c r="I16" s="16">
        <f t="shared" si="3"/>
        <v>0.0330833</v>
      </c>
      <c r="J16" s="27">
        <v>0</v>
      </c>
      <c r="K16" s="16">
        <v>0</v>
      </c>
      <c r="L16" s="16">
        <f t="shared" si="1"/>
        <v>0.0330833</v>
      </c>
      <c r="M16" s="27">
        <v>0</v>
      </c>
    </row>
    <row r="17" s="9" customFormat="1" ht="24" customHeight="1" spans="1:13">
      <c r="A17" s="21" t="s">
        <v>53</v>
      </c>
      <c r="B17" s="22"/>
      <c r="C17" s="23"/>
      <c r="D17" s="10"/>
      <c r="E17" s="10"/>
      <c r="F17" s="24">
        <f>SUM(F7:F16)</f>
        <v>1016.71</v>
      </c>
      <c r="G17" s="24">
        <f t="shared" ref="G17:M17" si="4">SUM(G7:G16)</f>
        <v>74.09</v>
      </c>
      <c r="H17" s="24">
        <f t="shared" si="4"/>
        <v>0.86312743</v>
      </c>
      <c r="I17" s="24">
        <f t="shared" si="4"/>
        <v>0.70896033</v>
      </c>
      <c r="J17" s="24">
        <f t="shared" si="4"/>
        <v>0.1541671</v>
      </c>
      <c r="K17" s="24">
        <f t="shared" si="4"/>
        <v>0.007483</v>
      </c>
      <c r="L17" s="24">
        <f t="shared" si="1"/>
        <v>0.87061043</v>
      </c>
      <c r="M17" s="24">
        <f t="shared" si="4"/>
        <v>0</v>
      </c>
    </row>
    <row r="18" spans="1:13">
      <c r="A18" s="10" t="s">
        <v>327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mergeCells count="9">
    <mergeCell ref="A6:B6"/>
    <mergeCell ref="A17:B17"/>
    <mergeCell ref="A18:M18"/>
    <mergeCell ref="A3:A5"/>
    <mergeCell ref="A8:A9"/>
    <mergeCell ref="A15:A16"/>
    <mergeCell ref="B3:B5"/>
    <mergeCell ref="B8:B9"/>
    <mergeCell ref="B15:B16"/>
  </mergeCells>
  <pageMargins left="0.75" right="0.75" top="1" bottom="1" header="0.5" footer="0.5"/>
  <headerFooter/>
  <ignoredErrors>
    <ignoredError sqref="L17 L6" formula="1"/>
    <ignoredError sqref="H2:I16 J7:L16 J6:K6 J2:L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zoomScale="70" zoomScaleNormal="70" workbookViewId="0">
      <selection activeCell="G12" sqref="G12"/>
    </sheetView>
  </sheetViews>
  <sheetFormatPr defaultColWidth="9" defaultRowHeight="14" outlineLevelCol="2"/>
  <cols>
    <col min="1" max="1" width="10.0909090909091" style="1" customWidth="1"/>
    <col min="2" max="2" width="34.4545454545455" style="1" customWidth="1"/>
    <col min="3" max="3" width="19.9090909090909" style="1" customWidth="1"/>
    <col min="4" max="16384" width="9" style="1"/>
  </cols>
  <sheetData>
    <row r="1" ht="30" customHeight="1" spans="1:3">
      <c r="A1" s="2" t="s">
        <v>0</v>
      </c>
      <c r="B1" s="2" t="s">
        <v>332</v>
      </c>
      <c r="C1" s="2" t="s">
        <v>664</v>
      </c>
    </row>
    <row r="2" ht="22" customHeight="1" spans="1:3">
      <c r="A2" s="3">
        <v>1</v>
      </c>
      <c r="B2" s="4" t="s">
        <v>665</v>
      </c>
      <c r="C2" s="3" t="s">
        <v>666</v>
      </c>
    </row>
    <row r="3" ht="22" customHeight="1" spans="1:3">
      <c r="A3" s="3">
        <v>2</v>
      </c>
      <c r="B3" s="4" t="s">
        <v>667</v>
      </c>
      <c r="C3" s="3" t="s">
        <v>666</v>
      </c>
    </row>
    <row r="4" ht="22" customHeight="1" spans="1:3">
      <c r="A4" s="3">
        <v>3</v>
      </c>
      <c r="B4" s="4" t="s">
        <v>668</v>
      </c>
      <c r="C4" s="3" t="s">
        <v>666</v>
      </c>
    </row>
    <row r="5" ht="22" customHeight="1" spans="1:3">
      <c r="A5" s="3">
        <v>4</v>
      </c>
      <c r="B5" s="3" t="s">
        <v>669</v>
      </c>
      <c r="C5" s="3" t="s">
        <v>666</v>
      </c>
    </row>
    <row r="6" ht="22" customHeight="1" spans="1:3">
      <c r="A6" s="3">
        <v>5</v>
      </c>
      <c r="B6" s="3" t="s">
        <v>670</v>
      </c>
      <c r="C6" s="3" t="s">
        <v>666</v>
      </c>
    </row>
    <row r="7" ht="22" customHeight="1" spans="1:3">
      <c r="A7" s="3">
        <v>6</v>
      </c>
      <c r="B7" s="4" t="s">
        <v>240</v>
      </c>
      <c r="C7" s="3" t="s">
        <v>666</v>
      </c>
    </row>
    <row r="8" ht="22" customHeight="1" spans="1:3">
      <c r="A8" s="3">
        <v>7</v>
      </c>
      <c r="B8" s="4" t="s">
        <v>671</v>
      </c>
      <c r="C8" s="3" t="s">
        <v>672</v>
      </c>
    </row>
    <row r="9" ht="22" customHeight="1" spans="1:3">
      <c r="A9" s="3">
        <v>8</v>
      </c>
      <c r="B9" s="4" t="s">
        <v>673</v>
      </c>
      <c r="C9" s="3" t="s">
        <v>672</v>
      </c>
    </row>
    <row r="10" ht="22" customHeight="1" spans="1:3">
      <c r="A10" s="5" t="s">
        <v>674</v>
      </c>
      <c r="B10" s="5">
        <v>8</v>
      </c>
      <c r="C10" s="6"/>
    </row>
    <row r="11" ht="22" customHeight="1" spans="1:3">
      <c r="A11" s="3">
        <v>1</v>
      </c>
      <c r="B11" s="3" t="s">
        <v>675</v>
      </c>
      <c r="C11" s="3"/>
    </row>
    <row r="12" ht="22" customHeight="1" spans="1:3">
      <c r="A12" s="3">
        <v>2</v>
      </c>
      <c r="B12" s="3" t="s">
        <v>676</v>
      </c>
      <c r="C12" s="3"/>
    </row>
    <row r="13" ht="22" customHeight="1" spans="1:3">
      <c r="A13" s="5" t="s">
        <v>674</v>
      </c>
      <c r="B13" s="5">
        <v>2</v>
      </c>
      <c r="C13" s="7"/>
    </row>
    <row r="14" ht="22" customHeight="1" spans="1:3">
      <c r="A14" s="5" t="s">
        <v>677</v>
      </c>
      <c r="B14" s="5">
        <v>10</v>
      </c>
      <c r="C14" s="5"/>
    </row>
    <row r="15" spans="1:3">
      <c r="A15" s="8"/>
      <c r="B15" s="8"/>
      <c r="C15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道路（设施量内）</vt:lpstr>
      <vt:lpstr>街巷（设施量内）</vt:lpstr>
      <vt:lpstr>街巷（设施量内拓宽或延长）</vt:lpstr>
      <vt:lpstr>公厕（设施量内）</vt:lpstr>
      <vt:lpstr>设施量外街巷</vt:lpstr>
      <vt:lpstr>设施量外公厕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WPS_1699528920</cp:lastModifiedBy>
  <dcterms:created xsi:type="dcterms:W3CDTF">2023-05-12T11:15:00Z</dcterms:created>
  <dcterms:modified xsi:type="dcterms:W3CDTF">2025-09-09T08:31:46Z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70900691C5074E5581086C6FC224E3B9_13</vt:lpwstr>
  </property>
</Properties>
</file>