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市政养护作业采购项目\正\2025年无锡市市管城市隧道（立交）群市政养护作业采购项目招标资料\报价清单\"/>
    </mc:Choice>
  </mc:AlternateContent>
  <xr:revisionPtr revIDLastSave="0" documentId="13_ncr:1_{BC277199-9F55-468D-A66A-061FE9EEED90}" xr6:coauthVersionLast="47" xr6:coauthVersionMax="47" xr10:uidLastSave="{00000000-0000-0000-0000-000000000000}"/>
  <bookViews>
    <workbookView xWindow="-120" yWindow="-120" windowWidth="29040" windowHeight="15840" tabRatio="861" firstSheet="1" activeTab="1" xr2:uid="{00000000-000D-0000-FFFF-FFFF00000000}"/>
  </bookViews>
  <sheets>
    <sheet name="请勿删除" sheetId="1" state="hidden" r:id="rId1"/>
    <sheet name="汇总 " sheetId="20" r:id="rId2"/>
    <sheet name="青祁隧道市政设施" sheetId="21" r:id="rId3"/>
    <sheet name="蠡湖隧道市政设施" sheetId="22" r:id="rId4"/>
    <sheet name="太湖大道隧道市政设施" sheetId="23" r:id="rId5"/>
    <sheet name="金城隧道市政设施" sheetId="24" r:id="rId6"/>
    <sheet name="惠山隧道市政设施" sheetId="25" r:id="rId7"/>
    <sheet name="桃花山隧道市政设施" sheetId="41" r:id="rId8"/>
    <sheet name="隐秀立交市政设施" sheetId="26" r:id="rId9"/>
    <sheet name="红星立交市政设施" sheetId="27" r:id="rId10"/>
    <sheet name="通江立交市政设施" sheetId="28" r:id="rId11"/>
    <sheet name="周新立交市政设施" sheetId="30" r:id="rId12"/>
    <sheet name="学府立交市政设施" sheetId="31" r:id="rId13"/>
    <sheet name="雪浪立交市政设施" sheetId="32" r:id="rId14"/>
    <sheet name="南泉立交市政设施" sheetId="33" r:id="rId15"/>
    <sheet name="广通立交市政设施" sheetId="34" r:id="rId16"/>
    <sheet name="人行地道市政设施" sheetId="11" r:id="rId17"/>
    <sheet name="五爱人行地道市政设施" sheetId="43" r:id="rId18"/>
  </sheets>
  <definedNames>
    <definedName name="_xlnm._FilterDatabase" localSheetId="13" hidden="1">雪浪立交市政设施!$A$1:$H$28</definedName>
    <definedName name="_xlnm.Print_Area" localSheetId="14">南泉立交市政设施!$A$1:$H$29</definedName>
    <definedName name="_xlnm.Print_Area" localSheetId="2">青祁隧道市政设施!$A$1:$H$30,青祁隧道市政设施!$R$20</definedName>
    <definedName name="_xlnm.Print_Area" localSheetId="11">周新立交市政设施!$A$1:$H$28</definedName>
    <definedName name="_xlnm.Print_Titles" localSheetId="15">广通立交市政设施!$1:$2</definedName>
    <definedName name="_xlnm.Print_Titles" localSheetId="9">红星立交市政设施!$1:$2</definedName>
    <definedName name="_xlnm.Print_Titles" localSheetId="1">'汇总 '!$2:$2</definedName>
    <definedName name="_xlnm.Print_Titles" localSheetId="6">惠山隧道市政设施!$1:$2</definedName>
    <definedName name="_xlnm.Print_Titles" localSheetId="5">金城隧道市政设施!$1:$2</definedName>
    <definedName name="_xlnm.Print_Titles" localSheetId="3">蠡湖隧道市政设施!$1:$2</definedName>
    <definedName name="_xlnm.Print_Titles" localSheetId="14">南泉立交市政设施!$1:$2</definedName>
    <definedName name="_xlnm.Print_Titles" localSheetId="2">青祁隧道市政设施!$1:$2</definedName>
    <definedName name="_xlnm.Print_Titles" localSheetId="16">人行地道市政设施!$1:$2</definedName>
    <definedName name="_xlnm.Print_Titles" localSheetId="4">太湖大道隧道市政设施!$1:$2</definedName>
    <definedName name="_xlnm.Print_Titles" localSheetId="10">通江立交市政设施!$1:$2</definedName>
    <definedName name="_xlnm.Print_Titles" localSheetId="17">五爱人行地道市政设施!$1:$2</definedName>
    <definedName name="_xlnm.Print_Titles" localSheetId="12">学府立交市政设施!$1:$2</definedName>
    <definedName name="_xlnm.Print_Titles" localSheetId="13">雪浪立交市政设施!$1:$2</definedName>
    <definedName name="_xlnm.Print_Titles" localSheetId="8">隐秀立交市政设施!$1:$2</definedName>
    <definedName name="_xlnm.Print_Titles" localSheetId="11">周新立交市政设施!$1:$2</definedName>
  </definedNames>
  <calcPr calcId="191029"/>
</workbook>
</file>

<file path=xl/calcChain.xml><?xml version="1.0" encoding="utf-8"?>
<calcChain xmlns="http://schemas.openxmlformats.org/spreadsheetml/2006/main">
  <c r="E19" i="43" l="1"/>
  <c r="E18" i="43"/>
  <c r="E15" i="43"/>
  <c r="E22" i="41"/>
  <c r="E21" i="41"/>
  <c r="E18" i="41"/>
  <c r="E17" i="41"/>
  <c r="E21" i="34"/>
  <c r="E20" i="34"/>
  <c r="E17" i="34"/>
  <c r="E16" i="34"/>
  <c r="E12" i="34"/>
  <c r="E9" i="34"/>
  <c r="E6" i="34"/>
  <c r="E4" i="34"/>
  <c r="E25" i="33"/>
  <c r="E24" i="33"/>
  <c r="E21" i="33"/>
  <c r="E20" i="33"/>
  <c r="E16" i="33"/>
  <c r="E14" i="33"/>
  <c r="E13" i="33"/>
  <c r="E11" i="33"/>
  <c r="E8" i="33"/>
  <c r="E7" i="33"/>
  <c r="E6" i="33"/>
  <c r="E4" i="33"/>
  <c r="E24" i="32"/>
  <c r="E23" i="32"/>
  <c r="E20" i="32"/>
  <c r="E19" i="32"/>
  <c r="E13" i="32"/>
  <c r="E12" i="32"/>
  <c r="E10" i="32"/>
  <c r="E6" i="32"/>
  <c r="E4" i="32"/>
  <c r="E24" i="31"/>
  <c r="E23" i="31"/>
  <c r="E20" i="31"/>
  <c r="E19" i="31"/>
  <c r="B19" i="31"/>
  <c r="B19" i="32" s="1"/>
  <c r="E13" i="31"/>
  <c r="E12" i="31"/>
  <c r="E11" i="31"/>
  <c r="E10" i="31"/>
  <c r="E7" i="31"/>
  <c r="E6" i="31"/>
  <c r="E5" i="31"/>
  <c r="E4" i="31"/>
  <c r="E24" i="30"/>
  <c r="E23" i="30"/>
  <c r="E20" i="30"/>
  <c r="E19" i="30"/>
  <c r="D19" i="30"/>
  <c r="B19" i="30"/>
  <c r="E13" i="30"/>
  <c r="E12" i="30"/>
  <c r="E11" i="30"/>
  <c r="E10" i="30"/>
  <c r="E7" i="30"/>
  <c r="E6" i="30"/>
  <c r="E5" i="30"/>
  <c r="E4" i="30"/>
  <c r="E78" i="11"/>
  <c r="E77" i="11"/>
  <c r="E74" i="11"/>
  <c r="E66" i="11"/>
  <c r="E65" i="11"/>
  <c r="E58" i="11"/>
  <c r="E57" i="11"/>
  <c r="E54" i="11"/>
  <c r="E46" i="11"/>
  <c r="E45" i="11"/>
  <c r="E38" i="11"/>
  <c r="E37" i="11"/>
  <c r="E34" i="11"/>
  <c r="E26" i="11"/>
  <c r="E25" i="11"/>
  <c r="E18" i="11"/>
  <c r="E17" i="11"/>
  <c r="E14" i="11"/>
  <c r="E7" i="11"/>
  <c r="E6" i="11"/>
  <c r="E5" i="11"/>
  <c r="E16" i="28"/>
  <c r="E15" i="28"/>
  <c r="E12" i="28"/>
  <c r="E11" i="28"/>
  <c r="E5" i="28"/>
  <c r="E4" i="28"/>
  <c r="E22" i="27"/>
  <c r="E21" i="27"/>
  <c r="E18" i="27"/>
  <c r="E17" i="27"/>
  <c r="E13" i="27"/>
  <c r="E12" i="27"/>
  <c r="E11" i="27"/>
  <c r="E9" i="27"/>
  <c r="E5" i="27"/>
  <c r="E4" i="27"/>
  <c r="E23" i="26"/>
  <c r="E22" i="26"/>
  <c r="E19" i="26"/>
  <c r="E18" i="26"/>
  <c r="E13" i="26"/>
  <c r="E12" i="26"/>
  <c r="E11" i="26"/>
  <c r="E10" i="26"/>
  <c r="E9" i="26"/>
  <c r="E5" i="26"/>
  <c r="E4" i="26"/>
  <c r="E18" i="25"/>
  <c r="E17" i="25"/>
  <c r="E14" i="25"/>
  <c r="D14" i="25"/>
  <c r="D19" i="26" s="1"/>
  <c r="D18" i="27" s="1"/>
  <c r="D12" i="28" s="1"/>
  <c r="D20" i="30" s="1"/>
  <c r="D20" i="31" s="1"/>
  <c r="D20" i="32" s="1"/>
  <c r="D21" i="33" s="1"/>
  <c r="D17" i="34" s="1"/>
  <c r="D18" i="41" s="1"/>
  <c r="E13" i="25"/>
  <c r="E9" i="25"/>
  <c r="E8" i="25"/>
  <c r="E7" i="25"/>
  <c r="E4" i="25"/>
  <c r="E25" i="24"/>
  <c r="E24" i="24"/>
  <c r="E21" i="24"/>
  <c r="E20" i="24"/>
  <c r="E16" i="24"/>
  <c r="E15" i="24"/>
  <c r="E14" i="24"/>
  <c r="E13" i="24"/>
  <c r="E12" i="24"/>
  <c r="E7" i="24"/>
  <c r="E5" i="24"/>
  <c r="E4" i="24"/>
  <c r="E21" i="23"/>
  <c r="E20" i="23"/>
  <c r="E17" i="23"/>
  <c r="B17" i="23"/>
  <c r="B21" i="24" s="1"/>
  <c r="B14" i="25" s="1"/>
  <c r="B19" i="26" s="1"/>
  <c r="B18" i="27" s="1"/>
  <c r="B12" i="28" s="1"/>
  <c r="B20" i="30" s="1"/>
  <c r="B20" i="31" s="1"/>
  <c r="B20" i="32" s="1"/>
  <c r="B21" i="33" s="1"/>
  <c r="B17" i="34" s="1"/>
  <c r="B18" i="41" s="1"/>
  <c r="E16" i="23"/>
  <c r="E11" i="23"/>
  <c r="E10" i="23"/>
  <c r="E9" i="23"/>
  <c r="E5" i="23"/>
  <c r="E4" i="23"/>
  <c r="E23" i="22"/>
  <c r="E22" i="22"/>
  <c r="E19" i="22"/>
  <c r="C17" i="23"/>
  <c r="B19" i="22"/>
  <c r="E18" i="22"/>
  <c r="C16" i="23"/>
  <c r="E13" i="22"/>
  <c r="E12" i="22"/>
  <c r="E11" i="22"/>
  <c r="E10" i="22"/>
  <c r="E9" i="22"/>
  <c r="E6" i="22"/>
  <c r="E5" i="22"/>
  <c r="E4" i="22"/>
  <c r="E26" i="21"/>
  <c r="E25" i="21"/>
  <c r="E22" i="21"/>
  <c r="E21" i="21"/>
  <c r="E16" i="21"/>
  <c r="E15" i="21"/>
  <c r="E14" i="21"/>
  <c r="E12" i="21"/>
  <c r="E6" i="21"/>
  <c r="E5" i="21"/>
  <c r="E4" i="21"/>
  <c r="C14" i="11" l="1"/>
  <c r="C34" i="11" s="1"/>
  <c r="C54" i="11" s="1"/>
  <c r="C74" i="11" s="1"/>
  <c r="C15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Very</author>
  </authors>
  <commentList>
    <comment ref="E6" authorId="0" shapeId="0" xr:uid="{00000000-0006-0000-0900-000001000000}">
      <text>
        <r>
          <rPr>
            <b/>
            <sz val="9"/>
            <rFont val="宋体"/>
            <family val="3"/>
            <charset val="134"/>
          </rPr>
          <t>Very:</t>
        </r>
        <r>
          <rPr>
            <sz val="9"/>
            <rFont val="宋体"/>
            <family val="3"/>
            <charset val="134"/>
          </rPr>
          <t xml:space="preserve">
安全隐患整治项目</t>
        </r>
      </text>
    </comment>
  </commentList>
</comments>
</file>

<file path=xl/sharedStrings.xml><?xml version="1.0" encoding="utf-8"?>
<sst xmlns="http://schemas.openxmlformats.org/spreadsheetml/2006/main" count="1184" uniqueCount="327">
  <si>
    <t>报告：成功合并7个工作表。</t>
  </si>
  <si>
    <t>工作簿</t>
  </si>
  <si>
    <t>工作表</t>
  </si>
  <si>
    <t>合并状态</t>
  </si>
  <si>
    <t>合并后的位置</t>
  </si>
  <si>
    <t>2025年隧道养护工程量清单及招标控制价明细表（3.6）xlsx(3).xlsx</t>
  </si>
  <si>
    <t>报告</t>
  </si>
  <si>
    <t>成功</t>
  </si>
  <si>
    <t>报告(2)'</t>
  </si>
  <si>
    <t>蠡湖</t>
  </si>
  <si>
    <t>金城</t>
  </si>
  <si>
    <t>青祁</t>
  </si>
  <si>
    <t>惠山</t>
  </si>
  <si>
    <t>隐秀</t>
  </si>
  <si>
    <t>隐秀'</t>
  </si>
  <si>
    <t>太湖大道隧道.xlsx</t>
  </si>
  <si>
    <t>太湖大道隧道</t>
  </si>
  <si>
    <t>序号</t>
  </si>
  <si>
    <t>单位工程名称</t>
  </si>
  <si>
    <t>项目名称</t>
  </si>
  <si>
    <t>项目特征</t>
  </si>
  <si>
    <t>单价（元）</t>
  </si>
  <si>
    <t>合价（元）</t>
  </si>
  <si>
    <t>备注</t>
  </si>
  <si>
    <t>沥青混凝土路面</t>
  </si>
  <si>
    <t>1、型号/规格：SMA沥青；
2、日常养护，掌握路面情况,排除有损路面的各种因素,发现路面初期病害及早修理；路面坑槽、开裂、松散、拥包修复、沥青摊铺；
3、投运日期：2024.08</t>
  </si>
  <si>
    <r>
      <rPr>
        <sz val="10"/>
        <color indexed="8"/>
        <rFont val="宋体"/>
        <family val="3"/>
        <charset val="134"/>
      </rPr>
      <t>m</t>
    </r>
    <r>
      <rPr>
        <vertAlign val="superscript"/>
        <sz val="10"/>
        <color indexed="8"/>
        <rFont val="宋体"/>
        <family val="3"/>
        <charset val="134"/>
      </rPr>
      <t>2</t>
    </r>
  </si>
  <si>
    <t>防撞墙</t>
  </si>
  <si>
    <t>1、型号/规格：1200×900，氟碳漆涂装
2、日常养护，及时发现缺陷、保持结构完好。涂料局部起壳、脱落进行修补处理（暗埋段：防火涂料；敞开段：氟碳漆）；对大面积发生脱落、风化、玷污进行表面处理后复涂；
3、投运日期：2008.09（涂刷2024）</t>
  </si>
  <si>
    <t>横截沟</t>
  </si>
  <si>
    <t>1、盖板型号/规格：（1）铸铁盖板：盖板:540(长)*650(宽)*70(厚)mm；基础：C50混凝土；（2）一体式盖板：盖板：500（长）*680（宽）mm；基础：快速混凝土；
2、日常养护，及时发现缺陷、保持结构完好、排水流速正常；结构开裂、钢筋锈蚀修复，盖板维护；
3、投运日期：2008.09</t>
  </si>
  <si>
    <t>m</t>
  </si>
  <si>
    <t>排水边沟</t>
  </si>
  <si>
    <t>1、盖板型号/规格：一体式球墨铸铁排水沟：600（长）*150（宽）*50（深）
2、日常养护，及时发现缺陷、保持结构完好、排水流速正常；结构开裂修复，盖板维护；
3、投运日期：2024.12</t>
  </si>
  <si>
    <t>雨水井</t>
  </si>
  <si>
    <r>
      <rPr>
        <sz val="10"/>
        <color rgb="FF000000"/>
        <rFont val="宋体"/>
        <family val="3"/>
        <charset val="134"/>
      </rPr>
      <t>1、型号/规格：</t>
    </r>
    <r>
      <rPr>
        <sz val="10"/>
        <color rgb="FF000000"/>
        <rFont val="Calibri"/>
        <family val="2"/>
      </rPr>
      <t>φ</t>
    </r>
    <r>
      <rPr>
        <sz val="10"/>
        <color rgb="FF000000"/>
        <rFont val="宋体"/>
        <family val="3"/>
        <charset val="134"/>
      </rPr>
      <t>700，防沉降井盖
2、日常养护，发现故障缺陷即时修复；包含清理及简单维修；
3、投运日期：2024.07</t>
    </r>
  </si>
  <si>
    <t>座</t>
  </si>
  <si>
    <t>收水井</t>
  </si>
  <si>
    <t>1、型号/规格：400*600
2、日常养护，发现故障缺陷即时修复；包含清理及简单维修；
3、投运日期：2024.07</t>
  </si>
  <si>
    <t>小计</t>
  </si>
  <si>
    <t>顶部防火板</t>
  </si>
  <si>
    <t>1、型号/规格：2440×1220（双层）；
2、日常养护，及时发现缺陷、不牢固的进行加固；发生缺损、变形进行更换；
3、投运日期：2008.09</t>
  </si>
  <si>
    <t>敞开段顶部横梁涂料</t>
  </si>
  <si>
    <t>1、型号/规格：氟碳漆；
2、日常养护，及时发现缺陷、保持结构完好。涂料局部起壳、脱落进行修补处理；对大面积发生脱落、风化、玷污进行表面处理后复涂；
3、投运日期：2008.09（涂刷2024）</t>
  </si>
  <si>
    <t>卡索板墙面</t>
  </si>
  <si>
    <t>1、型号/规格：3050*1220*5mm
2、日常养护，及时发现缺陷、保持结构完好；发生缺损、变形进行更换；
3、投运日期：2008.09</t>
  </si>
  <si>
    <t>敞开段干挂石材</t>
  </si>
  <si>
    <t>1、型号/规格：花岗岩800×800；
2、日常养护，及时发现缺陷、保持结构完好、防护网完好；结构安全检查、松动石材加固、脱落石材修复、胶缝修复；
3、投运日期：2008.09</t>
  </si>
  <si>
    <t>变形缝修补</t>
  </si>
  <si>
    <t>1、日常养护，及时发现缺陷、保持结构完好；老化、损坏密封材料更换，混凝土破损修复；
2、投运日期：2008.09</t>
  </si>
  <si>
    <t>顶部及侧墙渗漏检测堵漏（隧道长）</t>
  </si>
  <si>
    <t>1、表面清理、查找漏水点、注浆堵漏；
2、投运日期：2008.09</t>
  </si>
  <si>
    <t>隧道内外日常设施设备巡查</t>
  </si>
  <si>
    <t>1000m</t>
  </si>
  <si>
    <t>隧道保护区巡查</t>
  </si>
  <si>
    <t>定期检查隧道路面</t>
  </si>
  <si>
    <t>每月进行定期检查，使用相应的测量仪器、装备和巡检车辆进行检测并记录汇总</t>
  </si>
  <si>
    <t>定期检查主体结构</t>
  </si>
  <si>
    <t>1、型号/规格：SMA沥青；
2、日常养护，掌握路面情况,排除有损路面的各种因素,发现路面初期病害及早修理；路面坑槽、开裂、松散、拥包修复、沥青摊铺；
3、投运日期：2007.12</t>
  </si>
  <si>
    <r>
      <rPr>
        <sz val="10"/>
        <color indexed="8"/>
        <rFont val="宋体"/>
        <family val="3"/>
        <charset val="134"/>
      </rPr>
      <t>m</t>
    </r>
    <r>
      <rPr>
        <vertAlign val="superscript"/>
        <sz val="10"/>
        <color indexed="8"/>
        <rFont val="宋体"/>
        <family val="3"/>
        <charset val="134"/>
      </rPr>
      <t>2</t>
    </r>
  </si>
  <si>
    <t>1、型号/规格：1200×900，氟碳漆涂装，防火涂料涂装
2、日常养护，及时发现缺陷、保持结构完好。涂料局部起壳、脱落进行修补处理（暗埋段：防火涂料；敞开段：氟碳漆）；对大面积发生脱落、风化、玷污进行表面处理后复涂；
3、投运日期：2007.12（涂刷2024）</t>
  </si>
  <si>
    <t>1、盖板型号/规格：铸铁盖板：盖板:540(长)*650(宽)*70(厚)mm；基础：C50混凝土；
2、日常养护，及时发现缺陷、保持结构完好、排水流速正常；结构开裂、钢筋锈蚀修复，盖板维护；
3、投运日期：2007.12</t>
  </si>
  <si>
    <t>1、型号/规格：2440×1220（双层）；
2、日常养护，及时发现缺陷、不牢固的进行加固；发生缺损、变形进行更换；
3、投运日期：2007.12</t>
  </si>
  <si>
    <t>敞开段侧墙涂料</t>
  </si>
  <si>
    <t>1、型号/规格：氟碳漆；
2、日常养护，及时发现缺陷、保持结构完好。涂料局部起壳、脱落进行修补处理；对大面积发生脱落、风化、玷污进行表面处理后复涂；
3、投运日期：2007.12（涂刷2024）</t>
  </si>
  <si>
    <t>1、型号/规格：400×3000×5mm；
2、日常养护，及时发现缺陷、保持结构完好；发生缺损、变形进行更换；
3、投运日期：2007.12</t>
  </si>
  <si>
    <t>1、型号/规格：花岗岩800×800；
2、日常养护，及时发现缺陷、保持结构完好、防护网完好；结构安全检查、松动石材加固、脱落石材修复、胶缝修复；
3、投运日期：2007.12</t>
  </si>
  <si>
    <t>1、日常养护，及时发现缺陷、保持结构完好；老化、损坏密封材料更换，混凝土破损修复；
2、投运日期：2007.12</t>
  </si>
  <si>
    <t>1、表面清理、查找漏水点、注浆堵漏；
2、投运日期：2007.12</t>
  </si>
  <si>
    <t>1、型号/规格：SMA沥青；
2、日常养护，掌握路面情况,排除有损路面的各种因素,发现路面初期病害及早修理；路面坑槽、开裂、松散、拥包修复、沥青摊铺；
3、投运日期：2011.04</t>
  </si>
  <si>
    <t>1、型号/规格：1100×900，氟碳漆涂装，防火涂料涂装
2、日常养护，及时发现缺陷、保持结构完好。涂料局部起壳、脱落进行修补处理（暗埋段：防火涂料；敞开段：氟碳漆）；对大面积发生脱落、风化、玷污进行表面处理后复涂；
3、投运日期：2011.04（涂刷2021）</t>
  </si>
  <si>
    <t>1、盖板型号/规格：一体式盖板：盖板：500（长）*680（宽）mm；基础：快速混凝土
2、日常养护，及时发现缺陷、保持结构完好、排水流速正常；结构开裂、钢筋锈蚀修复，盖板维护；
3、投运日期：2024.04</t>
  </si>
  <si>
    <t>1、型号/规格：2440×1220（双层）；
2、日常养护，及时发现缺陷、不牢固的进行加固；发生缺损、变形进行更换；
3、投运日期：2011.04</t>
  </si>
  <si>
    <t>侧墙防火涂料</t>
  </si>
  <si>
    <t>1、型号/规格：无机耐火1032、1035
2、日常养护，及时发现缺陷、保持结构完好；发生缺损、变形进行更换；
3、投运日期：2021.05</t>
  </si>
  <si>
    <t>1、日常养护，及时发现缺陷、保持结构完好；老化、损坏密封材料更换，混凝土破损修复；
2、投运日期：2011.04</t>
  </si>
  <si>
    <t>1、表面清理、查找漏水点、注浆堵漏；
2、投运日期：2011.04</t>
  </si>
  <si>
    <t>1、型号/规格：SMA沥青；
2、日常养护，掌握路面情况,排除有损路面的各种因素,发现路面初期病害及早修理；路面坑槽、开裂、松散、拥包修复、沥青摊铺；
3、投运日期：2008.09</t>
  </si>
  <si>
    <t>1、型号/规格：1100×900，氟碳漆涂装，防火涂料涂装
2、日常养护，及时发现缺陷、保持结构完好。涂料局部起壳、脱落进行修补处理（暗埋段：防火涂料；敞开段：氟碳漆）；对大面积发生脱落、风化、玷污进行表面处理后复涂；
3、投运日期：2008.09（涂刷2021）</t>
  </si>
  <si>
    <t>1、盖板型号/规格：铸铁盖板：盖板:540(长)*650(宽)*70(厚)mm；基础：C50混凝土；
2、日常养护，及时发现缺陷、保持结构完好、排水流速正常；结构开裂、钢筋锈蚀修复，盖板维护；
3、投运日期：2008.09</t>
  </si>
  <si>
    <t>1、盖板型号/规格：一体式球墨铸铁排水沟：600（长）*150（宽）*50（深）
2、日常养护，及时发现缺陷、保持结构完好、排水流速正常；结构开裂、钢筋锈蚀修复，盖板维护；
3、投运日期：2024.12</t>
  </si>
  <si>
    <r>
      <rPr>
        <sz val="10"/>
        <color rgb="FF000000"/>
        <rFont val="宋体"/>
        <family val="3"/>
        <charset val="134"/>
      </rPr>
      <t>1、型号/规格：</t>
    </r>
    <r>
      <rPr>
        <sz val="10"/>
        <color rgb="FF000000"/>
        <rFont val="Calibri"/>
        <family val="2"/>
      </rPr>
      <t>φ</t>
    </r>
    <r>
      <rPr>
        <sz val="10"/>
        <color rgb="FF000000"/>
        <rFont val="宋体"/>
        <family val="3"/>
        <charset val="134"/>
      </rPr>
      <t>700，防沉降井盖
2、日常养护，发现故障缺陷即时修复；包含清理及简单维修；
3、投运日期：2024.07</t>
    </r>
  </si>
  <si>
    <t>1、型号/规格：400*600
2、日常养护，发现故障缺陷即时修复；包含清理及简单维修；
3、投运日期：2008.09</t>
  </si>
  <si>
    <t>1、型号/规格：2440×1220（双层）；
2、日常养护，及时发现缺陷、不牢固的进行加固；
3、专项维保：发生缺损、变形进行更换；
4、投运日期：2008.09</t>
  </si>
  <si>
    <t>侧墙装饰板</t>
  </si>
  <si>
    <t>1、型号/规格：搪瓷钢板，底900*1400mm；中900*600mm；上900*1530mm
2、日常养护，及时发现缺陷、保持结构完好；发生缺损、变形进行更换；
3、投运日期：2008.09</t>
  </si>
  <si>
    <t>顶部防火涂料</t>
  </si>
  <si>
    <t>1、型号/规格：防火涂料；
2、日常养护，及时发现缺陷、保持结构完好。涂料局部起壳、脱落进行修补处理；对大面积发生脱落、风化、玷污进行表面处理后复涂；
3、投运日期：2008.09</t>
  </si>
  <si>
    <t>检修道侧壁涂料</t>
  </si>
  <si>
    <t>1、型号/规格：防火涂料；
2、日常养护，及时发现缺陷、保持结构完好。涂料局部起壳、脱落进行修补处理；对大面积发生脱落、风化、玷污进行表面处理后复涂；
3、投运日期：2008.09（涂刷2021）</t>
  </si>
  <si>
    <t>1、盖板型号/规格：（1）铸铁盖板：盖板:540(长)*650(宽)*70(厚)mm；基础：C50混凝土；（2）一体式盖板：盖板：500（长）*680（宽）mm；基础：C50混凝土；
2、日常养护，及时发现缺陷、保持结构完好、排水流速正常；结构开裂、钢筋锈蚀修复，盖板维护；
3、投运日期：2019.10</t>
  </si>
  <si>
    <r>
      <rPr>
        <sz val="10"/>
        <color rgb="FF000000"/>
        <rFont val="宋体"/>
        <family val="3"/>
        <charset val="134"/>
      </rPr>
      <t>1、型号/规格：</t>
    </r>
    <r>
      <rPr>
        <sz val="10"/>
        <color rgb="FF000000"/>
        <rFont val="Calibri"/>
        <family val="2"/>
      </rPr>
      <t>φ</t>
    </r>
    <r>
      <rPr>
        <sz val="10"/>
        <color rgb="FF000000"/>
        <rFont val="宋体"/>
        <family val="3"/>
        <charset val="134"/>
      </rPr>
      <t>700，防沉降井盖
2、日常养护，发现故障缺陷即时修复；包含清理及简单维修；
3、投运日期：2023.09</t>
    </r>
  </si>
  <si>
    <t>干挂石材</t>
  </si>
  <si>
    <t>敞开段金属栏杆</t>
  </si>
  <si>
    <t>1、型号/规格：高80cm
2、日常养护，及时发现缺陷、保持结构完好。对大面积发生脱落、风化、玷污进行表面处理后复涂；
3、投运日期：2008.09（涂刷2024）</t>
  </si>
  <si>
    <t>人行通道面砖</t>
  </si>
  <si>
    <t>1、型号/规格：
2、日常养护，掌握路面情况,排除有损路面的各种因素,发现路面初期病害及早修理；发生缺损、碎裂进行更换；
3、投运日期：2008.09</t>
  </si>
  <si>
    <t>1、型号/规格：1200×900，氟碳漆
2、日常养护，及时发现缺陷、保持结构完好。涂料局部起壳、脱落进行修补处理（暗埋段：防火涂料；敞开段：氟碳漆）；对大面积发生脱落、风化、玷污进行表面处理后复涂；
3、投运日期：2008.09（涂刷2021）</t>
  </si>
  <si>
    <t>1、日常养护，表面清理、查找漏水点、注浆堵漏；
2、投运日期：2008.09</t>
  </si>
  <si>
    <t>1、型号/规格：高30cm
2、日常养护，及时发现缺陷、保持结构完好，对大面积发生脱落、风化、玷污进行表面处理后复涂；
3、投运日期：2008.09（涂刷2024）</t>
  </si>
  <si>
    <t>侧墙涂料</t>
  </si>
  <si>
    <t>1、型号/规格：暗埋段：氟碳漆；敞开段：防火涂料；
2、日常养护，及时发现缺陷、保持结构完好。涂料局部起壳、脱落进行修补处理；对大面积发生脱落、风化、玷污进行表面处理后复涂；
3、投运日期：2008.09（涂刷2021）</t>
  </si>
  <si>
    <t>1、盖板型号/规格：（1）铸铁盖板：盖板:540(长)*650(宽)*70(厚)mm；基础：C50混凝土；（2）一体式盖板：盖板：500（长）*680（宽）mm；基础：快速混凝土；
2、日常养护，及时发现缺陷、保持结构完好、排水流速正常；结构开裂、钢筋锈蚀修复，盖板维护；
3、投运日期：2024.04</t>
  </si>
  <si>
    <t>1、盖板型号/规格：一体式球墨铸铁排水沟：600（长）*150（宽）*205（深）
2、日常养护，及时发现缺陷、保持结构完好、排水流速正常；结构开裂修复，盖板维护；
3、投运日期：2024.04</t>
  </si>
  <si>
    <r>
      <rPr>
        <sz val="10"/>
        <color indexed="8"/>
        <rFont val="宋体"/>
        <family val="3"/>
        <charset val="134"/>
      </rPr>
      <t>1、型号/规格：</t>
    </r>
    <r>
      <rPr>
        <sz val="10"/>
        <color rgb="FF000000"/>
        <rFont val="Calibri"/>
        <family val="2"/>
      </rPr>
      <t>φ</t>
    </r>
    <r>
      <rPr>
        <sz val="10"/>
        <color indexed="8"/>
        <rFont val="宋体"/>
        <family val="3"/>
        <charset val="134"/>
      </rPr>
      <t>700，普通井盖
2、日常养护，发现故障缺陷即时修复；包含清理及简单维修；
3、投运日期：2008.09</t>
    </r>
  </si>
  <si>
    <t>抛光砖路面</t>
  </si>
  <si>
    <t>1、型号/规格：300×300；
2、日常养护，掌握路面情况,排除有损路面的各种因素,发现路面初期病害及早修理；地砖裂缝、松动或缺失修复；
3、投运日期：2008.09</t>
  </si>
  <si>
    <t>侧墙、顶面真石漆</t>
  </si>
  <si>
    <t>1、型号/规格：真石漆；
2、日常养护，及时发现缺陷、保持结构完好。涂料局部起壳、脱落进行修补处理，对大面积发生脱落、风化、玷污进行表面处理后复涂；
3、投运日期：2008.09（涂刷2019）</t>
  </si>
  <si>
    <t>敞开段石材</t>
  </si>
  <si>
    <t>1、型号/规格：保温一体板，600*600；
2、日常养护，及时发现缺陷、保持结构完好；结构安全检查、松动石材加固、脱落石材修复、胶缝修复；
3、投运日期：2023.12</t>
  </si>
  <si>
    <t>出入口雨棚</t>
  </si>
  <si>
    <t>1、型号/规格：钢结构，侧面双层夹胶钢化玻璃
2、日常养护，日常外观检查、保持结构完好。水槽疏通、钢结构除锈油漆；
3、投运日期：2023.12</t>
  </si>
  <si>
    <t>1、日常养护，及时发现缺陷、保持结构完好；老化、损坏密封材料更换，混凝土破损修复；
1、投运日期：2008.09</t>
  </si>
  <si>
    <t>使用相应的测量仪器、装备和巡检车辆进行检测并记录汇总</t>
  </si>
  <si>
    <t>1、型号/规格：真石漆；
2、日常养护，及时发现缺陷、保持结构完好。涂料局部起壳、脱落进行修补处理；
对大面积发生脱落、风化、玷污进行表面处理后复涂；
3、投运日期：2008.09（涂刷2019）</t>
  </si>
  <si>
    <r>
      <rPr>
        <sz val="10"/>
        <color indexed="8"/>
        <rFont val="宋体"/>
        <family val="3"/>
        <charset val="134"/>
      </rPr>
      <t>1、表面清理、查找漏水点、注浆堵漏；
2、投运日期：2008.09</t>
    </r>
  </si>
  <si>
    <t>1、型号/规格：SMA沥青；
2、日常养护，掌握路面情况,排除有损路面的各种因素,发现路面初期病害及早修理；路面坑槽、开裂、松散、拥包修复、沥青摊铺；
3、投运日期：2019.05</t>
  </si>
  <si>
    <t>1、型号/规格：1200×900；
2、日常养护，及时发现缺陷、保持结构完好。涂料局部起壳、脱落进行修补处理（暗埋段：防火涂料；敞开段：氟碳漆）；对大面积发生脱落、风化、玷污进行表面处理后复涂；
3、投运日期：2019.05（涂刷2021）</t>
  </si>
  <si>
    <t>1、盖板型号/规格：一体式盖板：盖板：500（长）*680（宽）mm；基础：C40钢纤维混凝土；
2、日常养护，及时发现缺陷、保持结构完好、排水流速正常；结构开裂、钢筋锈蚀修复，盖板维护；
3、投运日期：2019.05</t>
  </si>
  <si>
    <t>1、盖板型号/规格：铸铁盖板：盖板：510（长）*430（宽）*50（厚）mm；基础：C40钢纤维混凝土，深度600mm；
2、日常养护，及时发现缺陷、保持结构完好、排水流速正常；结构开裂、钢筋锈蚀修复，盖板维护；
3、投运日期：2019.05</t>
  </si>
  <si>
    <t>1、型号/规格：2440×1220（双层）；
2、日常养护，及时发现缺陷、不牢固的进行加固；发生缺损、变形进行更换；
3、投运日期：2019.05</t>
  </si>
  <si>
    <t>1、型号/规格：2400*1200mm、2400*600mm
2、日常养护，及时发现缺陷、保持结构完好；发生缺损、变形进行更换；
3、投运日期：2019.05</t>
  </si>
  <si>
    <t>1、型号/规格：高30cm
2、日常养护，及时发现缺陷、保持结构完好。对大面积发生脱落、风化、玷污进行表面处理后复涂；
3、投运日期：2019.05</t>
  </si>
  <si>
    <t>1、型号/规格：花岗岩；
2、日常养护，及时发现缺陷、保持结构完好、防护网完好；结构安全检查、松动石材加固、脱落石材修复、胶缝修复；
3、投运日期：2019.05</t>
  </si>
  <si>
    <t>1、日常养护，及时发现缺陷、保持结构完好；老化、损坏密封材料更换，混凝土破损修复；
2、投运日期：2019.05</t>
  </si>
  <si>
    <t>顶部及侧墙渗漏检测堵漏</t>
  </si>
  <si>
    <t>1、日常养护，表面清理、查找漏水点、注浆堵漏；
2、投运日期：2019.05</t>
  </si>
  <si>
    <t>1、型号/规格：1200×900；
2、日常养护，及时发现缺陷、保持结构完好。涂料局部起壳、脱落进行修补处理；对大面积发生脱落、风化、玷污进行表面处理后复涂；
3、投运日期：2019.05</t>
  </si>
  <si>
    <t>1、盖板型号/规格：一体式盖板：盖板：500（长）*680（宽）mm；基础：C50混凝土；
2、日常养护，及时发现缺陷、保持结构完好、排水流速正常；结构开裂、钢筋锈蚀修复，盖板维护；
3、投运日期：2019.05</t>
  </si>
  <si>
    <t>1、型号/规格：花岗岩；
2、日常养护，及时发现缺陷、保持结构完好、防护网完好；结构安全检查、松动石材加固、脱落石材修复、胶缝修复；
3、投运日期：2024.02</t>
  </si>
  <si>
    <t>m2</t>
  </si>
  <si>
    <t>1、盖板型号/规格：铸铁盖板：铸铁盖板：盖板：510（长）*430（宽）*50（厚）mm；基础：C40钢纤维混凝土，深度600mm；
2、日常养护，及时发现缺陷、保持结构完好、排水流速正常；结构开裂、钢筋锈蚀修复，盖板维护；
3、投运日期：2019.05</t>
  </si>
  <si>
    <t>1、型号/规格：氟碳漆；
2、日常养护，及时发现缺陷、保持结构完好。涂料局部起壳、脱落进行修补处理；对大面积发生脱落、风化、玷污进行表面处理后复涂；
3、投运日期：2019.05（涂刷2024）</t>
  </si>
  <si>
    <t>1、盖板型号/规格：一体式盖板：盖板：500（长）*680（宽）mm；基础：C50混凝土；
2、日常养护，及时发现缺陷、保持结构完好、排水流速正常；结构开裂、钢筋锈蚀修复，盖板维护；
4、投运日期：2019.05</t>
  </si>
  <si>
    <t>1、盖板型号/规格：水泥盖板：盖板：500（长）*400（宽）*50（厚）mm；基础：C40钢纤维混凝土；
2、日常养护，及时发现缺陷、保持结构完好、排水流速正常；结构开裂、钢筋锈蚀修复，盖板维护；
3、投运日期：2019.05</t>
  </si>
  <si>
    <t>1、型号/规格：高80cm
2、日常养护，及时发现缺陷、保持结构完好。对大面积发生脱落、风化、玷污进行表面处理后复涂；
3、投运日期：2019.05</t>
  </si>
  <si>
    <t>1、日常养护，及时发现缺陷、保持结构完好；老化、损坏密封材料更换，混凝土破损修复；
3、投运日期：2019.05</t>
  </si>
  <si>
    <t>1、型号/规格：1200×900；
2、日常养护，及时发现缺陷、保持结构完好。涂料局部起壳、脱落进行修补处理（暗埋段：防火涂料；敞开段：氟碳漆）；对大面积发生脱落、风化、玷污进行表面处理后复涂；
3、投运日期：2019.05（涂刷2022）</t>
  </si>
  <si>
    <t>1、盖板型号/规格：铸铁盖板：盖板:540(长)*650(宽)*70(厚)mm；基础：C50混凝土；
2、日常养护，及时发现缺陷、保持结构完好、排水流速正常；结构开裂、钢筋锈蚀修复，盖板维护；
3、投运日期：2019.05</t>
  </si>
  <si>
    <t>1、型号/规格：防火涂料；
2、日常养护，及时发现缺陷、保持结构完好。涂料局部起壳、脱落进行修补处理；对大面积发生脱落、风化、玷污进行表面处理后复涂；
3、投运日期：2019.05</t>
  </si>
  <si>
    <t>1、型号/规格：氟碳漆；
2、日常养护，及时发现缺陷、保持结构完好。涂料局部起壳、脱落进行修补处理；对大面积发生脱落、风化、玷污进行表面处理后复涂；
3、投运日期：2019.05（涂刷2022）</t>
  </si>
  <si>
    <t>隧道路面</t>
  </si>
  <si>
    <t>南侧道路</t>
  </si>
  <si>
    <t>1、型号/规格：防火涂料；
2、日常养护，及时发现缺陷、保持结构完好。涂料局部起壳、脱落进行修补处理；对大面积发生脱落、风化、玷污进行表面处理后复涂；
3、投运日期：2008.12</t>
  </si>
  <si>
    <t>南侧道路防撞护栏</t>
  </si>
  <si>
    <t>1、型号/规格：新泽西小型护栏
2、日常养护，及时发现缺陷、保持结构完好。对大面积发生脱落、风化、玷污进行表面处理后复涂；
3、投运日期： 2008.12</t>
  </si>
  <si>
    <r>
      <rPr>
        <sz val="10"/>
        <rFont val="宋体"/>
        <family val="3"/>
        <charset val="134"/>
      </rPr>
      <t>南侧道路防撞护栏</t>
    </r>
  </si>
  <si>
    <t>1、型号/规格：新泽西大型护栏
2、日常养护，及时发现缺陷、保持结构完好。对大面积发生脱落、风化、玷污进行表面处理后复涂；
3、投运日期： 2008.12</t>
  </si>
  <si>
    <t>通道地面</t>
  </si>
  <si>
    <t>通道内涂料</t>
  </si>
  <si>
    <t>侧墙外防水层</t>
  </si>
  <si>
    <r>
      <rPr>
        <sz val="10"/>
        <color rgb="FF000000"/>
        <rFont val="宋体"/>
        <family val="3"/>
        <charset val="134"/>
      </rPr>
      <t>m</t>
    </r>
    <r>
      <rPr>
        <vertAlign val="superscript"/>
        <sz val="10"/>
        <color rgb="FF000000"/>
        <rFont val="宋体"/>
        <family val="3"/>
        <charset val="134"/>
      </rPr>
      <t>2</t>
    </r>
  </si>
  <si>
    <t>地道雨棚</t>
  </si>
  <si>
    <t>抛光砖干挂内墙</t>
    <phoneticPr fontId="23" type="noConversion"/>
  </si>
  <si>
    <t>不锈钢栏杆</t>
    <phoneticPr fontId="23" type="noConversion"/>
  </si>
  <si>
    <t>盲沟</t>
    <phoneticPr fontId="23" type="noConversion"/>
  </si>
  <si>
    <t>排水沟</t>
    <phoneticPr fontId="23" type="noConversion"/>
  </si>
  <si>
    <t>1、型号/规格：抛光砖地面、大理石台阶和平台、大理石自行车坡道(含盲道)；
2、日常养护，掌握路面情况,排除有损路面的各种因素,发现路面初期病害及早修理；地砖裂缝、松动或缺失修复；
3、投运日期：2003</t>
    <phoneticPr fontId="23" type="noConversion"/>
  </si>
  <si>
    <t>1、型号/规格：钢筋混凝土侧墙、顶板、底板，含顶板乳胶漆涂料
2、日常养护，及时发现缺陷、保持结构完好。涂料局部起壳、脱落进行修补处理；对大面积发生脱落、风化、玷污进行表面处理后复涂；
3、投运日期：2003</t>
    <phoneticPr fontId="23" type="noConversion"/>
  </si>
  <si>
    <t>1、型号/规格：
2、日常养护，及时发现缺陷、保持结构完好。涂料局部起壳、脱落进行修补处理；专项维保：对大面积发生脱落、风化、玷污进行表面处理后复涂；
3、投运日期：2003</t>
    <phoneticPr fontId="23" type="noConversion"/>
  </si>
  <si>
    <t>1、型号/规格：墙面抛光砖
2、日常养护，日常外观检查、松动及时修复；老化开裂面砖更换；
3、投运日期：2003</t>
    <phoneticPr fontId="23" type="noConversion"/>
  </si>
  <si>
    <t>1、型号/规格：玻璃雨棚150.23m2
2、日常养护，日常外观检查、保持结构完好。水槽疏通、钢结构除锈油漆；
3、投运日期：2003</t>
    <phoneticPr fontId="23" type="noConversion"/>
  </si>
  <si>
    <t>1、型号/规格：不锈钢栏杆
2、日常养护，及时发现缺陷、保持结构完好。对大面积发生脱落、风化、玷污进行表面处理后复涂；
3、投运日期：2003</t>
    <phoneticPr fontId="23" type="noConversion"/>
  </si>
  <si>
    <t>1、型号/规格：盲沟
2、日常养护，检查雨水篦子、过滤网，防止垃圾进入盲沟；每年雨季前后，冲洗盲沟内壁，清除泥沙、杂物沉积；淤泥规范清运；
3、投运日期：2003</t>
    <phoneticPr fontId="23" type="noConversion"/>
  </si>
  <si>
    <t>1、盖板型号/规格：排水沟
2、日常养护，及时发现缺陷、保持结构完好、排水流速正常；结构开裂、钢筋锈蚀修复，盖板维护；
3、投运日期：2003</t>
    <phoneticPr fontId="23" type="noConversion"/>
  </si>
  <si>
    <t>侧墙装饰</t>
    <phoneticPr fontId="23" type="noConversion"/>
  </si>
  <si>
    <t>U型槽侧墙装饰</t>
    <phoneticPr fontId="23" type="noConversion"/>
  </si>
  <si>
    <r>
      <t>m</t>
    </r>
    <r>
      <rPr>
        <vertAlign val="superscript"/>
        <sz val="10"/>
        <rFont val="宋体"/>
        <family val="3"/>
        <charset val="134"/>
      </rPr>
      <t>2</t>
    </r>
  </si>
  <si>
    <t xml:space="preserve">1、型号/规格：侧墙装饰
2、日常养护，及时发现缺陷、保持结构完好；发生缺损、变形进行更换；
3、投运日期：2008.12 </t>
    <phoneticPr fontId="23" type="noConversion"/>
  </si>
  <si>
    <t>1、型号/规格：U型槽侧墙装饰
2、日常养护，及时发现缺陷、保持结构完好；发生缺损、变形进行更换；
3、投运日期： 2008.12</t>
    <phoneticPr fontId="23" type="noConversion"/>
  </si>
  <si>
    <t>1、型号/规格：SMA沥青；
2、日常养护，掌握路面情况,排除有损路面的各种因素,发现路面初期病害及早修理；
路面坑槽、开裂、松散、拥包修复、沥青摊铺；
3、投运日期： 2008.12</t>
    <phoneticPr fontId="23" type="noConversion"/>
  </si>
  <si>
    <t>1、型号/规格：SMA沥青10CM(含平侧石 )；
2、日常养护，掌握路面情况,排除有损路面的各种因素,发现路面初期病害及早修理；
路面坑槽、开裂、松散、拥包修复、沥青摊铺；
3、投运日期： 2008.12</t>
    <phoneticPr fontId="23" type="noConversion"/>
  </si>
  <si>
    <t>1、盖板型号/规格：排水沟
2、日常养护，及时发现缺陷、保持结构完好、排水流速正常；结构开裂、钢筋锈蚀修复，盖板维护；
3、投运日期： 2008.12</t>
    <phoneticPr fontId="23" type="noConversion"/>
  </si>
  <si>
    <r>
      <rPr>
        <sz val="10"/>
        <color indexed="8"/>
        <rFont val="宋体"/>
        <family val="3"/>
        <charset val="134"/>
      </rPr>
      <t>m</t>
    </r>
    <r>
      <rPr>
        <vertAlign val="superscript"/>
        <sz val="10"/>
        <color indexed="8"/>
        <rFont val="宋体"/>
        <family val="3"/>
        <charset val="134"/>
      </rPr>
      <t>2</t>
    </r>
  </si>
  <si>
    <t>青祁隧道市政设施养护报价清单</t>
    <phoneticPr fontId="23" type="noConversion"/>
  </si>
  <si>
    <t>蠡湖隧道市政设施养护报价清单</t>
    <phoneticPr fontId="23" type="noConversion"/>
  </si>
  <si>
    <t>太湖大道隧道市政设施养护报价清单</t>
    <phoneticPr fontId="23" type="noConversion"/>
  </si>
  <si>
    <t>金城隧道市政设施养护报价清单</t>
    <phoneticPr fontId="23" type="noConversion"/>
  </si>
  <si>
    <t>惠山隧道市政设施养护报价清单</t>
    <phoneticPr fontId="23" type="noConversion"/>
  </si>
  <si>
    <t>隐秀立交市政设施养护报价清单</t>
    <phoneticPr fontId="23" type="noConversion"/>
  </si>
  <si>
    <t>红星立交市政设施养护报价清单</t>
    <phoneticPr fontId="23" type="noConversion"/>
  </si>
  <si>
    <t>通江立交市政设施养护报价清单</t>
    <phoneticPr fontId="23" type="noConversion"/>
  </si>
  <si>
    <t>人行地道市政设施养护报价清单</t>
    <phoneticPr fontId="23" type="noConversion"/>
  </si>
  <si>
    <t>周新立交市政设施养护报价清单</t>
    <phoneticPr fontId="23" type="noConversion"/>
  </si>
  <si>
    <t>学府立交市政设施养护报价清单</t>
    <phoneticPr fontId="23" type="noConversion"/>
  </si>
  <si>
    <t>雪浪立交市政设施养护报价清单</t>
    <phoneticPr fontId="23" type="noConversion"/>
  </si>
  <si>
    <t>南泉立交市政设施养护报价清单</t>
    <phoneticPr fontId="23" type="noConversion"/>
  </si>
  <si>
    <t>广通立交市政设施养护报价清单</t>
    <phoneticPr fontId="23" type="noConversion"/>
  </si>
  <si>
    <t>桃花山隧道市政设施养护报价清单</t>
    <phoneticPr fontId="23" type="noConversion"/>
  </si>
  <si>
    <t>五爱人行地道市政设施养护报价清单</t>
    <phoneticPr fontId="23" type="noConversion"/>
  </si>
  <si>
    <t>三年合计(元)</t>
    <phoneticPr fontId="23" type="noConversion"/>
  </si>
  <si>
    <t>备注</t>
    <phoneticPr fontId="23" type="noConversion"/>
  </si>
  <si>
    <t>单位</t>
    <phoneticPr fontId="23" type="noConversion"/>
  </si>
  <si>
    <t>数量</t>
    <phoneticPr fontId="23" type="noConversion"/>
  </si>
  <si>
    <t>2025年无锡市市管城市隧道（立交）群市政养护报价清单汇总表</t>
    <phoneticPr fontId="23" type="noConversion"/>
  </si>
  <si>
    <t>三年总计</t>
    <phoneticPr fontId="23" type="noConversion"/>
  </si>
  <si>
    <t>元</t>
    <phoneticPr fontId="23" type="noConversion"/>
  </si>
  <si>
    <t>（一）日常设施设备巡视</t>
    <phoneticPr fontId="23" type="noConversion"/>
  </si>
  <si>
    <t>日常设施设备巡视小计</t>
    <phoneticPr fontId="23" type="noConversion"/>
  </si>
  <si>
    <t>（二）定期专项检查</t>
    <phoneticPr fontId="23" type="noConversion"/>
  </si>
  <si>
    <t>定期专项检查小计</t>
    <phoneticPr fontId="23" type="noConversion"/>
  </si>
  <si>
    <t>三年合计</t>
    <phoneticPr fontId="23" type="noConversion"/>
  </si>
  <si>
    <t>一年小计</t>
    <phoneticPr fontId="23" type="noConversion"/>
  </si>
  <si>
    <t>一年小计（元）</t>
    <phoneticPr fontId="23" type="noConversion"/>
  </si>
  <si>
    <t>三年合计（元）</t>
    <phoneticPr fontId="23" type="noConversion"/>
  </si>
  <si>
    <t>1、日常设施设备巡视</t>
    <phoneticPr fontId="23" type="noConversion"/>
  </si>
  <si>
    <t>2、定期专项检查</t>
    <phoneticPr fontId="23" type="noConversion"/>
  </si>
  <si>
    <t>一、湖滨路人行地道</t>
    <phoneticPr fontId="23" type="noConversion"/>
  </si>
  <si>
    <t>湖滨路人行地道一年小计</t>
    <phoneticPr fontId="23" type="noConversion"/>
  </si>
  <si>
    <t>湖滨路人行地道三年合计</t>
    <phoneticPr fontId="23" type="noConversion"/>
  </si>
  <si>
    <t>人行地道一年小计</t>
    <phoneticPr fontId="23" type="noConversion"/>
  </si>
  <si>
    <t>人行地道三年合计</t>
    <phoneticPr fontId="23" type="noConversion"/>
  </si>
  <si>
    <t>二、隧道（立交）装饰部分</t>
  </si>
  <si>
    <t>二、隧道（立交）装饰部分</t>
    <phoneticPr fontId="23" type="noConversion"/>
  </si>
  <si>
    <t>隧道（立交）路面及附属设施部分小计</t>
  </si>
  <si>
    <t>隧道（立交）路面及附属设施部分小计</t>
    <phoneticPr fontId="23" type="noConversion"/>
  </si>
  <si>
    <t>隧道保护区巡查</t>
    <phoneticPr fontId="23" type="noConversion"/>
  </si>
  <si>
    <t>配备巡检车辆按照要求对相应设施设备进行日常巡查并记录汇总</t>
    <phoneticPr fontId="23" type="noConversion"/>
  </si>
  <si>
    <t>一、青祁隧道路面及附属设施部分</t>
    <phoneticPr fontId="23" type="noConversion"/>
  </si>
  <si>
    <t>青祁隧道装饰部分小计</t>
    <phoneticPr fontId="23" type="noConversion"/>
  </si>
  <si>
    <t>三、青祁隧道巡查部分</t>
    <phoneticPr fontId="23" type="noConversion"/>
  </si>
  <si>
    <t>青祁隧道巡查部分小计</t>
    <phoneticPr fontId="23" type="noConversion"/>
  </si>
  <si>
    <t>一、蠡湖隧道路面及附属设施部分</t>
    <phoneticPr fontId="23" type="noConversion"/>
  </si>
  <si>
    <t>蠡湖隧道装饰部分小计</t>
    <phoneticPr fontId="23" type="noConversion"/>
  </si>
  <si>
    <t>三、蠡湖隧道巡查部分</t>
    <phoneticPr fontId="23" type="noConversion"/>
  </si>
  <si>
    <t>青祁隧道路面及附属设施小计</t>
    <phoneticPr fontId="23" type="noConversion"/>
  </si>
  <si>
    <t>蠡湖隧道巡查部分小计</t>
    <phoneticPr fontId="23" type="noConversion"/>
  </si>
  <si>
    <t>一、太湖大道隧道路面及附属设施部分</t>
    <phoneticPr fontId="23" type="noConversion"/>
  </si>
  <si>
    <t>二、太湖大道隧道装饰部分</t>
    <phoneticPr fontId="23" type="noConversion"/>
  </si>
  <si>
    <t>太湖大道隧道巡查部分小计</t>
    <phoneticPr fontId="23" type="noConversion"/>
  </si>
  <si>
    <t>太湖大道隧道装饰部分小计</t>
    <phoneticPr fontId="23" type="noConversion"/>
  </si>
  <si>
    <t>三、太湖大道隧道巡查部分</t>
    <phoneticPr fontId="23" type="noConversion"/>
  </si>
  <si>
    <t>一、金城隧道路面及附属设施部分</t>
    <phoneticPr fontId="23" type="noConversion"/>
  </si>
  <si>
    <t>隧金城隧道路面及附属设施部分小计</t>
    <phoneticPr fontId="23" type="noConversion"/>
  </si>
  <si>
    <t>二、金城隧道装饰部分</t>
    <phoneticPr fontId="23" type="noConversion"/>
  </si>
  <si>
    <t>金城隧道装饰部分小计</t>
    <phoneticPr fontId="23" type="noConversion"/>
  </si>
  <si>
    <t>三、金城隧道隧道（立交）巡查部分</t>
    <phoneticPr fontId="23" type="noConversion"/>
  </si>
  <si>
    <t>金城隧道巡查部分小计</t>
    <phoneticPr fontId="23" type="noConversion"/>
  </si>
  <si>
    <t>一、惠山隧道路面及附属设施部分</t>
    <phoneticPr fontId="23" type="noConversion"/>
  </si>
  <si>
    <t>二、惠山隧道装饰部分</t>
    <phoneticPr fontId="23" type="noConversion"/>
  </si>
  <si>
    <t>惠山隧道装饰部分小计</t>
    <phoneticPr fontId="23" type="noConversion"/>
  </si>
  <si>
    <t>惠山隧道路面及附属设施部分小计</t>
    <phoneticPr fontId="23" type="noConversion"/>
  </si>
  <si>
    <t>三、惠山隧道巡查部分</t>
    <phoneticPr fontId="23" type="noConversion"/>
  </si>
  <si>
    <t>惠山隧道巡查部分小计</t>
    <phoneticPr fontId="23" type="noConversion"/>
  </si>
  <si>
    <t>一、桃花山隧道路面及附属设施部分</t>
    <phoneticPr fontId="23" type="noConversion"/>
  </si>
  <si>
    <t>二、桃花山隧道装饰部分</t>
    <phoneticPr fontId="23" type="noConversion"/>
  </si>
  <si>
    <t>桃花山隧道路面及附属设施部分小计</t>
    <phoneticPr fontId="23" type="noConversion"/>
  </si>
  <si>
    <t>桃花山隧道装饰部分小计</t>
    <phoneticPr fontId="23" type="noConversion"/>
  </si>
  <si>
    <t>三、桃花山隧道巡查部分</t>
    <phoneticPr fontId="23" type="noConversion"/>
  </si>
  <si>
    <t>桃花山隧道巡查部分小计</t>
    <phoneticPr fontId="23" type="noConversion"/>
  </si>
  <si>
    <t>一、隐秀立交路面及附属设施部分</t>
    <phoneticPr fontId="23" type="noConversion"/>
  </si>
  <si>
    <t>隐秀立交路面及附属设施部分小计</t>
    <phoneticPr fontId="23" type="noConversion"/>
  </si>
  <si>
    <t>二、隐秀立交装饰部分</t>
    <phoneticPr fontId="23" type="noConversion"/>
  </si>
  <si>
    <t>隐秀立交装饰部分小计</t>
    <phoneticPr fontId="23" type="noConversion"/>
  </si>
  <si>
    <t>三、隐秀立交巡查部分</t>
    <phoneticPr fontId="23" type="noConversion"/>
  </si>
  <si>
    <t>隐秀立交巡查部分小计</t>
    <phoneticPr fontId="23" type="noConversion"/>
  </si>
  <si>
    <t>一、红星立交路面及附属设施部分</t>
    <phoneticPr fontId="23" type="noConversion"/>
  </si>
  <si>
    <t>红星立交路面及附属设施部分小计</t>
    <phoneticPr fontId="23" type="noConversion"/>
  </si>
  <si>
    <t>二、红星立交装饰部分</t>
    <phoneticPr fontId="23" type="noConversion"/>
  </si>
  <si>
    <t>红星立交装饰部分小计</t>
    <phoneticPr fontId="23" type="noConversion"/>
  </si>
  <si>
    <t>三、红星立交巡查部分</t>
    <phoneticPr fontId="23" type="noConversion"/>
  </si>
  <si>
    <t>红星立交巡查部分小计</t>
    <phoneticPr fontId="23" type="noConversion"/>
  </si>
  <si>
    <t>一、通江立交路面及附属设施部分</t>
    <phoneticPr fontId="23" type="noConversion"/>
  </si>
  <si>
    <t>通江立交路面及附属设施部分小计</t>
    <phoneticPr fontId="23" type="noConversion"/>
  </si>
  <si>
    <t>二、通江立交巡查部分</t>
    <phoneticPr fontId="23" type="noConversion"/>
  </si>
  <si>
    <t>通江立交巡查部分小计</t>
    <phoneticPr fontId="23" type="noConversion"/>
  </si>
  <si>
    <t>一、周新立交路面及附属设施部分</t>
    <phoneticPr fontId="23" type="noConversion"/>
  </si>
  <si>
    <t>周新立交路面及附属设施部分小计</t>
    <phoneticPr fontId="23" type="noConversion"/>
  </si>
  <si>
    <t>二、周新立交装饰部分</t>
    <phoneticPr fontId="23" type="noConversion"/>
  </si>
  <si>
    <t>周新立交装饰部分小计</t>
    <phoneticPr fontId="23" type="noConversion"/>
  </si>
  <si>
    <t>三、周新立交巡查部分</t>
    <phoneticPr fontId="23" type="noConversion"/>
  </si>
  <si>
    <t>周新立交巡查部分小计</t>
    <phoneticPr fontId="23" type="noConversion"/>
  </si>
  <si>
    <t>一、学府立交路面及附属设施部分</t>
    <phoneticPr fontId="23" type="noConversion"/>
  </si>
  <si>
    <t>学府立交路面及附属设施部分小计</t>
    <phoneticPr fontId="23" type="noConversion"/>
  </si>
  <si>
    <t>学府立交装饰部分小计</t>
    <phoneticPr fontId="23" type="noConversion"/>
  </si>
  <si>
    <t>二、学府立交装饰部分</t>
    <phoneticPr fontId="23" type="noConversion"/>
  </si>
  <si>
    <t>三、学府立交巡查部分</t>
    <phoneticPr fontId="23" type="noConversion"/>
  </si>
  <si>
    <t>学府立交巡查部分小计</t>
    <phoneticPr fontId="23" type="noConversion"/>
  </si>
  <si>
    <t>一、雪浪立交路面及附属设施部分</t>
    <phoneticPr fontId="23" type="noConversion"/>
  </si>
  <si>
    <t>雪浪立交路面及附属设施部分小计</t>
    <phoneticPr fontId="23" type="noConversion"/>
  </si>
  <si>
    <t>二、雪浪立交装饰部分</t>
    <phoneticPr fontId="23" type="noConversion"/>
  </si>
  <si>
    <t>雪浪立交装饰部分小计</t>
    <phoneticPr fontId="23" type="noConversion"/>
  </si>
  <si>
    <t>雪浪立交巡查部分小计</t>
    <phoneticPr fontId="23" type="noConversion"/>
  </si>
  <si>
    <t>三、雪浪立交巡查部分</t>
    <phoneticPr fontId="23" type="noConversion"/>
  </si>
  <si>
    <t>一、南泉立交路面及附属设施部分</t>
    <phoneticPr fontId="23" type="noConversion"/>
  </si>
  <si>
    <t>南泉立交路面及附属设施部分小计</t>
    <phoneticPr fontId="23" type="noConversion"/>
  </si>
  <si>
    <t>二、南泉立交装饰部分</t>
    <phoneticPr fontId="23" type="noConversion"/>
  </si>
  <si>
    <t>南泉立交装饰部分小计</t>
    <phoneticPr fontId="23" type="noConversion"/>
  </si>
  <si>
    <t>三、南泉立交巡查部分</t>
    <phoneticPr fontId="23" type="noConversion"/>
  </si>
  <si>
    <t>南泉立交巡查部分小计</t>
    <phoneticPr fontId="23" type="noConversion"/>
  </si>
  <si>
    <t>一、广通立交路面及附属设施部分</t>
    <phoneticPr fontId="23" type="noConversion"/>
  </si>
  <si>
    <t>广通立交路面及附属设施部分小计</t>
    <phoneticPr fontId="23" type="noConversion"/>
  </si>
  <si>
    <t>二、广通立交装饰部分</t>
    <phoneticPr fontId="23" type="noConversion"/>
  </si>
  <si>
    <t>广通立交装饰部分小计</t>
    <phoneticPr fontId="23" type="noConversion"/>
  </si>
  <si>
    <t>三、广通立交巡查部分</t>
    <phoneticPr fontId="23" type="noConversion"/>
  </si>
  <si>
    <t>广通立交巡查部分小计</t>
    <phoneticPr fontId="23" type="noConversion"/>
  </si>
  <si>
    <t>（一）、湖滨路人行地道装饰部分</t>
    <phoneticPr fontId="23" type="noConversion"/>
  </si>
  <si>
    <t>湖滨路人行地道装饰部分小计</t>
    <phoneticPr fontId="23" type="noConversion"/>
  </si>
  <si>
    <t>（二）、湖滨路人行地道巡查部分</t>
    <phoneticPr fontId="23" type="noConversion"/>
  </si>
  <si>
    <t>湖滨路人行地道巡查部分小计</t>
    <phoneticPr fontId="23" type="noConversion"/>
  </si>
  <si>
    <t>二、望山路人行地道</t>
    <phoneticPr fontId="23" type="noConversion"/>
  </si>
  <si>
    <t>（一）、望山路人行地道装饰部分</t>
    <phoneticPr fontId="23" type="noConversion"/>
  </si>
  <si>
    <t>望山路人行地道装饰部分小计</t>
    <phoneticPr fontId="23" type="noConversion"/>
  </si>
  <si>
    <t>（二）、望山路人行地道巡查部分</t>
    <phoneticPr fontId="23" type="noConversion"/>
  </si>
  <si>
    <t>望山路人行地道巡查部分小计</t>
    <phoneticPr fontId="23" type="noConversion"/>
  </si>
  <si>
    <t>望山路人行地道一年小计</t>
    <phoneticPr fontId="23" type="noConversion"/>
  </si>
  <si>
    <t>望山路人行地道三年合计</t>
    <phoneticPr fontId="23" type="noConversion"/>
  </si>
  <si>
    <t>三、太湖东人行地道</t>
    <phoneticPr fontId="23" type="noConversion"/>
  </si>
  <si>
    <t>（一）、太湖东人行地道装饰部分</t>
    <phoneticPr fontId="23" type="noConversion"/>
  </si>
  <si>
    <t>太湖东人行地道装饰部分小计</t>
    <phoneticPr fontId="23" type="noConversion"/>
  </si>
  <si>
    <t>（二）、太湖东人行地道巡查部分</t>
    <phoneticPr fontId="23" type="noConversion"/>
  </si>
  <si>
    <t>太湖东人行地道巡查部分合计</t>
    <phoneticPr fontId="23" type="noConversion"/>
  </si>
  <si>
    <t>太湖东人行地道一年小计</t>
    <phoneticPr fontId="23" type="noConversion"/>
  </si>
  <si>
    <t>太湖东人行地道三年合计</t>
    <phoneticPr fontId="23" type="noConversion"/>
  </si>
  <si>
    <t>四、太湖西人行地道</t>
    <phoneticPr fontId="23" type="noConversion"/>
  </si>
  <si>
    <t>（一）、太湖西人行地道装饰部分</t>
    <phoneticPr fontId="23" type="noConversion"/>
  </si>
  <si>
    <t>太湖西人行地道装饰部分小计</t>
    <phoneticPr fontId="23" type="noConversion"/>
  </si>
  <si>
    <t>（二）、太湖西人行地道巡查部分</t>
    <phoneticPr fontId="23" type="noConversion"/>
  </si>
  <si>
    <t>太湖西人行地道巡查部分小计</t>
    <phoneticPr fontId="23" type="noConversion"/>
  </si>
  <si>
    <t>太湖西人行地道一年小计</t>
    <phoneticPr fontId="23" type="noConversion"/>
  </si>
  <si>
    <t>太湖西人行地道三年合计</t>
    <phoneticPr fontId="23" type="noConversion"/>
  </si>
  <si>
    <t>一、五爱人行地道装饰部分</t>
    <phoneticPr fontId="23" type="noConversion"/>
  </si>
  <si>
    <t>五爱人行地道装饰部分小计</t>
    <phoneticPr fontId="23" type="noConversion"/>
  </si>
  <si>
    <t>二、五爱人行地道巡查部分</t>
    <phoneticPr fontId="23" type="noConversion"/>
  </si>
  <si>
    <t>五爱人行地道巡查部分合计</t>
    <phoneticPr fontId="23" type="noConversion"/>
  </si>
  <si>
    <t>全费用价格（包含相关措施、税金等一切费用）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</si>
</sst>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00_ "/>
    <numFmt numFmtId="178" formatCode="0.00_);[Red]\(0.00\)"/>
  </numFmts>
  <fonts count="3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sz val="14"/>
      <name val="Arial"/>
      <family val="2"/>
    </font>
    <font>
      <sz val="14"/>
      <color rgb="FFFF0000"/>
      <name val="宋体"/>
      <family val="3"/>
      <charset val="134"/>
    </font>
    <font>
      <sz val="14"/>
      <color rgb="FFFF0000"/>
      <name val="Arial"/>
      <family val="2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vertAlign val="superscript"/>
      <sz val="10"/>
      <color indexed="8"/>
      <name val="宋体"/>
      <family val="3"/>
      <charset val="134"/>
    </font>
    <font>
      <sz val="10"/>
      <color rgb="FF000000"/>
      <name val="Calibri"/>
      <family val="2"/>
    </font>
    <font>
      <vertAlign val="superscript"/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vertAlign val="superscript"/>
      <sz val="10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/>
    <xf numFmtId="0" fontId="17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176" fontId="2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 vertical="center" wrapText="1" readingOrder="1"/>
    </xf>
    <xf numFmtId="176" fontId="3" fillId="0" borderId="2" xfId="0" applyNumberFormat="1" applyFont="1" applyBorder="1" applyAlignment="1">
      <alignment horizontal="center" vertical="center" wrapText="1" readingOrder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/>
    <xf numFmtId="0" fontId="5" fillId="0" borderId="2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 readingOrder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177" fontId="4" fillId="0" borderId="5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/>
    <xf numFmtId="0" fontId="4" fillId="0" borderId="6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/>
    <xf numFmtId="0" fontId="4" fillId="0" borderId="5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/>
    <xf numFmtId="176" fontId="4" fillId="0" borderId="5" xfId="0" applyNumberFormat="1" applyFont="1" applyBorder="1" applyAlignment="1"/>
    <xf numFmtId="0" fontId="4" fillId="0" borderId="2" xfId="0" applyFont="1" applyBorder="1" applyAlignment="1">
      <alignment horizontal="center" vertical="center" wrapText="1" readingOrder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 readingOrder="1"/>
    </xf>
    <xf numFmtId="176" fontId="6" fillId="0" borderId="2" xfId="3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176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 readingOrder="1"/>
    </xf>
    <xf numFmtId="0" fontId="1" fillId="0" borderId="2" xfId="0" applyFont="1" applyBorder="1" applyAlignment="1"/>
    <xf numFmtId="176" fontId="7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/>
    <xf numFmtId="176" fontId="1" fillId="0" borderId="2" xfId="0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0" borderId="5" xfId="0" applyFont="1" applyBorder="1" applyAlignment="1"/>
    <xf numFmtId="176" fontId="2" fillId="0" borderId="5" xfId="0" applyNumberFormat="1" applyFont="1" applyBorder="1" applyAlignment="1"/>
    <xf numFmtId="176" fontId="6" fillId="0" borderId="2" xfId="0" applyNumberFormat="1" applyFont="1" applyBorder="1" applyAlignment="1">
      <alignment vertical="center" wrapText="1" readingOrder="1"/>
    </xf>
    <xf numFmtId="176" fontId="1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/>
    <xf numFmtId="176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176" fontId="2" fillId="0" borderId="2" xfId="0" applyNumberFormat="1" applyFont="1" applyBorder="1" applyAlignment="1"/>
    <xf numFmtId="0" fontId="2" fillId="0" borderId="0" xfId="0" applyFont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 readingOrder="1"/>
    </xf>
    <xf numFmtId="176" fontId="1" fillId="0" borderId="2" xfId="0" applyNumberFormat="1" applyFont="1" applyBorder="1" applyAlignment="1">
      <alignment vertical="center" wrapText="1" readingOrder="1"/>
    </xf>
    <xf numFmtId="176" fontId="6" fillId="0" borderId="2" xfId="0" applyNumberFormat="1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178" fontId="1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readingOrder="1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 readingOrder="1"/>
    </xf>
    <xf numFmtId="178" fontId="1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vertical="center" wrapText="1" readingOrder="1"/>
    </xf>
    <xf numFmtId="178" fontId="6" fillId="0" borderId="2" xfId="0" applyNumberFormat="1" applyFont="1" applyBorder="1" applyAlignment="1">
      <alignment horizontal="left" vertical="center" wrapText="1" readingOrder="1"/>
    </xf>
    <xf numFmtId="178" fontId="6" fillId="0" borderId="2" xfId="0" applyNumberFormat="1" applyFont="1" applyBorder="1" applyAlignment="1">
      <alignment horizontal="center" vertical="center" wrapText="1" readingOrder="1"/>
    </xf>
    <xf numFmtId="178" fontId="1" fillId="0" borderId="2" xfId="0" applyNumberFormat="1" applyFont="1" applyBorder="1" applyAlignment="1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176" fontId="9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49" fontId="8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 wrapText="1" readingOrder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/>
    <xf numFmtId="0" fontId="11" fillId="0" borderId="0" xfId="2" applyAlignment="1">
      <alignment wrapText="1"/>
    </xf>
    <xf numFmtId="0" fontId="11" fillId="0" borderId="0" xfId="2"/>
    <xf numFmtId="0" fontId="11" fillId="0" borderId="0" xfId="2" applyAlignment="1">
      <alignment horizontal="center"/>
    </xf>
    <xf numFmtId="0" fontId="12" fillId="0" borderId="0" xfId="2" applyFont="1"/>
    <xf numFmtId="0" fontId="15" fillId="0" borderId="0" xfId="0" applyFont="1">
      <alignment vertical="center"/>
    </xf>
    <xf numFmtId="0" fontId="16" fillId="0" borderId="0" xfId="1">
      <alignment vertical="center"/>
    </xf>
    <xf numFmtId="0" fontId="16" fillId="0" borderId="0" xfId="1" quotePrefix="1">
      <alignment vertical="center"/>
    </xf>
    <xf numFmtId="178" fontId="7" fillId="0" borderId="2" xfId="0" applyNumberFormat="1" applyFont="1" applyBorder="1" applyAlignment="1">
      <alignment horizontal="center" vertical="center" wrapText="1" readingOrder="1"/>
    </xf>
    <xf numFmtId="178" fontId="7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 readingOrder="1"/>
    </xf>
    <xf numFmtId="0" fontId="1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 readingOrder="1"/>
    </xf>
    <xf numFmtId="17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 readingOrder="1"/>
    </xf>
    <xf numFmtId="0" fontId="25" fillId="0" borderId="2" xfId="0" applyFont="1" applyBorder="1" applyAlignment="1">
      <alignment horizontal="center" vertical="center" wrapText="1" readingOrder="1"/>
    </xf>
    <xf numFmtId="0" fontId="26" fillId="0" borderId="2" xfId="0" applyFont="1" applyBorder="1" applyAlignment="1">
      <alignment horizontal="center" vertical="center" wrapText="1" readingOrder="1"/>
    </xf>
    <xf numFmtId="176" fontId="28" fillId="0" borderId="2" xfId="0" applyNumberFormat="1" applyFont="1" applyBorder="1" applyAlignment="1">
      <alignment horizontal="center" vertical="center"/>
    </xf>
    <xf numFmtId="176" fontId="28" fillId="0" borderId="2" xfId="0" applyNumberFormat="1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 readingOrder="1"/>
    </xf>
    <xf numFmtId="176" fontId="26" fillId="0" borderId="2" xfId="3" applyNumberFormat="1" applyFont="1" applyBorder="1" applyAlignment="1">
      <alignment horizontal="center" vertical="center" wrapText="1"/>
    </xf>
    <xf numFmtId="178" fontId="26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 readingOrder="1"/>
    </xf>
    <xf numFmtId="0" fontId="28" fillId="0" borderId="2" xfId="0" applyFont="1" applyBorder="1" applyAlignment="1">
      <alignment horizontal="left" vertical="center" wrapText="1" readingOrder="1"/>
    </xf>
    <xf numFmtId="0" fontId="29" fillId="0" borderId="2" xfId="0" applyFont="1" applyBorder="1" applyAlignment="1">
      <alignment horizontal="center" vertical="center" wrapText="1" readingOrder="1"/>
    </xf>
    <xf numFmtId="176" fontId="29" fillId="0" borderId="2" xfId="0" applyNumberFormat="1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 readingOrder="1"/>
    </xf>
    <xf numFmtId="0" fontId="24" fillId="0" borderId="2" xfId="0" applyFont="1" applyBorder="1" applyAlignment="1">
      <alignment horizontal="center" vertical="center" wrapText="1" readingOrder="1"/>
    </xf>
    <xf numFmtId="176" fontId="25" fillId="0" borderId="2" xfId="3" applyNumberFormat="1" applyFont="1" applyBorder="1" applyAlignment="1">
      <alignment horizontal="center" vertical="center" wrapText="1"/>
    </xf>
    <xf numFmtId="176" fontId="24" fillId="0" borderId="2" xfId="0" applyNumberFormat="1" applyFont="1" applyBorder="1" applyAlignment="1">
      <alignment horizontal="center" vertical="center" wrapText="1" readingOrder="1"/>
    </xf>
    <xf numFmtId="0" fontId="25" fillId="0" borderId="2" xfId="0" applyFont="1" applyBorder="1" applyAlignment="1">
      <alignment vertical="center" wrapText="1" readingOrder="1"/>
    </xf>
    <xf numFmtId="176" fontId="25" fillId="0" borderId="2" xfId="0" applyNumberFormat="1" applyFont="1" applyBorder="1" applyAlignment="1">
      <alignment vertical="center" wrapText="1" readingOrder="1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left" vertical="center" wrapText="1" readingOrder="1"/>
    </xf>
    <xf numFmtId="0" fontId="26" fillId="0" borderId="2" xfId="0" applyFont="1" applyBorder="1" applyAlignment="1"/>
    <xf numFmtId="176" fontId="26" fillId="0" borderId="2" xfId="0" applyNumberFormat="1" applyFont="1" applyBorder="1" applyAlignment="1"/>
    <xf numFmtId="0" fontId="25" fillId="0" borderId="2" xfId="0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76" fontId="30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176" fontId="26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 readingOrder="1"/>
    </xf>
    <xf numFmtId="176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/>
    <xf numFmtId="0" fontId="33" fillId="0" borderId="2" xfId="2" applyFont="1" applyBorder="1" applyAlignment="1">
      <alignment horizontal="center" vertical="center" wrapText="1" readingOrder="1"/>
    </xf>
    <xf numFmtId="0" fontId="31" fillId="0" borderId="2" xfId="2" applyFont="1" applyBorder="1" applyAlignment="1">
      <alignment horizontal="center" vertical="center" wrapText="1" readingOrder="1"/>
    </xf>
    <xf numFmtId="0" fontId="32" fillId="0" borderId="2" xfId="2" applyFont="1" applyBorder="1" applyAlignment="1">
      <alignment horizontal="center" vertical="center" wrapText="1" readingOrder="1"/>
    </xf>
    <xf numFmtId="176" fontId="34" fillId="0" borderId="2" xfId="2" applyNumberFormat="1" applyFont="1" applyBorder="1" applyAlignment="1">
      <alignment horizontal="center" vertical="center" wrapText="1"/>
    </xf>
    <xf numFmtId="0" fontId="33" fillId="0" borderId="2" xfId="2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35" fillId="0" borderId="10" xfId="2" applyFont="1" applyBorder="1" applyAlignment="1">
      <alignment horizontal="center" vertical="center" wrapText="1" readingOrder="1"/>
    </xf>
    <xf numFmtId="0" fontId="36" fillId="0" borderId="13" xfId="0" applyFont="1" applyBorder="1" applyAlignment="1">
      <alignment horizontal="center" vertical="center" wrapText="1" readingOrder="1"/>
    </xf>
    <xf numFmtId="0" fontId="36" fillId="0" borderId="4" xfId="0" applyFont="1" applyBorder="1" applyAlignment="1">
      <alignment horizontal="center" vertical="center" wrapText="1" readingOrder="1"/>
    </xf>
    <xf numFmtId="176" fontId="36" fillId="0" borderId="4" xfId="0" applyNumberFormat="1" applyFont="1" applyBorder="1" applyAlignment="1">
      <alignment horizontal="center" vertical="center" wrapText="1" readingOrder="1"/>
    </xf>
    <xf numFmtId="0" fontId="36" fillId="0" borderId="9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left" vertical="center" wrapText="1" readingOrder="1"/>
    </xf>
    <xf numFmtId="0" fontId="36" fillId="0" borderId="0" xfId="0" applyFont="1" applyAlignment="1">
      <alignment horizontal="center" vertical="center" wrapText="1" readingOrder="1"/>
    </xf>
    <xf numFmtId="176" fontId="36" fillId="0" borderId="0" xfId="0" applyNumberFormat="1" applyFont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 readingOrder="1"/>
    </xf>
    <xf numFmtId="0" fontId="26" fillId="0" borderId="2" xfId="0" applyFont="1" applyBorder="1" applyAlignment="1">
      <alignment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26" fillId="0" borderId="2" xfId="0" applyFont="1" applyBorder="1" applyAlignment="1">
      <alignment horizontal="left" vertical="center" wrapText="1" readingOrder="1"/>
    </xf>
    <xf numFmtId="176" fontId="6" fillId="0" borderId="2" xfId="0" applyNumberFormat="1" applyFont="1" applyBorder="1" applyAlignment="1">
      <alignment horizontal="left" vertical="center" wrapText="1" readingOrder="1"/>
    </xf>
    <xf numFmtId="0" fontId="6" fillId="0" borderId="11" xfId="0" applyFont="1" applyBorder="1" applyAlignment="1">
      <alignment horizontal="lef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176" fontId="1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25" fillId="0" borderId="2" xfId="0" applyFont="1" applyBorder="1" applyAlignment="1">
      <alignment horizontal="left" vertical="center" wrapText="1" readingOrder="1"/>
    </xf>
    <xf numFmtId="0" fontId="25" fillId="0" borderId="2" xfId="0" applyFont="1" applyBorder="1" applyAlignment="1">
      <alignment horizontal="center" vertical="center" wrapText="1" readingOrder="1"/>
    </xf>
    <xf numFmtId="0" fontId="25" fillId="0" borderId="8" xfId="0" applyFont="1" applyBorder="1" applyAlignment="1">
      <alignment horizontal="center" vertical="center" wrapText="1" readingOrder="1"/>
    </xf>
    <xf numFmtId="0" fontId="26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31000000}"/>
    <cellStyle name="常规 4" xfId="3" xr:uid="{00000000-0005-0000-0000-000032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B4:E11" totalsRowShown="0">
  <autoFilter ref="B4:E11" xr:uid="{00000000-0009-0000-0100-000002000000}"/>
  <tableColumns count="4">
    <tableColumn id="1" xr3:uid="{00000000-0010-0000-0000-000001000000}" name="工作簿"/>
    <tableColumn id="2" xr3:uid="{00000000-0010-0000-0000-000002000000}" name="工作表"/>
    <tableColumn id="3" xr3:uid="{00000000-0010-0000-0000-000003000000}" name="合并状态"/>
    <tableColumn id="4" xr3:uid="{00000000-0010-0000-0000-000004000000}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E11"/>
  <sheetViews>
    <sheetView showGridLines="0" workbookViewId="0">
      <selection activeCell="F22" sqref="F22"/>
    </sheetView>
  </sheetViews>
  <sheetFormatPr defaultColWidth="8.875" defaultRowHeight="13.5" x14ac:dyDescent="0.15"/>
  <cols>
    <col min="2" max="2" width="69.125" customWidth="1"/>
    <col min="3" max="3" width="14.125" customWidth="1"/>
    <col min="4" max="4" width="9.625" customWidth="1"/>
    <col min="5" max="5" width="14.125" customWidth="1"/>
  </cols>
  <sheetData>
    <row r="2" spans="2:5" x14ac:dyDescent="0.15">
      <c r="B2" s="113" t="s">
        <v>0</v>
      </c>
    </row>
    <row r="4" spans="2:5" x14ac:dyDescent="0.15">
      <c r="B4" t="s">
        <v>1</v>
      </c>
      <c r="C4" t="s">
        <v>2</v>
      </c>
      <c r="D4" t="s">
        <v>3</v>
      </c>
      <c r="E4" t="s">
        <v>4</v>
      </c>
    </row>
    <row r="5" spans="2:5" x14ac:dyDescent="0.15">
      <c r="B5" t="s">
        <v>5</v>
      </c>
      <c r="C5" t="s">
        <v>6</v>
      </c>
      <c r="D5" t="s">
        <v>7</v>
      </c>
      <c r="E5" s="115" t="s">
        <v>8</v>
      </c>
    </row>
    <row r="6" spans="2:5" x14ac:dyDescent="0.15">
      <c r="B6" t="s">
        <v>5</v>
      </c>
      <c r="C6" t="s">
        <v>9</v>
      </c>
      <c r="D6" t="s">
        <v>7</v>
      </c>
      <c r="E6" s="114" t="s">
        <v>9</v>
      </c>
    </row>
    <row r="7" spans="2:5" x14ac:dyDescent="0.15">
      <c r="B7" t="s">
        <v>5</v>
      </c>
      <c r="C7" t="s">
        <v>10</v>
      </c>
      <c r="D7" t="s">
        <v>7</v>
      </c>
      <c r="E7" s="114" t="s">
        <v>10</v>
      </c>
    </row>
    <row r="8" spans="2:5" x14ac:dyDescent="0.15">
      <c r="B8" t="s">
        <v>5</v>
      </c>
      <c r="C8" t="s">
        <v>11</v>
      </c>
      <c r="D8" t="s">
        <v>7</v>
      </c>
      <c r="E8" s="114" t="s">
        <v>11</v>
      </c>
    </row>
    <row r="9" spans="2:5" x14ac:dyDescent="0.15">
      <c r="B9" t="s">
        <v>5</v>
      </c>
      <c r="C9" t="s">
        <v>12</v>
      </c>
      <c r="D9" t="s">
        <v>7</v>
      </c>
      <c r="E9" s="114" t="s">
        <v>12</v>
      </c>
    </row>
    <row r="10" spans="2:5" x14ac:dyDescent="0.15">
      <c r="B10" t="s">
        <v>5</v>
      </c>
      <c r="C10" t="s">
        <v>13</v>
      </c>
      <c r="D10" t="s">
        <v>7</v>
      </c>
      <c r="E10" s="115" t="s">
        <v>14</v>
      </c>
    </row>
    <row r="11" spans="2:5" x14ac:dyDescent="0.15">
      <c r="B11" t="s">
        <v>15</v>
      </c>
      <c r="C11" t="s">
        <v>16</v>
      </c>
      <c r="D11" t="s">
        <v>7</v>
      </c>
      <c r="E11" s="114" t="s">
        <v>16</v>
      </c>
    </row>
  </sheetData>
  <sheetProtection formatCells="0" formatColumns="0" formatRows="0" insertColumns="0" insertRows="0" insertHyperlinks="0" deleteColumns="0" deleteRows="0" sort="0" autoFilter="0" pivotTables="0"/>
  <phoneticPr fontId="23" type="noConversion"/>
  <hyperlinks>
    <hyperlink ref="E5" location="'报告 (2)'!A1" display="报告(2)'" xr:uid="{00000000-0004-0000-0000-000000000000}"/>
    <hyperlink ref="E6" location="蠡湖!A1" display="蠡湖" xr:uid="{00000000-0004-0000-0000-000001000000}"/>
    <hyperlink ref="E7" location="金城!A1" display="金城" xr:uid="{00000000-0004-0000-0000-000002000000}"/>
    <hyperlink ref="E8" location="青祁!A1" display="青祁" xr:uid="{00000000-0004-0000-0000-000003000000}"/>
    <hyperlink ref="E9" location="惠山!A1" display="惠山" xr:uid="{00000000-0004-0000-0000-000004000000}"/>
    <hyperlink ref="E10" location="'隐秀 '!A1" display="隐秀'" xr:uid="{00000000-0004-0000-0000-000005000000}"/>
    <hyperlink ref="E11" location="太湖大道隧道!A1" display="太湖大道隧道" xr:uid="{00000000-0004-0000-0000-000006000000}"/>
  </hyperlinks>
  <pageMargins left="0.75" right="0.75" top="1" bottom="1" header="0.5" footer="0.5"/>
  <pageSetup paperSize="9" orientation="portrait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>
    <pageSetUpPr fitToPage="1"/>
  </sheetPr>
  <dimension ref="A1:H26"/>
  <sheetViews>
    <sheetView topLeftCell="A16" zoomScaleNormal="100" zoomScaleSheetLayoutView="100" workbookViewId="0">
      <selection activeCell="B24" sqref="B24:C24"/>
    </sheetView>
  </sheetViews>
  <sheetFormatPr defaultColWidth="8.875" defaultRowHeight="18.75" x14ac:dyDescent="0.25"/>
  <cols>
    <col min="1" max="1" width="5" style="1" customWidth="1"/>
    <col min="2" max="2" width="12.625" style="2" customWidth="1"/>
    <col min="3" max="3" width="31.875" style="1" customWidth="1"/>
    <col min="4" max="4" width="6.625" style="1" customWidth="1"/>
    <col min="5" max="5" width="9.25" style="3" customWidth="1"/>
    <col min="6" max="7" width="10" style="4" customWidth="1"/>
    <col min="8" max="8" width="7.375" style="5" customWidth="1"/>
    <col min="9" max="16384" width="8.875" style="1"/>
  </cols>
  <sheetData>
    <row r="1" spans="1:8" ht="42.95" customHeight="1" x14ac:dyDescent="0.15">
      <c r="A1" s="199" t="s">
        <v>181</v>
      </c>
      <c r="B1" s="199"/>
      <c r="C1" s="199"/>
      <c r="D1" s="199"/>
      <c r="E1" s="200"/>
      <c r="F1" s="200"/>
      <c r="G1" s="200"/>
      <c r="H1" s="199"/>
    </row>
    <row r="2" spans="1:8" ht="51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27" customHeight="1" x14ac:dyDescent="0.15">
      <c r="A3" s="209" t="s">
        <v>257</v>
      </c>
      <c r="B3" s="209"/>
      <c r="C3" s="209"/>
      <c r="D3" s="127"/>
      <c r="E3" s="127"/>
      <c r="F3" s="127"/>
      <c r="G3" s="127"/>
      <c r="H3" s="127"/>
    </row>
    <row r="4" spans="1:8" ht="87" customHeight="1" x14ac:dyDescent="0.15">
      <c r="A4" s="23">
        <v>1</v>
      </c>
      <c r="B4" s="23" t="s">
        <v>24</v>
      </c>
      <c r="C4" s="44" t="s">
        <v>77</v>
      </c>
      <c r="D4" s="37" t="s">
        <v>59</v>
      </c>
      <c r="E4" s="13">
        <f>383.2*8.25*2</f>
        <v>6322.8</v>
      </c>
      <c r="F4" s="38"/>
      <c r="G4" s="38"/>
      <c r="H4" s="39"/>
    </row>
    <row r="5" spans="1:8" ht="113.25" customHeight="1" x14ac:dyDescent="0.15">
      <c r="A5" s="23">
        <v>2</v>
      </c>
      <c r="B5" s="23" t="s">
        <v>27</v>
      </c>
      <c r="C5" s="43" t="s">
        <v>97</v>
      </c>
      <c r="D5" s="37" t="s">
        <v>59</v>
      </c>
      <c r="E5" s="45">
        <f>383.2*1.2*4</f>
        <v>1839.36</v>
      </c>
      <c r="F5" s="39"/>
      <c r="G5" s="38"/>
      <c r="H5" s="39"/>
    </row>
    <row r="6" spans="1:8" ht="111" customHeight="1" x14ac:dyDescent="0.15">
      <c r="A6" s="23">
        <v>3</v>
      </c>
      <c r="B6" s="23" t="s">
        <v>29</v>
      </c>
      <c r="C6" s="43" t="s">
        <v>79</v>
      </c>
      <c r="D6" s="23" t="s">
        <v>31</v>
      </c>
      <c r="E6" s="53">
        <v>57</v>
      </c>
      <c r="F6" s="39"/>
      <c r="G6" s="38"/>
      <c r="H6" s="39"/>
    </row>
    <row r="7" spans="1:8" ht="34.5" customHeight="1" x14ac:dyDescent="0.15">
      <c r="A7" s="23">
        <v>4</v>
      </c>
      <c r="B7" s="189" t="s">
        <v>258</v>
      </c>
      <c r="C7" s="189"/>
      <c r="D7" s="23" t="s">
        <v>197</v>
      </c>
      <c r="E7" s="45"/>
      <c r="F7" s="51"/>
      <c r="G7" s="51"/>
      <c r="H7" s="60"/>
    </row>
    <row r="8" spans="1:8" ht="34.5" customHeight="1" x14ac:dyDescent="0.25">
      <c r="A8" s="202" t="s">
        <v>259</v>
      </c>
      <c r="B8" s="209"/>
      <c r="C8" s="209"/>
      <c r="D8" s="72"/>
      <c r="E8" s="73"/>
      <c r="F8" s="69"/>
      <c r="G8" s="69"/>
      <c r="H8" s="62"/>
    </row>
    <row r="9" spans="1:8" ht="73.5" customHeight="1" x14ac:dyDescent="0.15">
      <c r="A9" s="23">
        <v>1</v>
      </c>
      <c r="B9" s="23" t="s">
        <v>48</v>
      </c>
      <c r="C9" s="44" t="s">
        <v>49</v>
      </c>
      <c r="D9" s="23" t="s">
        <v>31</v>
      </c>
      <c r="E9" s="45">
        <f>5*(19.4*2+6.9*4)</f>
        <v>332</v>
      </c>
      <c r="F9" s="39"/>
      <c r="G9" s="38"/>
      <c r="H9" s="39"/>
    </row>
    <row r="10" spans="1:8" ht="59.25" customHeight="1" x14ac:dyDescent="0.15">
      <c r="A10" s="23">
        <v>2</v>
      </c>
      <c r="B10" s="23" t="s">
        <v>50</v>
      </c>
      <c r="C10" s="44" t="s">
        <v>98</v>
      </c>
      <c r="D10" s="23" t="s">
        <v>31</v>
      </c>
      <c r="E10" s="45">
        <v>383.2</v>
      </c>
      <c r="F10" s="39"/>
      <c r="G10" s="38"/>
      <c r="H10" s="39"/>
    </row>
    <row r="11" spans="1:8" ht="90" customHeight="1" x14ac:dyDescent="0.15">
      <c r="A11" s="23">
        <v>3</v>
      </c>
      <c r="B11" s="23" t="s">
        <v>93</v>
      </c>
      <c r="C11" s="44" t="s">
        <v>99</v>
      </c>
      <c r="D11" s="23" t="s">
        <v>31</v>
      </c>
      <c r="E11" s="45">
        <f>157*2+132.5*2</f>
        <v>579</v>
      </c>
      <c r="F11" s="39"/>
      <c r="G11" s="38"/>
      <c r="H11" s="39"/>
    </row>
    <row r="12" spans="1:8" ht="99.75" customHeight="1" x14ac:dyDescent="0.15">
      <c r="A12" s="23">
        <v>4</v>
      </c>
      <c r="B12" s="37" t="s">
        <v>86</v>
      </c>
      <c r="C12" s="44" t="s">
        <v>89</v>
      </c>
      <c r="D12" s="37" t="s">
        <v>59</v>
      </c>
      <c r="E12" s="45">
        <f>93.7*9.7*2</f>
        <v>1817.78</v>
      </c>
      <c r="F12" s="39"/>
      <c r="G12" s="38"/>
      <c r="H12" s="39"/>
    </row>
    <row r="13" spans="1:8" ht="101.25" customHeight="1" x14ac:dyDescent="0.15">
      <c r="A13" s="23">
        <v>5</v>
      </c>
      <c r="B13" s="23" t="s">
        <v>100</v>
      </c>
      <c r="C13" s="43" t="s">
        <v>101</v>
      </c>
      <c r="D13" s="37" t="s">
        <v>59</v>
      </c>
      <c r="E13" s="45">
        <f>93.7*3.17*4+157*2.93*2+132.5*2.75*2+32*2</f>
        <v>2900.886</v>
      </c>
      <c r="F13" s="39"/>
      <c r="G13" s="38"/>
      <c r="H13" s="39"/>
    </row>
    <row r="14" spans="1:8" ht="34.5" customHeight="1" x14ac:dyDescent="0.25">
      <c r="A14" s="23">
        <v>6</v>
      </c>
      <c r="B14" s="189" t="s">
        <v>260</v>
      </c>
      <c r="C14" s="189"/>
      <c r="D14" s="23" t="s">
        <v>197</v>
      </c>
      <c r="E14" s="45"/>
      <c r="F14" s="39"/>
      <c r="G14" s="39"/>
      <c r="H14" s="62"/>
    </row>
    <row r="15" spans="1:8" ht="34.5" customHeight="1" x14ac:dyDescent="0.25">
      <c r="A15" s="203" t="s">
        <v>261</v>
      </c>
      <c r="B15" s="203"/>
      <c r="C15" s="203"/>
      <c r="D15" s="203"/>
      <c r="E15" s="214"/>
      <c r="F15" s="39"/>
      <c r="G15" s="39"/>
      <c r="H15" s="62"/>
    </row>
    <row r="16" spans="1:8" ht="34.5" customHeight="1" x14ac:dyDescent="0.25">
      <c r="A16" s="201" t="s">
        <v>198</v>
      </c>
      <c r="B16" s="189"/>
      <c r="C16" s="201"/>
      <c r="D16" s="201"/>
      <c r="E16" s="211"/>
      <c r="F16" s="39"/>
      <c r="G16" s="39"/>
      <c r="H16" s="62"/>
    </row>
    <row r="17" spans="1:8" ht="36" customHeight="1" x14ac:dyDescent="0.15">
      <c r="A17" s="23">
        <v>1</v>
      </c>
      <c r="B17" s="23" t="s">
        <v>52</v>
      </c>
      <c r="C17" s="44" t="s">
        <v>218</v>
      </c>
      <c r="D17" s="23" t="s">
        <v>53</v>
      </c>
      <c r="E17" s="45">
        <f>766*365/1000</f>
        <v>279.58999999999997</v>
      </c>
      <c r="F17" s="39"/>
      <c r="G17" s="38"/>
      <c r="H17" s="39"/>
    </row>
    <row r="18" spans="1:8" ht="36" customHeight="1" x14ac:dyDescent="0.15">
      <c r="A18" s="23">
        <v>2</v>
      </c>
      <c r="B18" s="23" t="str">
        <f>隐秀立交市政设施!B19</f>
        <v>隧道保护区巡查</v>
      </c>
      <c r="C18" s="44" t="s">
        <v>217</v>
      </c>
      <c r="D18" s="23" t="str">
        <f>隐秀立交市政设施!D19</f>
        <v>1000m</v>
      </c>
      <c r="E18" s="45">
        <f>766*365/1000</f>
        <v>279.58999999999997</v>
      </c>
      <c r="F18" s="39"/>
      <c r="G18" s="38"/>
      <c r="H18" s="39"/>
    </row>
    <row r="19" spans="1:8" ht="34.5" customHeight="1" x14ac:dyDescent="0.15">
      <c r="A19" s="23">
        <v>3</v>
      </c>
      <c r="B19" s="189" t="s">
        <v>199</v>
      </c>
      <c r="C19" s="189"/>
      <c r="D19" s="23" t="s">
        <v>197</v>
      </c>
      <c r="E19" s="45"/>
      <c r="F19" s="39"/>
      <c r="G19" s="39"/>
      <c r="H19" s="71"/>
    </row>
    <row r="20" spans="1:8" ht="34.5" customHeight="1" x14ac:dyDescent="0.15">
      <c r="A20" s="201" t="s">
        <v>200</v>
      </c>
      <c r="B20" s="189"/>
      <c r="C20" s="201"/>
      <c r="D20" s="201"/>
      <c r="E20" s="211"/>
      <c r="F20" s="39"/>
      <c r="G20" s="39"/>
      <c r="H20" s="71"/>
    </row>
    <row r="21" spans="1:8" ht="45" customHeight="1" x14ac:dyDescent="0.15">
      <c r="A21" s="23">
        <v>1</v>
      </c>
      <c r="B21" s="23" t="s">
        <v>55</v>
      </c>
      <c r="C21" s="44" t="s">
        <v>56</v>
      </c>
      <c r="D21" s="23" t="s">
        <v>53</v>
      </c>
      <c r="E21" s="45">
        <f>766*12/1000</f>
        <v>9.1920000000000002</v>
      </c>
      <c r="F21" s="38"/>
      <c r="G21" s="38"/>
      <c r="H21" s="39"/>
    </row>
    <row r="22" spans="1:8" ht="39" customHeight="1" x14ac:dyDescent="0.15">
      <c r="A22" s="23">
        <v>2</v>
      </c>
      <c r="B22" s="23" t="s">
        <v>57</v>
      </c>
      <c r="C22" s="44" t="s">
        <v>56</v>
      </c>
      <c r="D22" s="23" t="s">
        <v>53</v>
      </c>
      <c r="E22" s="45">
        <f>766*12/1000</f>
        <v>9.1920000000000002</v>
      </c>
      <c r="F22" s="39"/>
      <c r="G22" s="38"/>
      <c r="H22" s="39"/>
    </row>
    <row r="23" spans="1:8" ht="34.5" customHeight="1" x14ac:dyDescent="0.25">
      <c r="A23" s="23">
        <v>3</v>
      </c>
      <c r="B23" s="189" t="s">
        <v>201</v>
      </c>
      <c r="C23" s="189"/>
      <c r="D23" s="23" t="s">
        <v>197</v>
      </c>
      <c r="E23" s="45"/>
      <c r="F23" s="51"/>
      <c r="G23" s="51"/>
      <c r="H23" s="62"/>
    </row>
    <row r="24" spans="1:8" ht="34.5" customHeight="1" x14ac:dyDescent="0.25">
      <c r="A24" s="23">
        <v>4</v>
      </c>
      <c r="B24" s="189" t="s">
        <v>262</v>
      </c>
      <c r="C24" s="189"/>
      <c r="D24" s="23" t="s">
        <v>197</v>
      </c>
      <c r="E24" s="45"/>
      <c r="F24" s="51"/>
      <c r="G24" s="51"/>
      <c r="H24" s="62"/>
    </row>
    <row r="25" spans="1:8" ht="37.5" customHeight="1" x14ac:dyDescent="0.25">
      <c r="A25" s="50"/>
      <c r="B25" s="189" t="s">
        <v>203</v>
      </c>
      <c r="C25" s="189"/>
      <c r="D25" s="23" t="s">
        <v>197</v>
      </c>
      <c r="E25" s="52"/>
      <c r="F25" s="38"/>
      <c r="G25" s="38"/>
      <c r="H25" s="62"/>
    </row>
    <row r="26" spans="1:8" ht="41.25" customHeight="1" x14ac:dyDescent="0.25">
      <c r="A26" s="50"/>
      <c r="B26" s="189" t="s">
        <v>202</v>
      </c>
      <c r="C26" s="189"/>
      <c r="D26" s="23" t="s">
        <v>197</v>
      </c>
      <c r="E26" s="52"/>
      <c r="F26" s="39"/>
      <c r="G26" s="39"/>
      <c r="H26" s="62"/>
    </row>
  </sheetData>
  <sheetProtection formatCells="0" formatColumns="0" formatRows="0" insertColumns="0" insertRows="0" insertHyperlinks="0" deleteColumns="0" deleteRows="0" sort="0" autoFilter="0" pivotTables="0"/>
  <mergeCells count="13">
    <mergeCell ref="B25:C25"/>
    <mergeCell ref="B26:C26"/>
    <mergeCell ref="A3:C3"/>
    <mergeCell ref="A15:E15"/>
    <mergeCell ref="A16:E16"/>
    <mergeCell ref="B19:C19"/>
    <mergeCell ref="A20:E20"/>
    <mergeCell ref="B23:C23"/>
    <mergeCell ref="A1:H1"/>
    <mergeCell ref="B7:C7"/>
    <mergeCell ref="A8:C8"/>
    <mergeCell ref="B14:C14"/>
    <mergeCell ref="B24:C24"/>
  </mergeCells>
  <phoneticPr fontId="23" type="noConversion"/>
  <pageMargins left="0.59055118110236227" right="0.59055118110236227" top="0.59055118110236227" bottom="0.47244094488188981" header="0" footer="0"/>
  <pageSetup paperSize="9" scale="99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pageSetUpPr fitToPage="1"/>
  </sheetPr>
  <dimension ref="A1:H20"/>
  <sheetViews>
    <sheetView topLeftCell="A7" zoomScaleNormal="100" workbookViewId="0">
      <selection activeCell="E18" sqref="E18"/>
    </sheetView>
  </sheetViews>
  <sheetFormatPr defaultColWidth="8.875" defaultRowHeight="18.75" x14ac:dyDescent="0.25"/>
  <cols>
    <col min="1" max="1" width="4.125" style="1" customWidth="1"/>
    <col min="2" max="2" width="12.125" style="2" customWidth="1"/>
    <col min="3" max="3" width="32.125" style="1" customWidth="1"/>
    <col min="4" max="4" width="6.125" style="1" customWidth="1"/>
    <col min="5" max="5" width="10.875" style="3" customWidth="1"/>
    <col min="6" max="6" width="8" style="4" customWidth="1"/>
    <col min="7" max="7" width="8.25" style="4" customWidth="1"/>
    <col min="8" max="8" width="9.125" style="70" customWidth="1"/>
    <col min="9" max="16384" width="8.875" style="1"/>
  </cols>
  <sheetData>
    <row r="1" spans="1:8" ht="44.1" customHeight="1" x14ac:dyDescent="0.15">
      <c r="A1" s="199" t="s">
        <v>182</v>
      </c>
      <c r="B1" s="199"/>
      <c r="C1" s="199"/>
      <c r="D1" s="199"/>
      <c r="E1" s="200"/>
      <c r="F1" s="200"/>
      <c r="G1" s="200"/>
      <c r="H1" s="199"/>
    </row>
    <row r="2" spans="1:8" ht="66.7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42" customHeight="1" x14ac:dyDescent="0.15">
      <c r="A3" s="201" t="s">
        <v>263</v>
      </c>
      <c r="B3" s="201"/>
      <c r="C3" s="201"/>
      <c r="D3" s="44"/>
      <c r="E3" s="44"/>
      <c r="F3" s="80"/>
      <c r="G3" s="80"/>
      <c r="H3" s="80"/>
    </row>
    <row r="4" spans="1:8" ht="100.5" customHeight="1" x14ac:dyDescent="0.15">
      <c r="A4" s="23">
        <v>1</v>
      </c>
      <c r="B4" s="23" t="s">
        <v>24</v>
      </c>
      <c r="C4" s="44" t="s">
        <v>77</v>
      </c>
      <c r="D4" s="37" t="s">
        <v>59</v>
      </c>
      <c r="E4" s="45">
        <f>570*8.25*2+230*8.25*2</f>
        <v>13200</v>
      </c>
      <c r="F4" s="38"/>
      <c r="G4" s="38"/>
      <c r="H4" s="39"/>
    </row>
    <row r="5" spans="1:8" ht="117.75" customHeight="1" x14ac:dyDescent="0.15">
      <c r="A5" s="23">
        <v>2</v>
      </c>
      <c r="B5" s="23" t="s">
        <v>29</v>
      </c>
      <c r="C5" s="44" t="s">
        <v>102</v>
      </c>
      <c r="D5" s="23" t="s">
        <v>31</v>
      </c>
      <c r="E5" s="45">
        <f>3*8.25*2+8*2</f>
        <v>65.5</v>
      </c>
      <c r="F5" s="38"/>
      <c r="G5" s="38"/>
      <c r="H5" s="39"/>
    </row>
    <row r="6" spans="1:8" ht="84.75" customHeight="1" x14ac:dyDescent="0.15">
      <c r="A6" s="23">
        <v>3</v>
      </c>
      <c r="B6" s="23" t="s">
        <v>32</v>
      </c>
      <c r="C6" s="44" t="s">
        <v>103</v>
      </c>
      <c r="D6" s="37" t="s">
        <v>31</v>
      </c>
      <c r="E6" s="45">
        <v>1095</v>
      </c>
      <c r="F6" s="38"/>
      <c r="G6" s="38"/>
      <c r="H6" s="39"/>
    </row>
    <row r="7" spans="1:8" ht="57.75" customHeight="1" x14ac:dyDescent="0.15">
      <c r="A7" s="23">
        <v>4</v>
      </c>
      <c r="B7" s="23" t="s">
        <v>34</v>
      </c>
      <c r="C7" s="44" t="s">
        <v>104</v>
      </c>
      <c r="D7" s="23" t="s">
        <v>36</v>
      </c>
      <c r="E7" s="45">
        <v>2</v>
      </c>
      <c r="F7" s="60"/>
      <c r="G7" s="38"/>
      <c r="H7" s="60"/>
    </row>
    <row r="8" spans="1:8" ht="43.5" customHeight="1" x14ac:dyDescent="0.15">
      <c r="A8" s="23">
        <v>5</v>
      </c>
      <c r="B8" s="191" t="s">
        <v>264</v>
      </c>
      <c r="C8" s="204"/>
      <c r="D8" s="23" t="s">
        <v>197</v>
      </c>
      <c r="E8" s="45"/>
      <c r="F8" s="51"/>
      <c r="G8" s="51"/>
      <c r="H8" s="128"/>
    </row>
    <row r="9" spans="1:8" ht="36" customHeight="1" x14ac:dyDescent="0.25">
      <c r="A9" s="215" t="s">
        <v>265</v>
      </c>
      <c r="B9" s="215"/>
      <c r="C9" s="215"/>
      <c r="D9" s="129"/>
      <c r="E9" s="129"/>
      <c r="F9" s="38"/>
      <c r="G9" s="38"/>
      <c r="H9" s="126"/>
    </row>
    <row r="10" spans="1:8" ht="36" customHeight="1" x14ac:dyDescent="0.25">
      <c r="A10" s="201" t="s">
        <v>198</v>
      </c>
      <c r="B10" s="201"/>
      <c r="C10" s="201"/>
      <c r="D10" s="44"/>
      <c r="E10" s="49"/>
      <c r="F10" s="38"/>
      <c r="G10" s="38"/>
      <c r="H10" s="126"/>
    </row>
    <row r="11" spans="1:8" ht="42" customHeight="1" x14ac:dyDescent="0.15">
      <c r="A11" s="23">
        <v>1</v>
      </c>
      <c r="B11" s="23" t="s">
        <v>52</v>
      </c>
      <c r="C11" s="44" t="s">
        <v>218</v>
      </c>
      <c r="D11" s="23" t="s">
        <v>53</v>
      </c>
      <c r="E11" s="45">
        <f>1140*365/1000</f>
        <v>416.1</v>
      </c>
      <c r="F11" s="38"/>
      <c r="G11" s="38"/>
      <c r="H11" s="39"/>
    </row>
    <row r="12" spans="1:8" ht="42.75" customHeight="1" x14ac:dyDescent="0.15">
      <c r="A12" s="23">
        <v>2</v>
      </c>
      <c r="B12" s="23" t="str">
        <f>红星立交市政设施!B18</f>
        <v>隧道保护区巡查</v>
      </c>
      <c r="C12" s="44" t="s">
        <v>217</v>
      </c>
      <c r="D12" s="23" t="str">
        <f>红星立交市政设施!D18</f>
        <v>1000m</v>
      </c>
      <c r="E12" s="45">
        <f>1140*365/1000</f>
        <v>416.1</v>
      </c>
      <c r="F12" s="38"/>
      <c r="G12" s="38"/>
      <c r="H12" s="39"/>
    </row>
    <row r="13" spans="1:8" ht="36" customHeight="1" x14ac:dyDescent="0.15">
      <c r="A13" s="23">
        <v>3</v>
      </c>
      <c r="B13" s="189" t="s">
        <v>199</v>
      </c>
      <c r="C13" s="189"/>
      <c r="D13" s="23" t="s">
        <v>197</v>
      </c>
      <c r="E13" s="45"/>
      <c r="F13" s="38"/>
      <c r="G13" s="38"/>
      <c r="H13" s="71"/>
    </row>
    <row r="14" spans="1:8" ht="36" customHeight="1" x14ac:dyDescent="0.15">
      <c r="A14" s="201" t="s">
        <v>200</v>
      </c>
      <c r="B14" s="201"/>
      <c r="C14" s="201"/>
      <c r="D14" s="44"/>
      <c r="E14" s="49"/>
      <c r="F14" s="38"/>
      <c r="G14" s="38"/>
      <c r="H14" s="71"/>
    </row>
    <row r="15" spans="1:8" ht="48" customHeight="1" x14ac:dyDescent="0.15">
      <c r="A15" s="23">
        <v>1</v>
      </c>
      <c r="B15" s="23" t="s">
        <v>55</v>
      </c>
      <c r="C15" s="44" t="s">
        <v>56</v>
      </c>
      <c r="D15" s="23" t="s">
        <v>53</v>
      </c>
      <c r="E15" s="45">
        <f>1140*12/1000</f>
        <v>13.68</v>
      </c>
      <c r="F15" s="60"/>
      <c r="G15" s="38"/>
      <c r="H15" s="60"/>
    </row>
    <row r="16" spans="1:8" ht="46.5" customHeight="1" x14ac:dyDescent="0.15">
      <c r="A16" s="23">
        <v>2</v>
      </c>
      <c r="B16" s="23" t="s">
        <v>57</v>
      </c>
      <c r="C16" s="44" t="s">
        <v>56</v>
      </c>
      <c r="D16" s="23" t="s">
        <v>53</v>
      </c>
      <c r="E16" s="45">
        <f>1140*12/1000</f>
        <v>13.68</v>
      </c>
      <c r="F16" s="60"/>
      <c r="G16" s="38"/>
      <c r="H16" s="60"/>
    </row>
    <row r="17" spans="1:8" ht="36" customHeight="1" x14ac:dyDescent="0.25">
      <c r="A17" s="23">
        <v>3</v>
      </c>
      <c r="B17" s="189" t="s">
        <v>201</v>
      </c>
      <c r="C17" s="189"/>
      <c r="D17" s="23" t="s">
        <v>197</v>
      </c>
      <c r="E17" s="45"/>
      <c r="F17" s="51"/>
      <c r="G17" s="51"/>
      <c r="H17" s="126"/>
    </row>
    <row r="18" spans="1:8" ht="36" customHeight="1" x14ac:dyDescent="0.25">
      <c r="A18" s="23">
        <v>4</v>
      </c>
      <c r="B18" s="189" t="s">
        <v>266</v>
      </c>
      <c r="C18" s="189"/>
      <c r="D18" s="23" t="s">
        <v>197</v>
      </c>
      <c r="E18" s="45"/>
      <c r="F18" s="38"/>
      <c r="G18" s="38"/>
      <c r="H18" s="126"/>
    </row>
    <row r="19" spans="1:8" ht="39.75" customHeight="1" x14ac:dyDescent="0.25">
      <c r="A19" s="50"/>
      <c r="B19" s="189" t="s">
        <v>203</v>
      </c>
      <c r="C19" s="189"/>
      <c r="D19" s="23" t="s">
        <v>197</v>
      </c>
      <c r="E19" s="52"/>
      <c r="F19" s="38"/>
      <c r="G19" s="38"/>
      <c r="H19" s="126"/>
    </row>
    <row r="20" spans="1:8" ht="33" customHeight="1" x14ac:dyDescent="0.25">
      <c r="A20" s="50"/>
      <c r="B20" s="189" t="s">
        <v>202</v>
      </c>
      <c r="C20" s="189"/>
      <c r="D20" s="23" t="s">
        <v>197</v>
      </c>
      <c r="E20" s="52"/>
      <c r="F20" s="38"/>
      <c r="G20" s="38"/>
      <c r="H20" s="126"/>
    </row>
  </sheetData>
  <sheetProtection formatCells="0" formatColumns="0" formatRows="0" insertColumns="0" insertRows="0" insertHyperlinks="0" deleteColumns="0" deleteRows="0" sort="0" autoFilter="0" pivotTables="0"/>
  <mergeCells count="11">
    <mergeCell ref="B17:C17"/>
    <mergeCell ref="B18:C18"/>
    <mergeCell ref="B19:C19"/>
    <mergeCell ref="B20:C20"/>
    <mergeCell ref="A14:C14"/>
    <mergeCell ref="A1:H1"/>
    <mergeCell ref="B13:C13"/>
    <mergeCell ref="A3:C3"/>
    <mergeCell ref="A9:C9"/>
    <mergeCell ref="A10:C10"/>
    <mergeCell ref="B8:C8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>
    <pageSetUpPr fitToPage="1"/>
  </sheetPr>
  <dimension ref="A1:H28"/>
  <sheetViews>
    <sheetView zoomScaleNormal="100" zoomScaleSheetLayoutView="100" workbookViewId="0">
      <selection activeCell="B27" sqref="B27:C27"/>
    </sheetView>
  </sheetViews>
  <sheetFormatPr defaultColWidth="8.875" defaultRowHeight="18.75" x14ac:dyDescent="0.25"/>
  <cols>
    <col min="1" max="1" width="4.875" style="1" customWidth="1"/>
    <col min="2" max="2" width="13.25" style="2" customWidth="1"/>
    <col min="3" max="3" width="32.375" style="1" customWidth="1"/>
    <col min="4" max="4" width="6.125" style="1" customWidth="1"/>
    <col min="5" max="5" width="10.375" style="3" customWidth="1"/>
    <col min="6" max="6" width="8.75" style="4" customWidth="1"/>
    <col min="7" max="7" width="8.25" style="4" customWidth="1"/>
    <col min="8" max="8" width="8.125" style="5" customWidth="1"/>
    <col min="9" max="9" width="12.875" style="1"/>
    <col min="10" max="16384" width="8.875" style="1"/>
  </cols>
  <sheetData>
    <row r="1" spans="1:8" ht="40.5" customHeight="1" x14ac:dyDescent="0.15">
      <c r="A1" s="199" t="s">
        <v>184</v>
      </c>
      <c r="B1" s="199"/>
      <c r="C1" s="199"/>
      <c r="D1" s="199"/>
      <c r="E1" s="200"/>
      <c r="F1" s="200"/>
      <c r="G1" s="200"/>
      <c r="H1" s="199"/>
    </row>
    <row r="2" spans="1:8" ht="46.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9" customHeight="1" x14ac:dyDescent="0.15">
      <c r="A3" s="201" t="s">
        <v>267</v>
      </c>
      <c r="B3" s="201"/>
      <c r="C3" s="201"/>
      <c r="D3" s="44"/>
      <c r="E3" s="44"/>
      <c r="F3" s="80"/>
      <c r="G3" s="80"/>
      <c r="H3" s="80"/>
    </row>
    <row r="4" spans="1:8" ht="80.25" customHeight="1" x14ac:dyDescent="0.15">
      <c r="A4" s="23">
        <v>1</v>
      </c>
      <c r="B4" s="59" t="s">
        <v>24</v>
      </c>
      <c r="C4" s="44" t="s">
        <v>117</v>
      </c>
      <c r="D4" s="37" t="s">
        <v>59</v>
      </c>
      <c r="E4" s="41">
        <f>12*2*610</f>
        <v>14640</v>
      </c>
      <c r="F4" s="16"/>
      <c r="G4" s="16"/>
      <c r="H4" s="16"/>
    </row>
    <row r="5" spans="1:8" ht="90" customHeight="1" x14ac:dyDescent="0.15">
      <c r="A5" s="23">
        <v>2</v>
      </c>
      <c r="B5" s="23" t="s">
        <v>27</v>
      </c>
      <c r="C5" s="44" t="s">
        <v>118</v>
      </c>
      <c r="D5" s="37" t="s">
        <v>59</v>
      </c>
      <c r="E5" s="41">
        <f>610*1.2*4</f>
        <v>2928</v>
      </c>
      <c r="F5" s="16"/>
      <c r="G5" s="16"/>
      <c r="H5" s="16"/>
    </row>
    <row r="6" spans="1:8" ht="85.5" customHeight="1" x14ac:dyDescent="0.15">
      <c r="A6" s="23">
        <v>3</v>
      </c>
      <c r="B6" s="23" t="s">
        <v>29</v>
      </c>
      <c r="C6" s="44" t="s">
        <v>119</v>
      </c>
      <c r="D6" s="23" t="s">
        <v>31</v>
      </c>
      <c r="E6" s="58">
        <f>10.75*16</f>
        <v>172</v>
      </c>
      <c r="F6" s="16"/>
      <c r="G6" s="16"/>
      <c r="H6" s="16"/>
    </row>
    <row r="7" spans="1:8" ht="85.5" customHeight="1" x14ac:dyDescent="0.15">
      <c r="A7" s="23">
        <v>4</v>
      </c>
      <c r="B7" s="23" t="s">
        <v>32</v>
      </c>
      <c r="C7" s="44" t="s">
        <v>120</v>
      </c>
      <c r="D7" s="23" t="s">
        <v>31</v>
      </c>
      <c r="E7" s="45">
        <f>610*2</f>
        <v>1220</v>
      </c>
      <c r="F7" s="16"/>
      <c r="G7" s="16"/>
      <c r="H7" s="16"/>
    </row>
    <row r="8" spans="1:8" ht="36.950000000000003" customHeight="1" x14ac:dyDescent="0.15">
      <c r="A8" s="23">
        <v>5</v>
      </c>
      <c r="B8" s="191" t="s">
        <v>268</v>
      </c>
      <c r="C8" s="204"/>
      <c r="D8" s="23" t="s">
        <v>197</v>
      </c>
      <c r="E8" s="41"/>
      <c r="F8" s="60"/>
      <c r="G8" s="60"/>
      <c r="H8" s="61"/>
    </row>
    <row r="9" spans="1:8" ht="36.950000000000003" customHeight="1" x14ac:dyDescent="0.15">
      <c r="A9" s="202" t="s">
        <v>269</v>
      </c>
      <c r="B9" s="202"/>
      <c r="C9" s="202"/>
      <c r="D9" s="43"/>
      <c r="E9" s="43"/>
      <c r="F9" s="119"/>
      <c r="G9" s="119"/>
      <c r="H9" s="119"/>
    </row>
    <row r="10" spans="1:8" ht="58.5" customHeight="1" x14ac:dyDescent="0.15">
      <c r="A10" s="23">
        <v>1</v>
      </c>
      <c r="B10" s="59" t="s">
        <v>40</v>
      </c>
      <c r="C10" s="44" t="s">
        <v>121</v>
      </c>
      <c r="D10" s="37" t="s">
        <v>59</v>
      </c>
      <c r="E10" s="41">
        <f>16.15*2*145</f>
        <v>4683.5</v>
      </c>
      <c r="F10" s="16"/>
      <c r="G10" s="16"/>
      <c r="H10" s="16"/>
    </row>
    <row r="11" spans="1:8" ht="71.25" customHeight="1" x14ac:dyDescent="0.15">
      <c r="A11" s="23">
        <v>2</v>
      </c>
      <c r="B11" s="54" t="s">
        <v>44</v>
      </c>
      <c r="C11" s="44" t="s">
        <v>122</v>
      </c>
      <c r="D11" s="37" t="s">
        <v>59</v>
      </c>
      <c r="E11" s="41">
        <f>145*3.05*4</f>
        <v>1769</v>
      </c>
      <c r="F11" s="16"/>
      <c r="G11" s="16"/>
      <c r="H11" s="16"/>
    </row>
    <row r="12" spans="1:8" ht="63" customHeight="1" x14ac:dyDescent="0.15">
      <c r="A12" s="23">
        <v>3</v>
      </c>
      <c r="B12" s="23" t="s">
        <v>93</v>
      </c>
      <c r="C12" s="44" t="s">
        <v>123</v>
      </c>
      <c r="D12" s="23" t="s">
        <v>31</v>
      </c>
      <c r="E12" s="41">
        <f>245*2+220*2+27.3*2</f>
        <v>984.6</v>
      </c>
      <c r="F12" s="16"/>
      <c r="G12" s="16"/>
      <c r="H12" s="16"/>
    </row>
    <row r="13" spans="1:8" ht="74.25" customHeight="1" x14ac:dyDescent="0.15">
      <c r="A13" s="23">
        <v>4</v>
      </c>
      <c r="B13" s="23" t="s">
        <v>46</v>
      </c>
      <c r="C13" s="44" t="s">
        <v>124</v>
      </c>
      <c r="D13" s="37" t="s">
        <v>59</v>
      </c>
      <c r="E13" s="41">
        <f>245*(7.17+0.12)/2*2+220*(7.17+0.1)/2*2+(0.9+0.9)*(245+220)*2+(2.58+1.4+1)*27.3*2</f>
        <v>5331.3580000000002</v>
      </c>
      <c r="F13" s="16"/>
      <c r="G13" s="16"/>
      <c r="H13" s="16"/>
    </row>
    <row r="14" spans="1:8" ht="63.75" customHeight="1" x14ac:dyDescent="0.15">
      <c r="A14" s="23">
        <v>5</v>
      </c>
      <c r="B14" s="23" t="s">
        <v>48</v>
      </c>
      <c r="C14" s="44" t="s">
        <v>125</v>
      </c>
      <c r="D14" s="23" t="s">
        <v>31</v>
      </c>
      <c r="E14" s="41">
        <v>367.5</v>
      </c>
      <c r="F14" s="16"/>
      <c r="G14" s="16"/>
      <c r="H14" s="16"/>
    </row>
    <row r="15" spans="1:8" ht="53.25" customHeight="1" x14ac:dyDescent="0.15">
      <c r="A15" s="23">
        <v>6</v>
      </c>
      <c r="B15" s="37" t="s">
        <v>126</v>
      </c>
      <c r="C15" s="44" t="s">
        <v>127</v>
      </c>
      <c r="D15" s="23" t="s">
        <v>31</v>
      </c>
      <c r="E15" s="41">
        <v>1220</v>
      </c>
      <c r="F15" s="16"/>
      <c r="G15" s="16"/>
      <c r="H15" s="16"/>
    </row>
    <row r="16" spans="1:8" ht="35.1" customHeight="1" x14ac:dyDescent="0.25">
      <c r="A16" s="23">
        <v>7</v>
      </c>
      <c r="B16" s="189" t="s">
        <v>270</v>
      </c>
      <c r="C16" s="189"/>
      <c r="D16" s="23" t="s">
        <v>197</v>
      </c>
      <c r="E16" s="45"/>
      <c r="F16" s="51"/>
      <c r="G16" s="51"/>
      <c r="H16" s="62"/>
    </row>
    <row r="17" spans="1:8" ht="35.1" customHeight="1" x14ac:dyDescent="0.25">
      <c r="A17" s="203" t="s">
        <v>271</v>
      </c>
      <c r="B17" s="203"/>
      <c r="C17" s="203"/>
      <c r="D17" s="47"/>
      <c r="E17" s="48"/>
      <c r="F17" s="69"/>
      <c r="G17" s="69"/>
      <c r="H17" s="62"/>
    </row>
    <row r="18" spans="1:8" ht="35.1" customHeight="1" x14ac:dyDescent="0.25">
      <c r="A18" s="201" t="s">
        <v>198</v>
      </c>
      <c r="B18" s="201"/>
      <c r="C18" s="201"/>
      <c r="D18" s="44"/>
      <c r="E18" s="49"/>
      <c r="F18" s="69"/>
      <c r="G18" s="69"/>
      <c r="H18" s="62"/>
    </row>
    <row r="19" spans="1:8" ht="35.1" customHeight="1" x14ac:dyDescent="0.15">
      <c r="A19" s="23">
        <v>1</v>
      </c>
      <c r="B19" s="23" t="str">
        <f>通江立交市政设施!B11</f>
        <v>隧道内外日常设施设备巡查</v>
      </c>
      <c r="C19" s="44" t="s">
        <v>218</v>
      </c>
      <c r="D19" s="23" t="str">
        <f>通江立交市政设施!D11</f>
        <v>1000m</v>
      </c>
      <c r="E19" s="41">
        <f>1220*365/1000</f>
        <v>445.3</v>
      </c>
      <c r="F19" s="60"/>
      <c r="G19" s="16"/>
      <c r="H19" s="60"/>
    </row>
    <row r="20" spans="1:8" ht="35.1" customHeight="1" x14ac:dyDescent="0.15">
      <c r="A20" s="23">
        <v>2</v>
      </c>
      <c r="B20" s="23" t="str">
        <f>通江立交市政设施!B12</f>
        <v>隧道保护区巡查</v>
      </c>
      <c r="C20" s="44" t="s">
        <v>217</v>
      </c>
      <c r="D20" s="23" t="str">
        <f>通江立交市政设施!D12</f>
        <v>1000m</v>
      </c>
      <c r="E20" s="41">
        <f>1220*365/1000</f>
        <v>445.3</v>
      </c>
      <c r="F20" s="60"/>
      <c r="G20" s="16"/>
      <c r="H20" s="60"/>
    </row>
    <row r="21" spans="1:8" ht="35.1" customHeight="1" x14ac:dyDescent="0.25">
      <c r="A21" s="23">
        <v>3</v>
      </c>
      <c r="B21" s="189" t="s">
        <v>199</v>
      </c>
      <c r="C21" s="189"/>
      <c r="D21" s="23" t="s">
        <v>197</v>
      </c>
      <c r="E21" s="45"/>
      <c r="F21" s="60"/>
      <c r="G21" s="60"/>
      <c r="H21" s="62"/>
    </row>
    <row r="22" spans="1:8" ht="35.1" customHeight="1" x14ac:dyDescent="0.25">
      <c r="A22" s="201" t="s">
        <v>200</v>
      </c>
      <c r="B22" s="201"/>
      <c r="C22" s="201"/>
      <c r="D22" s="44"/>
      <c r="E22" s="49"/>
      <c r="F22" s="69"/>
      <c r="G22" s="69"/>
      <c r="H22" s="62"/>
    </row>
    <row r="23" spans="1:8" ht="35.1" customHeight="1" x14ac:dyDescent="0.15">
      <c r="A23" s="23">
        <v>1</v>
      </c>
      <c r="B23" s="23" t="s">
        <v>55</v>
      </c>
      <c r="C23" s="44" t="s">
        <v>56</v>
      </c>
      <c r="D23" s="23" t="s">
        <v>53</v>
      </c>
      <c r="E23" s="41">
        <f>1220*12/1000</f>
        <v>14.64</v>
      </c>
      <c r="F23" s="60"/>
      <c r="G23" s="16"/>
      <c r="H23" s="60"/>
    </row>
    <row r="24" spans="1:8" ht="35.1" customHeight="1" x14ac:dyDescent="0.15">
      <c r="A24" s="23">
        <v>2</v>
      </c>
      <c r="B24" s="23" t="s">
        <v>57</v>
      </c>
      <c r="C24" s="44" t="s">
        <v>56</v>
      </c>
      <c r="D24" s="23" t="s">
        <v>53</v>
      </c>
      <c r="E24" s="41">
        <f>1220*12/1000</f>
        <v>14.64</v>
      </c>
      <c r="F24" s="60"/>
      <c r="G24" s="16"/>
      <c r="H24" s="60"/>
    </row>
    <row r="25" spans="1:8" ht="35.1" customHeight="1" x14ac:dyDescent="0.25">
      <c r="A25" s="23">
        <v>3</v>
      </c>
      <c r="B25" s="189" t="s">
        <v>201</v>
      </c>
      <c r="C25" s="189"/>
      <c r="D25" s="23" t="s">
        <v>197</v>
      </c>
      <c r="E25" s="45"/>
      <c r="F25" s="51"/>
      <c r="G25" s="51"/>
      <c r="H25" s="62"/>
    </row>
    <row r="26" spans="1:8" ht="35.1" customHeight="1" x14ac:dyDescent="0.25">
      <c r="A26" s="23">
        <v>4</v>
      </c>
      <c r="B26" s="189" t="s">
        <v>272</v>
      </c>
      <c r="C26" s="189"/>
      <c r="D26" s="23" t="s">
        <v>197</v>
      </c>
      <c r="E26" s="45"/>
      <c r="F26" s="51"/>
      <c r="G26" s="51"/>
      <c r="H26" s="62"/>
    </row>
    <row r="27" spans="1:8" ht="35.1" customHeight="1" x14ac:dyDescent="0.25">
      <c r="A27" s="50"/>
      <c r="B27" s="189" t="s">
        <v>203</v>
      </c>
      <c r="C27" s="189"/>
      <c r="D27" s="23" t="s">
        <v>197</v>
      </c>
      <c r="E27" s="52"/>
      <c r="F27" s="38"/>
      <c r="G27" s="38"/>
      <c r="H27" s="62"/>
    </row>
    <row r="28" spans="1:8" ht="35.1" customHeight="1" x14ac:dyDescent="0.25">
      <c r="A28" s="50"/>
      <c r="B28" s="189" t="s">
        <v>202</v>
      </c>
      <c r="C28" s="189"/>
      <c r="D28" s="23" t="s">
        <v>197</v>
      </c>
      <c r="E28" s="52"/>
      <c r="F28" s="38"/>
      <c r="G28" s="38"/>
      <c r="H28" s="62"/>
    </row>
  </sheetData>
  <sheetProtection formatCells="0" formatColumns="0" formatRows="0" insertColumns="0" insertRows="0" insertHyperlinks="0" deleteColumns="0" deleteRows="0" sort="0" autoFilter="0" pivotTables="0"/>
  <mergeCells count="13">
    <mergeCell ref="A1:H1"/>
    <mergeCell ref="B16:C16"/>
    <mergeCell ref="B27:C27"/>
    <mergeCell ref="B28:C28"/>
    <mergeCell ref="A3:C3"/>
    <mergeCell ref="A9:C9"/>
    <mergeCell ref="A17:C17"/>
    <mergeCell ref="A18:C18"/>
    <mergeCell ref="A22:C22"/>
    <mergeCell ref="B21:C21"/>
    <mergeCell ref="B25:C25"/>
    <mergeCell ref="B26:C26"/>
    <mergeCell ref="B8:C8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8">
    <pageSetUpPr fitToPage="1"/>
  </sheetPr>
  <dimension ref="A1:H28"/>
  <sheetViews>
    <sheetView topLeftCell="A19" zoomScaleNormal="100" zoomScaleSheetLayoutView="100" workbookViewId="0">
      <selection activeCell="B28" sqref="B28:C28"/>
    </sheetView>
  </sheetViews>
  <sheetFormatPr defaultColWidth="8.875" defaultRowHeight="18.75" x14ac:dyDescent="0.25"/>
  <cols>
    <col min="1" max="1" width="4.625" style="1" customWidth="1"/>
    <col min="2" max="2" width="9.875" style="2" customWidth="1"/>
    <col min="3" max="3" width="32.875" style="1" customWidth="1"/>
    <col min="4" max="4" width="6.125" style="1" customWidth="1"/>
    <col min="5" max="5" width="10.375" style="3" customWidth="1"/>
    <col min="6" max="6" width="7.875" style="4" customWidth="1"/>
    <col min="7" max="7" width="8" style="4" customWidth="1"/>
    <col min="8" max="8" width="8.375" style="5" customWidth="1"/>
    <col min="9" max="16384" width="8.875" style="1"/>
  </cols>
  <sheetData>
    <row r="1" spans="1:8" ht="48.75" customHeight="1" x14ac:dyDescent="0.15">
      <c r="A1" s="199" t="s">
        <v>185</v>
      </c>
      <c r="B1" s="199"/>
      <c r="C1" s="199"/>
      <c r="D1" s="199"/>
      <c r="E1" s="200"/>
      <c r="F1" s="200"/>
      <c r="G1" s="200"/>
      <c r="H1" s="199"/>
    </row>
    <row r="2" spans="1:8" ht="62.2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44.25" customHeight="1" x14ac:dyDescent="0.15">
      <c r="A3" s="201" t="s">
        <v>273</v>
      </c>
      <c r="B3" s="201"/>
      <c r="C3" s="201"/>
      <c r="D3" s="201"/>
      <c r="E3" s="201"/>
      <c r="F3" s="216"/>
      <c r="G3" s="216"/>
      <c r="H3" s="216"/>
    </row>
    <row r="4" spans="1:8" ht="98.25" customHeight="1" x14ac:dyDescent="0.15">
      <c r="A4" s="23">
        <v>1</v>
      </c>
      <c r="B4" s="59" t="s">
        <v>24</v>
      </c>
      <c r="C4" s="44" t="s">
        <v>117</v>
      </c>
      <c r="D4" s="37" t="s">
        <v>59</v>
      </c>
      <c r="E4" s="41">
        <f>(925+1015+385+489.87)*8.6</f>
        <v>24207.882000000001</v>
      </c>
      <c r="F4" s="38"/>
      <c r="G4" s="38"/>
      <c r="H4" s="39"/>
    </row>
    <row r="5" spans="1:8" ht="83.25" customHeight="1" x14ac:dyDescent="0.15">
      <c r="A5" s="23">
        <v>2</v>
      </c>
      <c r="B5" s="23" t="s">
        <v>27</v>
      </c>
      <c r="C5" s="43" t="s">
        <v>128</v>
      </c>
      <c r="D5" s="37" t="s">
        <v>59</v>
      </c>
      <c r="E5" s="58">
        <f>(925+1015+293+403)*1.2*2</f>
        <v>6326.4</v>
      </c>
      <c r="F5" s="38"/>
      <c r="G5" s="38"/>
      <c r="H5" s="39"/>
    </row>
    <row r="6" spans="1:8" ht="87.75" customHeight="1" x14ac:dyDescent="0.15">
      <c r="A6" s="23">
        <v>3</v>
      </c>
      <c r="B6" s="23" t="s">
        <v>29</v>
      </c>
      <c r="C6" s="44" t="s">
        <v>129</v>
      </c>
      <c r="D6" s="23" t="s">
        <v>31</v>
      </c>
      <c r="E6" s="58">
        <f>10*25</f>
        <v>250</v>
      </c>
      <c r="F6" s="38"/>
      <c r="G6" s="38"/>
      <c r="H6" s="39"/>
    </row>
    <row r="7" spans="1:8" ht="84.75" customHeight="1" x14ac:dyDescent="0.15">
      <c r="A7" s="23">
        <v>4</v>
      </c>
      <c r="B7" s="23" t="s">
        <v>32</v>
      </c>
      <c r="C7" s="44" t="s">
        <v>120</v>
      </c>
      <c r="D7" s="23" t="s">
        <v>31</v>
      </c>
      <c r="E7" s="41">
        <f>260+263+355.5+405+295+295</f>
        <v>1873.5</v>
      </c>
      <c r="F7" s="38"/>
      <c r="G7" s="38"/>
      <c r="H7" s="39"/>
    </row>
    <row r="8" spans="1:8" ht="31.5" customHeight="1" x14ac:dyDescent="0.15">
      <c r="A8" s="23"/>
      <c r="B8" s="191" t="s">
        <v>274</v>
      </c>
      <c r="C8" s="204"/>
      <c r="D8" s="23" t="s">
        <v>197</v>
      </c>
      <c r="E8" s="41"/>
      <c r="F8" s="51"/>
      <c r="G8" s="51"/>
      <c r="H8" s="61"/>
    </row>
    <row r="9" spans="1:8" ht="31.5" customHeight="1" x14ac:dyDescent="0.15">
      <c r="A9" s="202" t="s">
        <v>276</v>
      </c>
      <c r="B9" s="202"/>
      <c r="C9" s="202"/>
      <c r="D9" s="202"/>
      <c r="E9" s="202"/>
      <c r="F9" s="217"/>
      <c r="G9" s="217"/>
      <c r="H9" s="217"/>
    </row>
    <row r="10" spans="1:8" ht="75" customHeight="1" x14ac:dyDescent="0.15">
      <c r="A10" s="23">
        <v>1</v>
      </c>
      <c r="B10" s="59" t="s">
        <v>40</v>
      </c>
      <c r="C10" s="44" t="s">
        <v>121</v>
      </c>
      <c r="D10" s="37" t="s">
        <v>59</v>
      </c>
      <c r="E10" s="41">
        <f>(555+650+205+314.87)*11.5</f>
        <v>19836.005000000001</v>
      </c>
      <c r="F10" s="38"/>
      <c r="G10" s="38"/>
      <c r="H10" s="39"/>
    </row>
    <row r="11" spans="1:8" ht="84.75" customHeight="1" x14ac:dyDescent="0.15">
      <c r="A11" s="23">
        <v>2</v>
      </c>
      <c r="B11" s="54" t="s">
        <v>44</v>
      </c>
      <c r="C11" s="44" t="s">
        <v>122</v>
      </c>
      <c r="D11" s="37" t="s">
        <v>59</v>
      </c>
      <c r="E11" s="41">
        <f>(555+650+113+228)*3.05*2</f>
        <v>9430.6</v>
      </c>
      <c r="F11" s="38"/>
      <c r="G11" s="38"/>
      <c r="H11" s="39"/>
    </row>
    <row r="12" spans="1:8" ht="72" customHeight="1" x14ac:dyDescent="0.15">
      <c r="A12" s="23">
        <v>3</v>
      </c>
      <c r="B12" s="23" t="s">
        <v>93</v>
      </c>
      <c r="C12" s="44" t="s">
        <v>123</v>
      </c>
      <c r="D12" s="23" t="s">
        <v>31</v>
      </c>
      <c r="E12" s="41">
        <f>(190+180+175+175+170+200)*2+9.7*6</f>
        <v>2238.1999999999998</v>
      </c>
      <c r="F12" s="38"/>
      <c r="G12" s="38"/>
      <c r="H12" s="39"/>
    </row>
    <row r="13" spans="1:8" ht="73.5" customHeight="1" x14ac:dyDescent="0.15">
      <c r="A13" s="23">
        <v>4</v>
      </c>
      <c r="B13" s="23" t="s">
        <v>46</v>
      </c>
      <c r="C13" s="44" t="s">
        <v>130</v>
      </c>
      <c r="D13" s="37" t="s">
        <v>59</v>
      </c>
      <c r="E13" s="41">
        <f>(190+180+175+175+170+200)*(6+0.2)/2*2+9.7*1.5*6</f>
        <v>6845.3</v>
      </c>
      <c r="F13" s="38"/>
      <c r="G13" s="38"/>
      <c r="H13" s="39"/>
    </row>
    <row r="14" spans="1:8" ht="62.25" customHeight="1" x14ac:dyDescent="0.15">
      <c r="A14" s="23">
        <v>5</v>
      </c>
      <c r="B14" s="23" t="s">
        <v>48</v>
      </c>
      <c r="C14" s="44" t="s">
        <v>125</v>
      </c>
      <c r="D14" s="23" t="s">
        <v>31</v>
      </c>
      <c r="E14" s="41">
        <v>1880</v>
      </c>
      <c r="F14" s="38"/>
      <c r="G14" s="38"/>
      <c r="H14" s="39"/>
    </row>
    <row r="15" spans="1:8" ht="55.5" customHeight="1" x14ac:dyDescent="0.15">
      <c r="A15" s="23">
        <v>6</v>
      </c>
      <c r="B15" s="23" t="s">
        <v>50</v>
      </c>
      <c r="C15" s="44" t="s">
        <v>127</v>
      </c>
      <c r="D15" s="23" t="s">
        <v>31</v>
      </c>
      <c r="E15" s="41">
        <v>2814.87</v>
      </c>
      <c r="F15" s="38"/>
      <c r="G15" s="38"/>
      <c r="H15" s="39"/>
    </row>
    <row r="16" spans="1:8" ht="31.5" customHeight="1" x14ac:dyDescent="0.15">
      <c r="A16" s="23">
        <v>7</v>
      </c>
      <c r="B16" s="189" t="s">
        <v>275</v>
      </c>
      <c r="C16" s="189"/>
      <c r="D16" s="23" t="s">
        <v>197</v>
      </c>
      <c r="E16" s="45"/>
      <c r="F16" s="38"/>
      <c r="G16" s="38"/>
      <c r="H16" s="46"/>
    </row>
    <row r="17" spans="1:8" ht="31.5" customHeight="1" x14ac:dyDescent="0.15">
      <c r="A17" s="203" t="s">
        <v>277</v>
      </c>
      <c r="B17" s="203"/>
      <c r="C17" s="203"/>
      <c r="D17" s="203"/>
      <c r="E17" s="214"/>
      <c r="F17" s="38"/>
      <c r="G17" s="38"/>
      <c r="H17" s="46"/>
    </row>
    <row r="18" spans="1:8" ht="31.5" customHeight="1" x14ac:dyDescent="0.15">
      <c r="A18" s="201" t="s">
        <v>198</v>
      </c>
      <c r="B18" s="189"/>
      <c r="C18" s="201"/>
      <c r="D18" s="201"/>
      <c r="E18" s="211"/>
      <c r="F18" s="38"/>
      <c r="G18" s="38"/>
      <c r="H18" s="46"/>
    </row>
    <row r="19" spans="1:8" ht="54" customHeight="1" x14ac:dyDescent="0.15">
      <c r="A19" s="23">
        <v>1</v>
      </c>
      <c r="B19" s="23" t="str">
        <f>周新立交市政设施!B19</f>
        <v>隧道内外日常设施设备巡查</v>
      </c>
      <c r="C19" s="44" t="s">
        <v>218</v>
      </c>
      <c r="D19" s="23" t="s">
        <v>53</v>
      </c>
      <c r="E19" s="41">
        <f>2.815*365</f>
        <v>1027.4749999999999</v>
      </c>
      <c r="F19" s="38"/>
      <c r="G19" s="38"/>
      <c r="H19" s="39"/>
    </row>
    <row r="20" spans="1:8" ht="43.5" customHeight="1" x14ac:dyDescent="0.15">
      <c r="A20" s="23">
        <v>2</v>
      </c>
      <c r="B20" s="23" t="str">
        <f>周新立交市政设施!B20</f>
        <v>隧道保护区巡查</v>
      </c>
      <c r="C20" s="44" t="s">
        <v>217</v>
      </c>
      <c r="D20" s="23" t="str">
        <f>周新立交市政设施!D20</f>
        <v>1000m</v>
      </c>
      <c r="E20" s="41">
        <f>2.815*365</f>
        <v>1027.4749999999999</v>
      </c>
      <c r="F20" s="38"/>
      <c r="G20" s="38"/>
      <c r="H20" s="39"/>
    </row>
    <row r="21" spans="1:8" ht="35.1" customHeight="1" x14ac:dyDescent="0.15">
      <c r="A21" s="23">
        <v>3</v>
      </c>
      <c r="B21" s="189" t="s">
        <v>199</v>
      </c>
      <c r="C21" s="189"/>
      <c r="D21" s="23" t="s">
        <v>197</v>
      </c>
      <c r="E21" s="45"/>
      <c r="F21" s="38"/>
      <c r="G21" s="38"/>
      <c r="H21" s="39"/>
    </row>
    <row r="22" spans="1:8" ht="35.1" customHeight="1" x14ac:dyDescent="0.15">
      <c r="A22" s="201" t="s">
        <v>200</v>
      </c>
      <c r="B22" s="189"/>
      <c r="C22" s="201"/>
      <c r="D22" s="201"/>
      <c r="E22" s="211"/>
      <c r="F22" s="38"/>
      <c r="G22" s="38"/>
      <c r="H22" s="39"/>
    </row>
    <row r="23" spans="1:8" ht="35.1" customHeight="1" x14ac:dyDescent="0.15">
      <c r="A23" s="23">
        <v>1</v>
      </c>
      <c r="B23" s="23" t="s">
        <v>55</v>
      </c>
      <c r="C23" s="44" t="s">
        <v>56</v>
      </c>
      <c r="D23" s="23" t="s">
        <v>53</v>
      </c>
      <c r="E23" s="41">
        <f>2.815*12</f>
        <v>33.78</v>
      </c>
      <c r="F23" s="38"/>
      <c r="G23" s="38"/>
      <c r="H23" s="39"/>
    </row>
    <row r="24" spans="1:8" ht="42.75" customHeight="1" x14ac:dyDescent="0.15">
      <c r="A24" s="23">
        <v>2</v>
      </c>
      <c r="B24" s="23" t="s">
        <v>57</v>
      </c>
      <c r="C24" s="44" t="s">
        <v>56</v>
      </c>
      <c r="D24" s="23" t="s">
        <v>53</v>
      </c>
      <c r="E24" s="41">
        <f>2.815*12</f>
        <v>33.78</v>
      </c>
      <c r="F24" s="38"/>
      <c r="G24" s="38"/>
      <c r="H24" s="39"/>
    </row>
    <row r="25" spans="1:8" ht="35.1" customHeight="1" x14ac:dyDescent="0.15">
      <c r="A25" s="23">
        <v>3</v>
      </c>
      <c r="B25" s="189" t="s">
        <v>201</v>
      </c>
      <c r="C25" s="189"/>
      <c r="D25" s="23" t="s">
        <v>197</v>
      </c>
      <c r="E25" s="45"/>
      <c r="F25" s="51"/>
      <c r="G25" s="51"/>
      <c r="H25" s="46"/>
    </row>
    <row r="26" spans="1:8" ht="35.1" customHeight="1" x14ac:dyDescent="0.15">
      <c r="A26" s="23">
        <v>4</v>
      </c>
      <c r="B26" s="189" t="s">
        <v>278</v>
      </c>
      <c r="C26" s="189"/>
      <c r="D26" s="23" t="s">
        <v>197</v>
      </c>
      <c r="E26" s="45"/>
      <c r="F26" s="51"/>
      <c r="G26" s="51"/>
      <c r="H26" s="46"/>
    </row>
    <row r="27" spans="1:8" ht="35.1" customHeight="1" x14ac:dyDescent="0.15">
      <c r="A27" s="50"/>
      <c r="B27" s="189" t="s">
        <v>203</v>
      </c>
      <c r="C27" s="189"/>
      <c r="D27" s="23" t="s">
        <v>197</v>
      </c>
      <c r="E27" s="52"/>
      <c r="F27" s="38"/>
      <c r="G27" s="38"/>
      <c r="H27" s="46"/>
    </row>
    <row r="28" spans="1:8" ht="35.1" customHeight="1" x14ac:dyDescent="0.15">
      <c r="A28" s="50"/>
      <c r="B28" s="189" t="s">
        <v>202</v>
      </c>
      <c r="C28" s="189"/>
      <c r="D28" s="23" t="s">
        <v>197</v>
      </c>
      <c r="E28" s="52"/>
      <c r="F28" s="38"/>
      <c r="G28" s="38"/>
      <c r="H28" s="46"/>
    </row>
  </sheetData>
  <sheetProtection formatCells="0" formatColumns="0" formatRows="0" insertColumns="0" insertRows="0" insertHyperlinks="0" deleteColumns="0" deleteRows="0" sort="0" autoFilter="0" pivotTables="0"/>
  <mergeCells count="13">
    <mergeCell ref="B27:C27"/>
    <mergeCell ref="B28:C28"/>
    <mergeCell ref="A18:E18"/>
    <mergeCell ref="B21:C21"/>
    <mergeCell ref="A22:E22"/>
    <mergeCell ref="B25:C25"/>
    <mergeCell ref="B26:C26"/>
    <mergeCell ref="A1:H1"/>
    <mergeCell ref="A3:H3"/>
    <mergeCell ref="A9:H9"/>
    <mergeCell ref="B16:C16"/>
    <mergeCell ref="A17:E17"/>
    <mergeCell ref="B8:C8"/>
  </mergeCells>
  <phoneticPr fontId="23" type="noConversion"/>
  <pageMargins left="0.39370078740157483" right="0.39370078740157483" top="0.39370078740157483" bottom="0.47244094488188981" header="0" footer="0"/>
  <pageSetup paperSize="9" scale="95" fitToHeight="0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pageSetUpPr fitToPage="1"/>
  </sheetPr>
  <dimension ref="A1:H28"/>
  <sheetViews>
    <sheetView topLeftCell="A13" zoomScaleNormal="100" zoomScaleSheetLayoutView="100" workbookViewId="0">
      <selection activeCell="B21" sqref="B21:C21"/>
    </sheetView>
  </sheetViews>
  <sheetFormatPr defaultColWidth="8.875" defaultRowHeight="18.75" x14ac:dyDescent="0.25"/>
  <cols>
    <col min="1" max="1" width="4.5" style="1" customWidth="1"/>
    <col min="2" max="2" width="10" style="2" customWidth="1"/>
    <col min="3" max="3" width="34.625" style="1" customWidth="1"/>
    <col min="4" max="4" width="6.125" style="1" customWidth="1"/>
    <col min="5" max="5" width="10.125" style="3" customWidth="1"/>
    <col min="6" max="6" width="8.875" style="4" customWidth="1"/>
    <col min="7" max="7" width="8.125" style="4" customWidth="1"/>
    <col min="8" max="8" width="9.125" style="5" customWidth="1"/>
    <col min="9" max="16384" width="8.875" style="1"/>
  </cols>
  <sheetData>
    <row r="1" spans="1:8" ht="42" customHeight="1" x14ac:dyDescent="0.15">
      <c r="A1" s="199" t="s">
        <v>186</v>
      </c>
      <c r="B1" s="199"/>
      <c r="C1" s="199"/>
      <c r="D1" s="199"/>
      <c r="E1" s="200"/>
      <c r="F1" s="200"/>
      <c r="G1" s="200"/>
      <c r="H1" s="199"/>
    </row>
    <row r="2" spans="1:8" ht="43.5" customHeight="1" x14ac:dyDescent="0.15">
      <c r="A2" s="145" t="s">
        <v>17</v>
      </c>
      <c r="B2" s="145" t="s">
        <v>19</v>
      </c>
      <c r="C2" s="145" t="s">
        <v>20</v>
      </c>
      <c r="D2" s="6" t="s">
        <v>193</v>
      </c>
      <c r="E2" s="7" t="s">
        <v>194</v>
      </c>
      <c r="F2" s="146" t="s">
        <v>21</v>
      </c>
      <c r="G2" s="146" t="s">
        <v>22</v>
      </c>
      <c r="H2" s="145" t="s">
        <v>23</v>
      </c>
    </row>
    <row r="3" spans="1:8" ht="39.75" customHeight="1" x14ac:dyDescent="0.15">
      <c r="A3" s="201" t="s">
        <v>279</v>
      </c>
      <c r="B3" s="218"/>
      <c r="C3" s="218"/>
      <c r="D3" s="148"/>
      <c r="E3" s="148"/>
      <c r="F3" s="148"/>
      <c r="G3" s="148"/>
      <c r="H3" s="148"/>
    </row>
    <row r="4" spans="1:8" ht="93" customHeight="1" x14ac:dyDescent="0.15">
      <c r="A4" s="136">
        <v>1</v>
      </c>
      <c r="B4" s="158" t="s">
        <v>24</v>
      </c>
      <c r="C4" s="148" t="s">
        <v>117</v>
      </c>
      <c r="D4" s="149" t="s">
        <v>174</v>
      </c>
      <c r="E4" s="150">
        <f>8.7*591</f>
        <v>5141.7</v>
      </c>
      <c r="F4" s="151"/>
      <c r="G4" s="151"/>
      <c r="H4" s="151"/>
    </row>
    <row r="5" spans="1:8" ht="99.75" customHeight="1" x14ac:dyDescent="0.15">
      <c r="A5" s="136">
        <v>2</v>
      </c>
      <c r="B5" s="147" t="s">
        <v>27</v>
      </c>
      <c r="C5" s="148" t="s">
        <v>118</v>
      </c>
      <c r="D5" s="149" t="s">
        <v>131</v>
      </c>
      <c r="E5" s="150">
        <v>1426.56</v>
      </c>
      <c r="F5" s="151"/>
      <c r="G5" s="151"/>
      <c r="H5" s="151"/>
    </row>
    <row r="6" spans="1:8" ht="75.75" customHeight="1" x14ac:dyDescent="0.15">
      <c r="A6" s="136">
        <v>3</v>
      </c>
      <c r="B6" s="136" t="s">
        <v>29</v>
      </c>
      <c r="C6" s="148" t="s">
        <v>129</v>
      </c>
      <c r="D6" s="136" t="s">
        <v>31</v>
      </c>
      <c r="E6" s="141">
        <f>9*6</f>
        <v>54</v>
      </c>
      <c r="F6" s="151"/>
      <c r="G6" s="151"/>
      <c r="H6" s="151"/>
    </row>
    <row r="7" spans="1:8" ht="105.75" customHeight="1" x14ac:dyDescent="0.15">
      <c r="A7" s="136">
        <v>4</v>
      </c>
      <c r="B7" s="136" t="s">
        <v>32</v>
      </c>
      <c r="C7" s="148" t="s">
        <v>132</v>
      </c>
      <c r="D7" s="136" t="s">
        <v>31</v>
      </c>
      <c r="E7" s="150">
        <v>591</v>
      </c>
      <c r="F7" s="151"/>
      <c r="G7" s="151"/>
      <c r="H7" s="151"/>
    </row>
    <row r="8" spans="1:8" ht="41.25" customHeight="1" x14ac:dyDescent="0.15">
      <c r="A8" s="136">
        <v>5</v>
      </c>
      <c r="B8" s="191" t="s">
        <v>280</v>
      </c>
      <c r="C8" s="220"/>
      <c r="D8" s="23" t="s">
        <v>197</v>
      </c>
      <c r="E8" s="150"/>
      <c r="F8" s="151"/>
      <c r="G8" s="151"/>
      <c r="H8" s="136"/>
    </row>
    <row r="9" spans="1:8" ht="45.75" customHeight="1" x14ac:dyDescent="0.15">
      <c r="A9" s="201" t="s">
        <v>281</v>
      </c>
      <c r="B9" s="218"/>
      <c r="C9" s="218"/>
      <c r="D9" s="152"/>
      <c r="E9" s="153"/>
      <c r="F9" s="161"/>
      <c r="G9" s="161"/>
      <c r="H9" s="162"/>
    </row>
    <row r="10" spans="1:8" ht="69" customHeight="1" x14ac:dyDescent="0.15">
      <c r="A10" s="136">
        <v>1</v>
      </c>
      <c r="B10" s="158" t="s">
        <v>40</v>
      </c>
      <c r="C10" s="148" t="s">
        <v>121</v>
      </c>
      <c r="D10" s="149" t="s">
        <v>174</v>
      </c>
      <c r="E10" s="150">
        <f>13.6*215</f>
        <v>2924</v>
      </c>
      <c r="F10" s="151"/>
      <c r="G10" s="151"/>
      <c r="H10" s="151"/>
    </row>
    <row r="11" spans="1:8" ht="64.5" customHeight="1" x14ac:dyDescent="0.15">
      <c r="A11" s="136">
        <v>2</v>
      </c>
      <c r="B11" s="147" t="s">
        <v>100</v>
      </c>
      <c r="C11" s="148" t="s">
        <v>133</v>
      </c>
      <c r="D11" s="149" t="s">
        <v>174</v>
      </c>
      <c r="E11" s="150">
        <v>3289.46</v>
      </c>
      <c r="F11" s="151"/>
      <c r="G11" s="151"/>
      <c r="H11" s="151"/>
    </row>
    <row r="12" spans="1:8" ht="71.25" customHeight="1" x14ac:dyDescent="0.15">
      <c r="A12" s="136">
        <v>3</v>
      </c>
      <c r="B12" s="147" t="s">
        <v>44</v>
      </c>
      <c r="C12" s="148" t="s">
        <v>122</v>
      </c>
      <c r="D12" s="149" t="s">
        <v>174</v>
      </c>
      <c r="E12" s="150">
        <f>215*3.05*2</f>
        <v>1311.5</v>
      </c>
      <c r="F12" s="151"/>
      <c r="G12" s="151"/>
      <c r="H12" s="151"/>
    </row>
    <row r="13" spans="1:8" ht="79.5" customHeight="1" x14ac:dyDescent="0.15">
      <c r="A13" s="136">
        <v>4</v>
      </c>
      <c r="B13" s="136" t="s">
        <v>93</v>
      </c>
      <c r="C13" s="148" t="s">
        <v>123</v>
      </c>
      <c r="D13" s="136" t="s">
        <v>31</v>
      </c>
      <c r="E13" s="150">
        <f>376*2+9.7*2</f>
        <v>771.4</v>
      </c>
      <c r="F13" s="151"/>
      <c r="G13" s="151"/>
      <c r="H13" s="151"/>
    </row>
    <row r="14" spans="1:8" ht="70.5" customHeight="1" x14ac:dyDescent="0.15">
      <c r="A14" s="136">
        <v>5</v>
      </c>
      <c r="B14" s="136" t="s">
        <v>48</v>
      </c>
      <c r="C14" s="148" t="s">
        <v>125</v>
      </c>
      <c r="D14" s="136" t="s">
        <v>31</v>
      </c>
      <c r="E14" s="150">
        <v>550</v>
      </c>
      <c r="F14" s="151"/>
      <c r="G14" s="151"/>
      <c r="H14" s="151"/>
    </row>
    <row r="15" spans="1:8" ht="61.5" customHeight="1" x14ac:dyDescent="0.15">
      <c r="A15" s="136">
        <v>6</v>
      </c>
      <c r="B15" s="136" t="s">
        <v>50</v>
      </c>
      <c r="C15" s="148" t="s">
        <v>127</v>
      </c>
      <c r="D15" s="136" t="s">
        <v>31</v>
      </c>
      <c r="E15" s="150">
        <v>591</v>
      </c>
      <c r="F15" s="151"/>
      <c r="G15" s="151"/>
      <c r="H15" s="151"/>
    </row>
    <row r="16" spans="1:8" ht="35.1" customHeight="1" x14ac:dyDescent="0.15">
      <c r="A16" s="136">
        <v>7</v>
      </c>
      <c r="B16" s="189" t="s">
        <v>282</v>
      </c>
      <c r="C16" s="219"/>
      <c r="D16" s="23" t="s">
        <v>197</v>
      </c>
      <c r="E16" s="154"/>
      <c r="F16" s="151"/>
      <c r="G16" s="151"/>
      <c r="H16" s="156"/>
    </row>
    <row r="17" spans="1:8" ht="35.1" customHeight="1" x14ac:dyDescent="0.15">
      <c r="A17" s="203" t="s">
        <v>284</v>
      </c>
      <c r="B17" s="221"/>
      <c r="C17" s="221"/>
      <c r="D17" s="164"/>
      <c r="E17" s="165"/>
      <c r="F17" s="151"/>
      <c r="G17" s="151"/>
      <c r="H17" s="156"/>
    </row>
    <row r="18" spans="1:8" ht="35.1" customHeight="1" x14ac:dyDescent="0.15">
      <c r="A18" s="201" t="s">
        <v>198</v>
      </c>
      <c r="B18" s="218"/>
      <c r="C18" s="218"/>
      <c r="D18" s="148"/>
      <c r="E18" s="155"/>
      <c r="F18" s="151"/>
      <c r="G18" s="151"/>
      <c r="H18" s="156"/>
    </row>
    <row r="19" spans="1:8" ht="35.1" customHeight="1" x14ac:dyDescent="0.15">
      <c r="A19" s="136">
        <v>1</v>
      </c>
      <c r="B19" s="136" t="str">
        <f>学府立交市政设施!B19</f>
        <v>隧道内外日常设施设备巡查</v>
      </c>
      <c r="C19" s="44" t="s">
        <v>218</v>
      </c>
      <c r="D19" s="136" t="s">
        <v>53</v>
      </c>
      <c r="E19" s="150">
        <f>0.591*365</f>
        <v>215.71499999999997</v>
      </c>
      <c r="F19" s="151"/>
      <c r="G19" s="151"/>
      <c r="H19" s="151"/>
    </row>
    <row r="20" spans="1:8" ht="35.1" customHeight="1" x14ac:dyDescent="0.15">
      <c r="A20" s="136">
        <v>2</v>
      </c>
      <c r="B20" s="136" t="str">
        <f>学府立交市政设施!B20</f>
        <v>隧道保护区巡查</v>
      </c>
      <c r="C20" s="44" t="s">
        <v>217</v>
      </c>
      <c r="D20" s="136" t="str">
        <f>学府立交市政设施!D20</f>
        <v>1000m</v>
      </c>
      <c r="E20" s="150">
        <f>0.591*365</f>
        <v>215.71499999999997</v>
      </c>
      <c r="F20" s="151"/>
      <c r="G20" s="151"/>
      <c r="H20" s="151"/>
    </row>
    <row r="21" spans="1:8" ht="35.1" customHeight="1" x14ac:dyDescent="0.15">
      <c r="A21" s="136">
        <v>3</v>
      </c>
      <c r="B21" s="189" t="s">
        <v>199</v>
      </c>
      <c r="C21" s="219"/>
      <c r="D21" s="23" t="s">
        <v>197</v>
      </c>
      <c r="E21" s="154"/>
      <c r="F21" s="151"/>
      <c r="G21" s="151"/>
      <c r="H21" s="151"/>
    </row>
    <row r="22" spans="1:8" ht="35.1" customHeight="1" x14ac:dyDescent="0.15">
      <c r="A22" s="201" t="s">
        <v>200</v>
      </c>
      <c r="B22" s="218"/>
      <c r="C22" s="218"/>
      <c r="D22" s="148"/>
      <c r="E22" s="155"/>
      <c r="F22" s="151"/>
      <c r="G22" s="151"/>
      <c r="H22" s="151"/>
    </row>
    <row r="23" spans="1:8" ht="35.1" customHeight="1" x14ac:dyDescent="0.15">
      <c r="A23" s="136">
        <v>1</v>
      </c>
      <c r="B23" s="136" t="s">
        <v>55</v>
      </c>
      <c r="C23" s="148" t="s">
        <v>56</v>
      </c>
      <c r="D23" s="136" t="s">
        <v>53</v>
      </c>
      <c r="E23" s="150">
        <f>0.591*12</f>
        <v>7.0919999999999996</v>
      </c>
      <c r="F23" s="151"/>
      <c r="G23" s="151"/>
      <c r="H23" s="151"/>
    </row>
    <row r="24" spans="1:8" ht="35.1" customHeight="1" x14ac:dyDescent="0.15">
      <c r="A24" s="136">
        <v>2</v>
      </c>
      <c r="B24" s="136" t="s">
        <v>57</v>
      </c>
      <c r="C24" s="148" t="s">
        <v>56</v>
      </c>
      <c r="D24" s="136" t="s">
        <v>53</v>
      </c>
      <c r="E24" s="150">
        <f>0.591*12</f>
        <v>7.0919999999999996</v>
      </c>
      <c r="F24" s="151"/>
      <c r="G24" s="151"/>
      <c r="H24" s="151"/>
    </row>
    <row r="25" spans="1:8" ht="35.1" customHeight="1" x14ac:dyDescent="0.15">
      <c r="A25" s="136">
        <v>3</v>
      </c>
      <c r="B25" s="189" t="s">
        <v>201</v>
      </c>
      <c r="C25" s="219"/>
      <c r="D25" s="23" t="s">
        <v>197</v>
      </c>
      <c r="E25" s="154"/>
      <c r="F25" s="154"/>
      <c r="G25" s="154"/>
      <c r="H25" s="156"/>
    </row>
    <row r="26" spans="1:8" ht="35.1" customHeight="1" x14ac:dyDescent="0.15">
      <c r="A26" s="136">
        <v>4</v>
      </c>
      <c r="B26" s="189" t="s">
        <v>283</v>
      </c>
      <c r="C26" s="219"/>
      <c r="D26" s="23" t="s">
        <v>197</v>
      </c>
      <c r="E26" s="154"/>
      <c r="F26" s="151"/>
      <c r="G26" s="151"/>
      <c r="H26" s="156"/>
    </row>
    <row r="27" spans="1:8" ht="35.1" customHeight="1" x14ac:dyDescent="0.15">
      <c r="A27" s="156"/>
      <c r="B27" s="189" t="s">
        <v>203</v>
      </c>
      <c r="C27" s="219"/>
      <c r="D27" s="23" t="s">
        <v>197</v>
      </c>
      <c r="E27" s="157"/>
      <c r="F27" s="159"/>
      <c r="G27" s="159"/>
      <c r="H27" s="156"/>
    </row>
    <row r="28" spans="1:8" ht="35.1" customHeight="1" x14ac:dyDescent="0.15">
      <c r="A28" s="156"/>
      <c r="B28" s="189" t="s">
        <v>202</v>
      </c>
      <c r="C28" s="219"/>
      <c r="D28" s="23" t="s">
        <v>197</v>
      </c>
      <c r="E28" s="157"/>
      <c r="F28" s="151"/>
      <c r="G28" s="151"/>
      <c r="H28" s="156"/>
    </row>
  </sheetData>
  <sheetProtection formatCells="0" formatColumns="0" formatRows="0" insertColumns="0" insertRows="0" insertHyperlinks="0" deleteColumns="0" deleteRows="0" sort="0" autoFilter="0" pivotTables="0"/>
  <mergeCells count="13">
    <mergeCell ref="B28:C28"/>
    <mergeCell ref="A3:C3"/>
    <mergeCell ref="A17:C17"/>
    <mergeCell ref="A18:C18"/>
    <mergeCell ref="A22:C22"/>
    <mergeCell ref="B21:C21"/>
    <mergeCell ref="B25:C25"/>
    <mergeCell ref="A1:H1"/>
    <mergeCell ref="A9:C9"/>
    <mergeCell ref="B16:C16"/>
    <mergeCell ref="B26:C26"/>
    <mergeCell ref="B27:C27"/>
    <mergeCell ref="B8:C8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pageSetUpPr fitToPage="1"/>
  </sheetPr>
  <dimension ref="A1:H29"/>
  <sheetViews>
    <sheetView topLeftCell="A16" zoomScaleNormal="100" zoomScaleSheetLayoutView="100" workbookViewId="0">
      <selection activeCell="B28" sqref="B28:C28"/>
    </sheetView>
  </sheetViews>
  <sheetFormatPr defaultColWidth="8.875" defaultRowHeight="18.75" x14ac:dyDescent="0.25"/>
  <cols>
    <col min="1" max="1" width="4" style="1" customWidth="1"/>
    <col min="2" max="2" width="11.5" style="2" customWidth="1"/>
    <col min="3" max="3" width="32.625" style="1" customWidth="1"/>
    <col min="4" max="4" width="6.125" style="1" customWidth="1"/>
    <col min="5" max="5" width="9.25" style="3" customWidth="1"/>
    <col min="6" max="7" width="9.5" style="4" customWidth="1"/>
    <col min="8" max="8" width="7.125" style="5" customWidth="1"/>
    <col min="9" max="16384" width="8.875" style="1"/>
  </cols>
  <sheetData>
    <row r="1" spans="1:8" ht="48.75" customHeight="1" x14ac:dyDescent="0.15">
      <c r="A1" s="199" t="s">
        <v>187</v>
      </c>
      <c r="B1" s="199"/>
      <c r="C1" s="199"/>
      <c r="D1" s="199"/>
      <c r="E1" s="200"/>
      <c r="F1" s="200"/>
      <c r="G1" s="200"/>
      <c r="H1" s="199"/>
    </row>
    <row r="2" spans="1:8" ht="39.75" customHeight="1" x14ac:dyDescent="0.15">
      <c r="A2" s="145" t="s">
        <v>17</v>
      </c>
      <c r="B2" s="145" t="s">
        <v>19</v>
      </c>
      <c r="C2" s="145" t="s">
        <v>20</v>
      </c>
      <c r="D2" s="6" t="s">
        <v>193</v>
      </c>
      <c r="E2" s="7" t="s">
        <v>194</v>
      </c>
      <c r="F2" s="146" t="s">
        <v>21</v>
      </c>
      <c r="G2" s="146" t="s">
        <v>22</v>
      </c>
      <c r="H2" s="145" t="s">
        <v>23</v>
      </c>
    </row>
    <row r="3" spans="1:8" ht="39.75" customHeight="1" x14ac:dyDescent="0.15">
      <c r="A3" s="201" t="s">
        <v>285</v>
      </c>
      <c r="B3" s="218"/>
      <c r="C3" s="218"/>
      <c r="D3" s="152"/>
      <c r="E3" s="152"/>
      <c r="F3" s="152"/>
      <c r="G3" s="152"/>
      <c r="H3" s="152"/>
    </row>
    <row r="4" spans="1:8" ht="80.25" customHeight="1" x14ac:dyDescent="0.15">
      <c r="A4" s="136">
        <v>1</v>
      </c>
      <c r="B4" s="178" t="s">
        <v>24</v>
      </c>
      <c r="C4" s="148" t="s">
        <v>117</v>
      </c>
      <c r="D4" s="149" t="s">
        <v>174</v>
      </c>
      <c r="E4" s="150">
        <f>395*(7.7+3.5)*2</f>
        <v>8848</v>
      </c>
      <c r="F4" s="159"/>
      <c r="G4" s="159"/>
      <c r="H4" s="160"/>
    </row>
    <row r="5" spans="1:8" ht="84" customHeight="1" x14ac:dyDescent="0.15">
      <c r="A5" s="136">
        <v>2</v>
      </c>
      <c r="B5" s="136" t="s">
        <v>27</v>
      </c>
      <c r="C5" s="148" t="s">
        <v>118</v>
      </c>
      <c r="D5" s="149" t="s">
        <v>174</v>
      </c>
      <c r="E5" s="150">
        <v>1872</v>
      </c>
      <c r="F5" s="159"/>
      <c r="G5" s="159"/>
      <c r="H5" s="160"/>
    </row>
    <row r="6" spans="1:8" ht="77.25" customHeight="1" x14ac:dyDescent="0.15">
      <c r="A6" s="136">
        <v>3</v>
      </c>
      <c r="B6" s="136" t="s">
        <v>29</v>
      </c>
      <c r="C6" s="148" t="s">
        <v>134</v>
      </c>
      <c r="D6" s="136" t="s">
        <v>31</v>
      </c>
      <c r="E6" s="150">
        <f>8.95*16+3.33*16</f>
        <v>196.48</v>
      </c>
      <c r="F6" s="159"/>
      <c r="G6" s="159"/>
      <c r="H6" s="160"/>
    </row>
    <row r="7" spans="1:8" ht="96.75" customHeight="1" x14ac:dyDescent="0.15">
      <c r="A7" s="136">
        <v>4</v>
      </c>
      <c r="B7" s="136" t="s">
        <v>32</v>
      </c>
      <c r="C7" s="148" t="s">
        <v>120</v>
      </c>
      <c r="D7" s="136" t="s">
        <v>31</v>
      </c>
      <c r="E7" s="150">
        <f>395*2</f>
        <v>790</v>
      </c>
      <c r="F7" s="159"/>
      <c r="G7" s="159"/>
      <c r="H7" s="160"/>
    </row>
    <row r="8" spans="1:8" ht="99.75" customHeight="1" x14ac:dyDescent="0.15">
      <c r="A8" s="136">
        <v>5</v>
      </c>
      <c r="B8" s="136" t="s">
        <v>32</v>
      </c>
      <c r="C8" s="123" t="s">
        <v>135</v>
      </c>
      <c r="D8" s="136" t="s">
        <v>31</v>
      </c>
      <c r="E8" s="150">
        <f>395*2</f>
        <v>790</v>
      </c>
      <c r="F8" s="159"/>
      <c r="G8" s="159"/>
      <c r="H8" s="160"/>
    </row>
    <row r="9" spans="1:8" ht="48.75" customHeight="1" x14ac:dyDescent="0.15">
      <c r="A9" s="136">
        <v>6</v>
      </c>
      <c r="B9" s="191" t="s">
        <v>286</v>
      </c>
      <c r="C9" s="204"/>
      <c r="D9" s="23" t="s">
        <v>197</v>
      </c>
      <c r="E9" s="150"/>
      <c r="F9" s="154"/>
      <c r="G9" s="154"/>
      <c r="H9" s="136"/>
    </row>
    <row r="10" spans="1:8" ht="33" customHeight="1" x14ac:dyDescent="0.15">
      <c r="A10" s="202" t="s">
        <v>287</v>
      </c>
      <c r="B10" s="218"/>
      <c r="C10" s="218"/>
      <c r="D10" s="152"/>
      <c r="E10" s="153"/>
      <c r="F10" s="161"/>
      <c r="G10" s="161"/>
      <c r="H10" s="162"/>
    </row>
    <row r="11" spans="1:8" ht="69.75" customHeight="1" x14ac:dyDescent="0.15">
      <c r="A11" s="136">
        <v>1</v>
      </c>
      <c r="B11" s="158" t="s">
        <v>40</v>
      </c>
      <c r="C11" s="148" t="s">
        <v>121</v>
      </c>
      <c r="D11" s="149" t="s">
        <v>174</v>
      </c>
      <c r="E11" s="150">
        <f>105*(12+7.2)*2</f>
        <v>4032</v>
      </c>
      <c r="F11" s="159"/>
      <c r="G11" s="159"/>
      <c r="H11" s="160"/>
    </row>
    <row r="12" spans="1:8" ht="79.5" customHeight="1" x14ac:dyDescent="0.15">
      <c r="A12" s="136">
        <v>2</v>
      </c>
      <c r="B12" s="147" t="s">
        <v>100</v>
      </c>
      <c r="C12" s="148" t="s">
        <v>133</v>
      </c>
      <c r="D12" s="149" t="s">
        <v>174</v>
      </c>
      <c r="E12" s="150">
        <v>2538.4</v>
      </c>
      <c r="F12" s="159"/>
      <c r="G12" s="159"/>
      <c r="H12" s="160"/>
    </row>
    <row r="13" spans="1:8" ht="84.75" customHeight="1" x14ac:dyDescent="0.15">
      <c r="A13" s="136">
        <v>3</v>
      </c>
      <c r="B13" s="136" t="s">
        <v>93</v>
      </c>
      <c r="C13" s="148" t="s">
        <v>136</v>
      </c>
      <c r="D13" s="136" t="s">
        <v>31</v>
      </c>
      <c r="E13" s="150">
        <f>140*4+150*4</f>
        <v>1160</v>
      </c>
      <c r="F13" s="159"/>
      <c r="G13" s="159"/>
      <c r="H13" s="160"/>
    </row>
    <row r="14" spans="1:8" ht="75" customHeight="1" x14ac:dyDescent="0.15">
      <c r="A14" s="136">
        <v>4</v>
      </c>
      <c r="B14" s="147" t="s">
        <v>44</v>
      </c>
      <c r="C14" s="148" t="s">
        <v>122</v>
      </c>
      <c r="D14" s="149" t="s">
        <v>174</v>
      </c>
      <c r="E14" s="150">
        <f>105*3.05*4+105*2.85*4</f>
        <v>2478</v>
      </c>
      <c r="F14" s="159"/>
      <c r="G14" s="159"/>
      <c r="H14" s="160"/>
    </row>
    <row r="15" spans="1:8" ht="60.75" customHeight="1" x14ac:dyDescent="0.15">
      <c r="A15" s="136">
        <v>5</v>
      </c>
      <c r="B15" s="136" t="s">
        <v>48</v>
      </c>
      <c r="C15" s="148" t="s">
        <v>137</v>
      </c>
      <c r="D15" s="136" t="s">
        <v>31</v>
      </c>
      <c r="E15" s="150">
        <v>820</v>
      </c>
      <c r="F15" s="159"/>
      <c r="G15" s="159"/>
      <c r="H15" s="160"/>
    </row>
    <row r="16" spans="1:8" ht="47.25" customHeight="1" x14ac:dyDescent="0.15">
      <c r="A16" s="136">
        <v>6</v>
      </c>
      <c r="B16" s="136" t="s">
        <v>50</v>
      </c>
      <c r="C16" s="148" t="s">
        <v>127</v>
      </c>
      <c r="D16" s="136" t="s">
        <v>31</v>
      </c>
      <c r="E16" s="150">
        <f>395*2</f>
        <v>790</v>
      </c>
      <c r="F16" s="159"/>
      <c r="G16" s="159"/>
      <c r="H16" s="160"/>
    </row>
    <row r="17" spans="1:8" ht="48" customHeight="1" x14ac:dyDescent="0.15">
      <c r="A17" s="136">
        <v>7</v>
      </c>
      <c r="B17" s="191" t="s">
        <v>288</v>
      </c>
      <c r="C17" s="204"/>
      <c r="D17" s="37" t="s">
        <v>197</v>
      </c>
      <c r="E17" s="163"/>
      <c r="F17" s="154"/>
      <c r="G17" s="154"/>
      <c r="H17" s="151"/>
    </row>
    <row r="18" spans="1:8" ht="36" customHeight="1" x14ac:dyDescent="0.15">
      <c r="A18" s="203" t="s">
        <v>289</v>
      </c>
      <c r="B18" s="221"/>
      <c r="C18" s="221"/>
      <c r="D18" s="164"/>
      <c r="E18" s="164"/>
      <c r="F18" s="164"/>
      <c r="G18" s="164"/>
      <c r="H18" s="164"/>
    </row>
    <row r="19" spans="1:8" ht="35.1" customHeight="1" x14ac:dyDescent="0.15">
      <c r="A19" s="201" t="s">
        <v>198</v>
      </c>
      <c r="B19" s="218"/>
      <c r="C19" s="218"/>
      <c r="D19" s="148"/>
      <c r="E19" s="155"/>
      <c r="F19" s="159"/>
      <c r="G19" s="159"/>
      <c r="H19" s="130"/>
    </row>
    <row r="20" spans="1:8" ht="35.1" customHeight="1" x14ac:dyDescent="0.15">
      <c r="A20" s="136">
        <v>1</v>
      </c>
      <c r="B20" s="136" t="s">
        <v>52</v>
      </c>
      <c r="C20" s="44" t="s">
        <v>218</v>
      </c>
      <c r="D20" s="136" t="s">
        <v>53</v>
      </c>
      <c r="E20" s="150">
        <f>790*2*365/1000</f>
        <v>576.70000000000005</v>
      </c>
      <c r="F20" s="159"/>
      <c r="G20" s="159"/>
      <c r="H20" s="160"/>
    </row>
    <row r="21" spans="1:8" ht="35.1" customHeight="1" x14ac:dyDescent="0.15">
      <c r="A21" s="136">
        <v>2</v>
      </c>
      <c r="B21" s="136" t="str">
        <f>雪浪立交市政设施!B20</f>
        <v>隧道保护区巡查</v>
      </c>
      <c r="C21" s="44" t="s">
        <v>217</v>
      </c>
      <c r="D21" s="136" t="str">
        <f>雪浪立交市政设施!D20</f>
        <v>1000m</v>
      </c>
      <c r="E21" s="150">
        <f>790*2*365/1000</f>
        <v>576.70000000000005</v>
      </c>
      <c r="F21" s="159"/>
      <c r="G21" s="159"/>
      <c r="H21" s="160"/>
    </row>
    <row r="22" spans="1:8" ht="35.1" customHeight="1" x14ac:dyDescent="0.15">
      <c r="A22" s="136">
        <v>3</v>
      </c>
      <c r="B22" s="189" t="s">
        <v>199</v>
      </c>
      <c r="C22" s="219"/>
      <c r="D22" s="23" t="s">
        <v>197</v>
      </c>
      <c r="E22" s="154"/>
      <c r="F22" s="154"/>
      <c r="G22" s="154"/>
      <c r="H22" s="130"/>
    </row>
    <row r="23" spans="1:8" ht="35.1" customHeight="1" x14ac:dyDescent="0.15">
      <c r="A23" s="201" t="s">
        <v>200</v>
      </c>
      <c r="B23" s="218"/>
      <c r="C23" s="218"/>
      <c r="D23" s="148"/>
      <c r="E23" s="155"/>
      <c r="F23" s="159"/>
      <c r="G23" s="159"/>
      <c r="H23" s="130"/>
    </row>
    <row r="24" spans="1:8" ht="35.1" customHeight="1" x14ac:dyDescent="0.15">
      <c r="A24" s="136">
        <v>1</v>
      </c>
      <c r="B24" s="136" t="s">
        <v>55</v>
      </c>
      <c r="C24" s="148" t="s">
        <v>56</v>
      </c>
      <c r="D24" s="136" t="s">
        <v>53</v>
      </c>
      <c r="E24" s="150">
        <f>790*2*12/1000</f>
        <v>18.96</v>
      </c>
      <c r="F24" s="159"/>
      <c r="G24" s="159"/>
      <c r="H24" s="160"/>
    </row>
    <row r="25" spans="1:8" ht="35.1" customHeight="1" x14ac:dyDescent="0.15">
      <c r="A25" s="136">
        <v>2</v>
      </c>
      <c r="B25" s="136" t="s">
        <v>57</v>
      </c>
      <c r="C25" s="148" t="s">
        <v>56</v>
      </c>
      <c r="D25" s="136" t="s">
        <v>53</v>
      </c>
      <c r="E25" s="150">
        <f>790*2*12/1000</f>
        <v>18.96</v>
      </c>
      <c r="F25" s="159"/>
      <c r="G25" s="159"/>
      <c r="H25" s="160"/>
    </row>
    <row r="26" spans="1:8" ht="35.1" customHeight="1" x14ac:dyDescent="0.15">
      <c r="A26" s="136">
        <v>3</v>
      </c>
      <c r="B26" s="189" t="s">
        <v>201</v>
      </c>
      <c r="C26" s="219"/>
      <c r="D26" s="23" t="s">
        <v>197</v>
      </c>
      <c r="E26" s="154"/>
      <c r="F26" s="154"/>
      <c r="G26" s="154"/>
      <c r="H26" s="130"/>
    </row>
    <row r="27" spans="1:8" ht="35.1" customHeight="1" x14ac:dyDescent="0.15">
      <c r="A27" s="136">
        <v>4</v>
      </c>
      <c r="B27" s="189" t="s">
        <v>290</v>
      </c>
      <c r="C27" s="219"/>
      <c r="D27" s="23" t="s">
        <v>197</v>
      </c>
      <c r="E27" s="154"/>
      <c r="F27" s="154"/>
      <c r="G27" s="154"/>
      <c r="H27" s="130"/>
    </row>
    <row r="28" spans="1:8" ht="35.1" customHeight="1" x14ac:dyDescent="0.15">
      <c r="A28" s="156"/>
      <c r="B28" s="189" t="s">
        <v>203</v>
      </c>
      <c r="C28" s="219"/>
      <c r="D28" s="23" t="s">
        <v>197</v>
      </c>
      <c r="E28" s="157"/>
      <c r="F28" s="159"/>
      <c r="G28" s="159"/>
      <c r="H28" s="130"/>
    </row>
    <row r="29" spans="1:8" ht="35.1" customHeight="1" x14ac:dyDescent="0.15">
      <c r="A29" s="156"/>
      <c r="B29" s="189" t="s">
        <v>202</v>
      </c>
      <c r="C29" s="219"/>
      <c r="D29" s="23" t="s">
        <v>197</v>
      </c>
      <c r="E29" s="157"/>
      <c r="F29" s="159"/>
      <c r="G29" s="159"/>
      <c r="H29" s="130"/>
    </row>
  </sheetData>
  <sheetProtection formatCells="0" formatColumns="0" formatRows="0" insertColumns="0" insertRows="0" insertHyperlinks="0" deleteColumns="0" deleteRows="0" sort="0" autoFilter="0" pivotTables="0"/>
  <mergeCells count="13">
    <mergeCell ref="A1:H1"/>
    <mergeCell ref="A10:C10"/>
    <mergeCell ref="B28:C28"/>
    <mergeCell ref="B29:C29"/>
    <mergeCell ref="A3:C3"/>
    <mergeCell ref="A18:C18"/>
    <mergeCell ref="A19:C19"/>
    <mergeCell ref="A23:C23"/>
    <mergeCell ref="B22:C22"/>
    <mergeCell ref="B26:C26"/>
    <mergeCell ref="B27:C27"/>
    <mergeCell ref="B9:C9"/>
    <mergeCell ref="B17:C17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pageSetUpPr fitToPage="1"/>
  </sheetPr>
  <dimension ref="A1:H25"/>
  <sheetViews>
    <sheetView topLeftCell="A13" zoomScaleNormal="100" zoomScaleSheetLayoutView="100" workbookViewId="0">
      <selection activeCell="B24" sqref="B24:C24"/>
    </sheetView>
  </sheetViews>
  <sheetFormatPr defaultColWidth="8.875" defaultRowHeight="18.75" x14ac:dyDescent="0.25"/>
  <cols>
    <col min="1" max="1" width="4.75" style="1" customWidth="1"/>
    <col min="2" max="2" width="12" style="2" customWidth="1"/>
    <col min="3" max="3" width="29.25" style="1" customWidth="1"/>
    <col min="4" max="4" width="6.125" style="1" customWidth="1"/>
    <col min="5" max="5" width="10.875" style="3" customWidth="1"/>
    <col min="6" max="6" width="9.75" style="4" customWidth="1"/>
    <col min="7" max="7" width="9.875" style="4" customWidth="1"/>
    <col min="8" max="8" width="7.625" style="5" customWidth="1"/>
    <col min="9" max="16384" width="8.875" style="1"/>
  </cols>
  <sheetData>
    <row r="1" spans="1:8" ht="51" customHeight="1" x14ac:dyDescent="0.15">
      <c r="A1" s="199" t="s">
        <v>188</v>
      </c>
      <c r="B1" s="199"/>
      <c r="C1" s="199"/>
      <c r="D1" s="199"/>
      <c r="E1" s="199"/>
      <c r="F1" s="199"/>
      <c r="G1" s="199"/>
      <c r="H1" s="199"/>
    </row>
    <row r="2" spans="1:8" ht="50.2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6" customHeight="1" x14ac:dyDescent="0.15">
      <c r="A3" s="201" t="s">
        <v>291</v>
      </c>
      <c r="B3" s="201"/>
      <c r="C3" s="201"/>
      <c r="D3" s="44"/>
      <c r="E3" s="44"/>
      <c r="F3" s="44"/>
      <c r="G3" s="44"/>
      <c r="H3" s="44"/>
    </row>
    <row r="4" spans="1:8" ht="87.75" customHeight="1" x14ac:dyDescent="0.15">
      <c r="A4" s="23">
        <v>1</v>
      </c>
      <c r="B4" s="59" t="s">
        <v>24</v>
      </c>
      <c r="C4" s="44" t="s">
        <v>117</v>
      </c>
      <c r="D4" s="37" t="s">
        <v>59</v>
      </c>
      <c r="E4" s="41">
        <f>8.35*2*536</f>
        <v>8951.1999999999989</v>
      </c>
      <c r="F4" s="38"/>
      <c r="G4" s="38"/>
      <c r="H4" s="39"/>
    </row>
    <row r="5" spans="1:8" ht="88.5" customHeight="1" x14ac:dyDescent="0.15">
      <c r="A5" s="23">
        <v>2</v>
      </c>
      <c r="B5" s="23" t="s">
        <v>27</v>
      </c>
      <c r="C5" s="44" t="s">
        <v>138</v>
      </c>
      <c r="D5" s="37" t="s">
        <v>59</v>
      </c>
      <c r="E5" s="41">
        <v>2449.4</v>
      </c>
      <c r="F5" s="38"/>
      <c r="G5" s="38"/>
      <c r="H5" s="39"/>
    </row>
    <row r="6" spans="1:8" ht="102.75" customHeight="1" x14ac:dyDescent="0.15">
      <c r="A6" s="23">
        <v>3</v>
      </c>
      <c r="B6" s="23" t="s">
        <v>29</v>
      </c>
      <c r="C6" s="44" t="s">
        <v>139</v>
      </c>
      <c r="D6" s="23" t="s">
        <v>31</v>
      </c>
      <c r="E6" s="41">
        <f>8.5*4*2+2*0.5*8</f>
        <v>76</v>
      </c>
      <c r="F6" s="38"/>
      <c r="G6" s="38"/>
      <c r="H6" s="39"/>
    </row>
    <row r="7" spans="1:8" ht="42" customHeight="1" x14ac:dyDescent="0.15">
      <c r="A7" s="23">
        <v>4</v>
      </c>
      <c r="B7" s="191" t="s">
        <v>292</v>
      </c>
      <c r="C7" s="204"/>
      <c r="D7" s="23" t="s">
        <v>197</v>
      </c>
      <c r="E7" s="41"/>
      <c r="F7" s="38"/>
      <c r="G7" s="38"/>
      <c r="H7" s="61"/>
    </row>
    <row r="8" spans="1:8" ht="32.25" customHeight="1" x14ac:dyDescent="0.15">
      <c r="A8" s="201" t="s">
        <v>293</v>
      </c>
      <c r="B8" s="201"/>
      <c r="C8" s="201"/>
      <c r="D8" s="44"/>
      <c r="E8" s="44"/>
      <c r="F8" s="80"/>
      <c r="G8" s="80"/>
      <c r="H8" s="80"/>
    </row>
    <row r="9" spans="1:8" ht="54.75" customHeight="1" x14ac:dyDescent="0.15">
      <c r="A9" s="23">
        <v>1</v>
      </c>
      <c r="B9" s="23" t="s">
        <v>50</v>
      </c>
      <c r="C9" s="44" t="s">
        <v>127</v>
      </c>
      <c r="D9" s="23" t="s">
        <v>31</v>
      </c>
      <c r="E9" s="41">
        <f>536*2</f>
        <v>1072</v>
      </c>
      <c r="F9" s="38"/>
      <c r="G9" s="38"/>
      <c r="H9" s="39"/>
    </row>
    <row r="10" spans="1:8" ht="78" customHeight="1" x14ac:dyDescent="0.15">
      <c r="A10" s="23">
        <v>2</v>
      </c>
      <c r="B10" s="59" t="s">
        <v>86</v>
      </c>
      <c r="C10" s="43" t="s">
        <v>140</v>
      </c>
      <c r="D10" s="37" t="s">
        <v>59</v>
      </c>
      <c r="E10" s="45">
        <v>1472</v>
      </c>
      <c r="F10" s="38"/>
      <c r="G10" s="38"/>
      <c r="H10" s="39"/>
    </row>
    <row r="11" spans="1:8" ht="81" customHeight="1" x14ac:dyDescent="0.15">
      <c r="A11" s="23">
        <v>3</v>
      </c>
      <c r="B11" s="54" t="s">
        <v>100</v>
      </c>
      <c r="C11" s="44" t="s">
        <v>141</v>
      </c>
      <c r="D11" s="37" t="s">
        <v>59</v>
      </c>
      <c r="E11" s="41">
        <v>6213.33</v>
      </c>
      <c r="F11" s="38"/>
      <c r="G11" s="38"/>
      <c r="H11" s="39"/>
    </row>
    <row r="12" spans="1:8" ht="62.25" customHeight="1" x14ac:dyDescent="0.15">
      <c r="A12" s="23">
        <v>4</v>
      </c>
      <c r="B12" s="23" t="s">
        <v>93</v>
      </c>
      <c r="C12" s="44" t="s">
        <v>136</v>
      </c>
      <c r="D12" s="23" t="s">
        <v>31</v>
      </c>
      <c r="E12" s="41">
        <f>(183+260)*2+21*2</f>
        <v>928</v>
      </c>
      <c r="F12" s="38"/>
      <c r="G12" s="38"/>
      <c r="H12" s="39"/>
    </row>
    <row r="13" spans="1:8" ht="32.25" customHeight="1" x14ac:dyDescent="0.25">
      <c r="A13" s="23">
        <v>5</v>
      </c>
      <c r="B13" s="189" t="s">
        <v>294</v>
      </c>
      <c r="C13" s="189"/>
      <c r="D13" s="23" t="s">
        <v>197</v>
      </c>
      <c r="E13" s="45"/>
      <c r="F13" s="51"/>
      <c r="G13" s="38"/>
      <c r="H13" s="62"/>
    </row>
    <row r="14" spans="1:8" ht="35.1" customHeight="1" x14ac:dyDescent="0.25">
      <c r="A14" s="203" t="s">
        <v>295</v>
      </c>
      <c r="B14" s="203"/>
      <c r="C14" s="203"/>
      <c r="D14" s="47"/>
      <c r="E14" s="48"/>
      <c r="F14" s="69"/>
      <c r="G14" s="69"/>
      <c r="H14" s="62"/>
    </row>
    <row r="15" spans="1:8" ht="35.1" customHeight="1" x14ac:dyDescent="0.25">
      <c r="A15" s="201" t="s">
        <v>198</v>
      </c>
      <c r="B15" s="201"/>
      <c r="C15" s="201"/>
      <c r="D15" s="44"/>
      <c r="E15" s="49"/>
      <c r="F15" s="69"/>
      <c r="G15" s="69"/>
      <c r="H15" s="62"/>
    </row>
    <row r="16" spans="1:8" ht="35.1" customHeight="1" x14ac:dyDescent="0.15">
      <c r="A16" s="23">
        <v>1</v>
      </c>
      <c r="B16" s="23" t="s">
        <v>52</v>
      </c>
      <c r="C16" s="44" t="s">
        <v>218</v>
      </c>
      <c r="D16" s="23" t="s">
        <v>53</v>
      </c>
      <c r="E16" s="41">
        <f>1072*365/1000</f>
        <v>391.28</v>
      </c>
      <c r="F16" s="38"/>
      <c r="G16" s="38"/>
      <c r="H16" s="39"/>
    </row>
    <row r="17" spans="1:8" ht="35.1" customHeight="1" x14ac:dyDescent="0.15">
      <c r="A17" s="23">
        <v>2</v>
      </c>
      <c r="B17" s="23" t="str">
        <f>南泉立交市政设施!B21</f>
        <v>隧道保护区巡查</v>
      </c>
      <c r="C17" s="44" t="s">
        <v>217</v>
      </c>
      <c r="D17" s="23" t="str">
        <f>南泉立交市政设施!D21</f>
        <v>1000m</v>
      </c>
      <c r="E17" s="41">
        <f>1072*365/1000</f>
        <v>391.28</v>
      </c>
      <c r="F17" s="38"/>
      <c r="G17" s="38"/>
      <c r="H17" s="39"/>
    </row>
    <row r="18" spans="1:8" ht="35.1" customHeight="1" x14ac:dyDescent="0.25">
      <c r="A18" s="23">
        <v>3</v>
      </c>
      <c r="B18" s="189" t="s">
        <v>199</v>
      </c>
      <c r="C18" s="189"/>
      <c r="D18" s="23" t="s">
        <v>197</v>
      </c>
      <c r="E18" s="45"/>
      <c r="F18" s="51"/>
      <c r="G18" s="51"/>
      <c r="H18" s="126"/>
    </row>
    <row r="19" spans="1:8" ht="35.1" customHeight="1" x14ac:dyDescent="0.25">
      <c r="A19" s="201" t="s">
        <v>200</v>
      </c>
      <c r="B19" s="201"/>
      <c r="C19" s="201"/>
      <c r="D19" s="44"/>
      <c r="E19" s="49"/>
      <c r="F19" s="69"/>
      <c r="G19" s="69"/>
      <c r="H19" s="126"/>
    </row>
    <row r="20" spans="1:8" ht="35.1" customHeight="1" x14ac:dyDescent="0.15">
      <c r="A20" s="23">
        <v>1</v>
      </c>
      <c r="B20" s="23" t="s">
        <v>55</v>
      </c>
      <c r="C20" s="44" t="s">
        <v>56</v>
      </c>
      <c r="D20" s="23" t="s">
        <v>53</v>
      </c>
      <c r="E20" s="41">
        <f>1072*12/1000</f>
        <v>12.864000000000001</v>
      </c>
      <c r="F20" s="38"/>
      <c r="G20" s="38"/>
      <c r="H20" s="39"/>
    </row>
    <row r="21" spans="1:8" ht="35.1" customHeight="1" x14ac:dyDescent="0.15">
      <c r="A21" s="23">
        <v>2</v>
      </c>
      <c r="B21" s="23" t="s">
        <v>57</v>
      </c>
      <c r="C21" s="44" t="s">
        <v>56</v>
      </c>
      <c r="D21" s="23" t="s">
        <v>53</v>
      </c>
      <c r="E21" s="41">
        <f>1072*12/1000</f>
        <v>12.864000000000001</v>
      </c>
      <c r="F21" s="38"/>
      <c r="G21" s="38"/>
      <c r="H21" s="39"/>
    </row>
    <row r="22" spans="1:8" ht="35.1" customHeight="1" x14ac:dyDescent="0.25">
      <c r="A22" s="23">
        <v>3</v>
      </c>
      <c r="B22" s="189" t="s">
        <v>201</v>
      </c>
      <c r="C22" s="189"/>
      <c r="D22" s="23" t="s">
        <v>197</v>
      </c>
      <c r="E22" s="45"/>
      <c r="F22" s="51"/>
      <c r="G22" s="51"/>
      <c r="H22" s="62"/>
    </row>
    <row r="23" spans="1:8" ht="35.1" customHeight="1" x14ac:dyDescent="0.25">
      <c r="A23" s="23">
        <v>4</v>
      </c>
      <c r="B23" s="189" t="s">
        <v>296</v>
      </c>
      <c r="C23" s="189"/>
      <c r="D23" s="23" t="s">
        <v>197</v>
      </c>
      <c r="E23" s="45"/>
      <c r="F23" s="51"/>
      <c r="G23" s="51"/>
      <c r="H23" s="62"/>
    </row>
    <row r="24" spans="1:8" ht="35.1" customHeight="1" x14ac:dyDescent="0.25">
      <c r="A24" s="50"/>
      <c r="B24" s="189" t="s">
        <v>203</v>
      </c>
      <c r="C24" s="189"/>
      <c r="D24" s="23" t="s">
        <v>197</v>
      </c>
      <c r="E24" s="52"/>
      <c r="F24" s="38"/>
      <c r="G24" s="38"/>
      <c r="H24" s="62"/>
    </row>
    <row r="25" spans="1:8" ht="35.1" customHeight="1" x14ac:dyDescent="0.25">
      <c r="A25" s="50"/>
      <c r="B25" s="189" t="s">
        <v>202</v>
      </c>
      <c r="C25" s="189"/>
      <c r="D25" s="23" t="s">
        <v>197</v>
      </c>
      <c r="E25" s="52"/>
      <c r="F25" s="38"/>
      <c r="G25" s="38"/>
      <c r="H25" s="62"/>
    </row>
  </sheetData>
  <sheetProtection formatCells="0" formatColumns="0" formatRows="0" insertColumns="0" insertRows="0" insertHyperlinks="0" deleteColumns="0" deleteRows="0" sort="0" autoFilter="0" pivotTables="0"/>
  <mergeCells count="13">
    <mergeCell ref="B25:C25"/>
    <mergeCell ref="A3:C3"/>
    <mergeCell ref="A8:C8"/>
    <mergeCell ref="A14:C14"/>
    <mergeCell ref="A15:C15"/>
    <mergeCell ref="A19:C19"/>
    <mergeCell ref="B18:C18"/>
    <mergeCell ref="B22:C22"/>
    <mergeCell ref="A1:H1"/>
    <mergeCell ref="B13:C13"/>
    <mergeCell ref="B23:C23"/>
    <mergeCell ref="B24:C24"/>
    <mergeCell ref="B7:C7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>
    <pageSetUpPr fitToPage="1"/>
  </sheetPr>
  <dimension ref="A1:H84"/>
  <sheetViews>
    <sheetView zoomScaleNormal="100" zoomScaleSheetLayoutView="100" workbookViewId="0">
      <selection activeCell="B83" sqref="B83:C83"/>
    </sheetView>
  </sheetViews>
  <sheetFormatPr defaultColWidth="8.875" defaultRowHeight="18.75" x14ac:dyDescent="0.25"/>
  <cols>
    <col min="1" max="1" width="4.75" style="1" customWidth="1"/>
    <col min="2" max="2" width="12.625" style="2" customWidth="1"/>
    <col min="3" max="3" width="30.5" style="1" customWidth="1"/>
    <col min="4" max="4" width="6.125" style="1" customWidth="1"/>
    <col min="5" max="5" width="10.375" style="3" customWidth="1"/>
    <col min="6" max="6" width="7" style="4" customWidth="1"/>
    <col min="7" max="7" width="7.875" style="4" customWidth="1"/>
    <col min="8" max="8" width="8.375" style="5" customWidth="1"/>
    <col min="9" max="9" width="8.875" style="1"/>
    <col min="10" max="10" width="9" style="1"/>
    <col min="11" max="12" width="11.75" style="1"/>
    <col min="13" max="16384" width="8.875" style="1"/>
  </cols>
  <sheetData>
    <row r="1" spans="1:8" ht="44.1" customHeight="1" x14ac:dyDescent="0.15">
      <c r="A1" s="224" t="s">
        <v>183</v>
      </c>
      <c r="B1" s="225"/>
      <c r="C1" s="225"/>
      <c r="D1" s="225"/>
      <c r="E1" s="225"/>
      <c r="F1" s="225"/>
      <c r="G1" s="225"/>
      <c r="H1" s="225"/>
    </row>
    <row r="2" spans="1:8" ht="41.25" customHeight="1" x14ac:dyDescent="0.15">
      <c r="A2" s="166" t="s">
        <v>17</v>
      </c>
      <c r="B2" s="166" t="s">
        <v>19</v>
      </c>
      <c r="C2" s="166" t="s">
        <v>20</v>
      </c>
      <c r="D2" s="6" t="s">
        <v>193</v>
      </c>
      <c r="E2" s="7" t="s">
        <v>194</v>
      </c>
      <c r="F2" s="167" t="s">
        <v>21</v>
      </c>
      <c r="G2" s="167" t="s">
        <v>22</v>
      </c>
      <c r="H2" s="166" t="s">
        <v>23</v>
      </c>
    </row>
    <row r="3" spans="1:8" ht="36" customHeight="1" x14ac:dyDescent="0.25">
      <c r="A3" s="227" t="s">
        <v>208</v>
      </c>
      <c r="B3" s="227"/>
      <c r="C3" s="227"/>
      <c r="D3" s="32"/>
      <c r="E3" s="33"/>
      <c r="F3" s="63"/>
      <c r="G3" s="63"/>
      <c r="H3" s="64"/>
    </row>
    <row r="4" spans="1:8" ht="34.5" customHeight="1" x14ac:dyDescent="0.25">
      <c r="A4" s="227" t="s">
        <v>297</v>
      </c>
      <c r="B4" s="227"/>
      <c r="C4" s="227"/>
      <c r="D4" s="32"/>
      <c r="E4" s="33"/>
      <c r="F4" s="31"/>
      <c r="G4" s="31"/>
      <c r="H4" s="28"/>
    </row>
    <row r="5" spans="1:8" ht="71.25" customHeight="1" x14ac:dyDescent="0.15">
      <c r="A5" s="22">
        <v>1</v>
      </c>
      <c r="B5" s="22" t="s">
        <v>105</v>
      </c>
      <c r="C5" s="32" t="s">
        <v>106</v>
      </c>
      <c r="D5" s="22" t="s">
        <v>59</v>
      </c>
      <c r="E5" s="26">
        <f>94.6*5.2</f>
        <v>491.91999999999996</v>
      </c>
      <c r="F5" s="65"/>
      <c r="G5" s="65"/>
      <c r="H5" s="34"/>
    </row>
    <row r="6" spans="1:8" ht="85.5" customHeight="1" x14ac:dyDescent="0.15">
      <c r="A6" s="22">
        <v>2</v>
      </c>
      <c r="B6" s="22" t="s">
        <v>107</v>
      </c>
      <c r="C6" s="32" t="s">
        <v>108</v>
      </c>
      <c r="D6" s="22" t="s">
        <v>59</v>
      </c>
      <c r="E6" s="26">
        <f>63.6*(5.2+2+2)</f>
        <v>585.12</v>
      </c>
      <c r="F6" s="65"/>
      <c r="G6" s="65"/>
      <c r="H6" s="34"/>
    </row>
    <row r="7" spans="1:8" ht="84" customHeight="1" x14ac:dyDescent="0.15">
      <c r="A7" s="22">
        <v>3</v>
      </c>
      <c r="B7" s="22" t="s">
        <v>109</v>
      </c>
      <c r="C7" s="32" t="s">
        <v>110</v>
      </c>
      <c r="D7" s="22" t="s">
        <v>59</v>
      </c>
      <c r="E7" s="26">
        <f>(4*15.5/2+15.5*1.45*2+5.2*(1.8+0.6+0.85))*2</f>
        <v>185.7</v>
      </c>
      <c r="F7" s="65"/>
      <c r="G7" s="65"/>
      <c r="H7" s="34"/>
    </row>
    <row r="8" spans="1:8" ht="84.75" customHeight="1" x14ac:dyDescent="0.15">
      <c r="A8" s="22">
        <v>4</v>
      </c>
      <c r="B8" s="168" t="s">
        <v>111</v>
      </c>
      <c r="C8" s="32" t="s">
        <v>112</v>
      </c>
      <c r="D8" s="22" t="s">
        <v>36</v>
      </c>
      <c r="E8" s="26">
        <v>2</v>
      </c>
      <c r="F8" s="65"/>
      <c r="G8" s="65"/>
      <c r="H8" s="34"/>
    </row>
    <row r="9" spans="1:8" ht="69.75" customHeight="1" x14ac:dyDescent="0.15">
      <c r="A9" s="22">
        <v>5</v>
      </c>
      <c r="B9" s="22" t="s">
        <v>48</v>
      </c>
      <c r="C9" s="32" t="s">
        <v>113</v>
      </c>
      <c r="D9" s="22" t="s">
        <v>31</v>
      </c>
      <c r="E9" s="26">
        <v>94.6</v>
      </c>
      <c r="F9" s="65"/>
      <c r="G9" s="65"/>
      <c r="H9" s="34"/>
    </row>
    <row r="10" spans="1:8" ht="65.25" customHeight="1" x14ac:dyDescent="0.15">
      <c r="A10" s="22">
        <v>6</v>
      </c>
      <c r="B10" s="22" t="s">
        <v>50</v>
      </c>
      <c r="C10" s="66" t="s">
        <v>98</v>
      </c>
      <c r="D10" s="22" t="s">
        <v>31</v>
      </c>
      <c r="E10" s="26">
        <v>94.6</v>
      </c>
      <c r="F10" s="65"/>
      <c r="G10" s="65"/>
      <c r="H10" s="34"/>
    </row>
    <row r="11" spans="1:8" ht="34.5" customHeight="1" x14ac:dyDescent="0.25">
      <c r="A11" s="22">
        <v>7</v>
      </c>
      <c r="B11" s="226" t="s">
        <v>298</v>
      </c>
      <c r="C11" s="226"/>
      <c r="D11" s="22" t="s">
        <v>197</v>
      </c>
      <c r="E11" s="26"/>
      <c r="F11" s="34"/>
      <c r="G11" s="34"/>
      <c r="H11" s="28"/>
    </row>
    <row r="12" spans="1:8" ht="37.5" customHeight="1" x14ac:dyDescent="0.25">
      <c r="A12" s="228" t="s">
        <v>299</v>
      </c>
      <c r="B12" s="228"/>
      <c r="C12" s="228"/>
      <c r="D12" s="169"/>
      <c r="E12" s="170"/>
      <c r="F12" s="31"/>
      <c r="G12" s="31"/>
      <c r="H12" s="28"/>
    </row>
    <row r="13" spans="1:8" ht="31.5" customHeight="1" x14ac:dyDescent="0.25">
      <c r="A13" s="227" t="s">
        <v>206</v>
      </c>
      <c r="B13" s="227"/>
      <c r="C13" s="227"/>
      <c r="D13" s="32"/>
      <c r="E13" s="33"/>
      <c r="F13" s="31"/>
      <c r="G13" s="31"/>
      <c r="H13" s="28"/>
    </row>
    <row r="14" spans="1:8" ht="42" customHeight="1" x14ac:dyDescent="0.15">
      <c r="A14" s="22">
        <v>1</v>
      </c>
      <c r="B14" s="22" t="s">
        <v>52</v>
      </c>
      <c r="C14" s="22" t="str">
        <f>通江立交市政设施!C11</f>
        <v>配备巡检车辆按照要求对相应设施设备进行日常巡查并记录汇总</v>
      </c>
      <c r="D14" s="22" t="s">
        <v>53</v>
      </c>
      <c r="E14" s="26">
        <f>94.6*365/1000</f>
        <v>34.529000000000003</v>
      </c>
      <c r="F14" s="34"/>
      <c r="G14" s="34"/>
      <c r="H14" s="34"/>
    </row>
    <row r="15" spans="1:8" ht="29.25" customHeight="1" x14ac:dyDescent="0.25">
      <c r="A15" s="22">
        <v>2</v>
      </c>
      <c r="B15" s="226" t="s">
        <v>199</v>
      </c>
      <c r="C15" s="226"/>
      <c r="D15" s="22" t="s">
        <v>197</v>
      </c>
      <c r="E15" s="26"/>
      <c r="F15" s="34"/>
      <c r="G15" s="34"/>
      <c r="H15" s="28"/>
    </row>
    <row r="16" spans="1:8" ht="33" customHeight="1" x14ac:dyDescent="0.25">
      <c r="A16" s="227" t="s">
        <v>207</v>
      </c>
      <c r="B16" s="227"/>
      <c r="C16" s="227"/>
      <c r="D16" s="32"/>
      <c r="E16" s="33"/>
      <c r="F16" s="31"/>
      <c r="G16" s="31"/>
      <c r="H16" s="28"/>
    </row>
    <row r="17" spans="1:8" ht="30" customHeight="1" x14ac:dyDescent="0.15">
      <c r="A17" s="22">
        <v>1</v>
      </c>
      <c r="B17" s="22" t="s">
        <v>55</v>
      </c>
      <c r="C17" s="32" t="s">
        <v>114</v>
      </c>
      <c r="D17" s="22" t="s">
        <v>53</v>
      </c>
      <c r="E17" s="26">
        <f>94.6*12/1000</f>
        <v>1.1351999999999998</v>
      </c>
      <c r="F17" s="34"/>
      <c r="G17" s="34"/>
      <c r="H17" s="34"/>
    </row>
    <row r="18" spans="1:8" ht="38.25" customHeight="1" x14ac:dyDescent="0.15">
      <c r="A18" s="22">
        <v>2</v>
      </c>
      <c r="B18" s="22" t="s">
        <v>57</v>
      </c>
      <c r="C18" s="32" t="s">
        <v>114</v>
      </c>
      <c r="D18" s="22" t="s">
        <v>53</v>
      </c>
      <c r="E18" s="26">
        <f>94.6*12/1000</f>
        <v>1.1351999999999998</v>
      </c>
      <c r="F18" s="34"/>
      <c r="G18" s="34"/>
      <c r="H18" s="34"/>
    </row>
    <row r="19" spans="1:8" ht="30.75" customHeight="1" x14ac:dyDescent="0.15">
      <c r="A19" s="22">
        <v>3</v>
      </c>
      <c r="B19" s="226" t="s">
        <v>201</v>
      </c>
      <c r="C19" s="226"/>
      <c r="D19" s="22" t="s">
        <v>197</v>
      </c>
      <c r="E19" s="26"/>
      <c r="F19" s="34"/>
      <c r="G19" s="34"/>
      <c r="H19" s="34"/>
    </row>
    <row r="20" spans="1:8" ht="30.75" customHeight="1" x14ac:dyDescent="0.15">
      <c r="A20" s="22">
        <v>4</v>
      </c>
      <c r="B20" s="226" t="s">
        <v>300</v>
      </c>
      <c r="C20" s="226"/>
      <c r="D20" s="22" t="s">
        <v>197</v>
      </c>
      <c r="E20" s="26"/>
      <c r="F20" s="34"/>
      <c r="G20" s="34"/>
      <c r="H20" s="34"/>
    </row>
    <row r="21" spans="1:8" ht="33" customHeight="1" x14ac:dyDescent="0.15">
      <c r="A21" s="35"/>
      <c r="B21" s="226" t="s">
        <v>209</v>
      </c>
      <c r="C21" s="226"/>
      <c r="D21" s="22" t="s">
        <v>197</v>
      </c>
      <c r="E21" s="36"/>
      <c r="F21" s="65"/>
      <c r="G21" s="65"/>
      <c r="H21" s="65"/>
    </row>
    <row r="22" spans="1:8" ht="32.25" customHeight="1" x14ac:dyDescent="0.15">
      <c r="A22" s="35"/>
      <c r="B22" s="226" t="s">
        <v>210</v>
      </c>
      <c r="C22" s="226"/>
      <c r="D22" s="22" t="s">
        <v>197</v>
      </c>
      <c r="E22" s="36"/>
      <c r="F22" s="65"/>
      <c r="G22" s="65"/>
      <c r="H22" s="65"/>
    </row>
    <row r="23" spans="1:8" ht="37.5" customHeight="1" x14ac:dyDescent="0.25">
      <c r="A23" s="227" t="s">
        <v>301</v>
      </c>
      <c r="B23" s="227"/>
      <c r="C23" s="227"/>
      <c r="D23" s="32"/>
      <c r="E23" s="33"/>
      <c r="F23" s="31"/>
      <c r="G23" s="31"/>
      <c r="H23" s="28"/>
    </row>
    <row r="24" spans="1:8" ht="31.5" customHeight="1" x14ac:dyDescent="0.25">
      <c r="A24" s="227" t="s">
        <v>302</v>
      </c>
      <c r="B24" s="227"/>
      <c r="C24" s="227"/>
      <c r="D24" s="32"/>
      <c r="E24" s="33"/>
      <c r="F24" s="31"/>
      <c r="G24" s="31"/>
      <c r="H24" s="28"/>
    </row>
    <row r="25" spans="1:8" ht="92.25" customHeight="1" x14ac:dyDescent="0.15">
      <c r="A25" s="22">
        <v>1</v>
      </c>
      <c r="B25" s="22" t="s">
        <v>105</v>
      </c>
      <c r="C25" s="32" t="s">
        <v>106</v>
      </c>
      <c r="D25" s="22" t="s">
        <v>59</v>
      </c>
      <c r="E25" s="26">
        <f>4*(67.5+0.55*2)+2.4*23.7*2</f>
        <v>388.15999999999997</v>
      </c>
      <c r="F25" s="65"/>
      <c r="G25" s="34"/>
      <c r="H25" s="34"/>
    </row>
    <row r="26" spans="1:8" ht="93.75" customHeight="1" x14ac:dyDescent="0.15">
      <c r="A26" s="22">
        <v>2</v>
      </c>
      <c r="B26" s="22" t="s">
        <v>107</v>
      </c>
      <c r="C26" s="32" t="s">
        <v>115</v>
      </c>
      <c r="D26" s="22" t="s">
        <v>59</v>
      </c>
      <c r="E26" s="26">
        <f>(4+2.2+2.2)*(67.5+0.55*2)+(2.4+2.2+2.2)*13.8*2</f>
        <v>763.92000000000007</v>
      </c>
      <c r="F26" s="65"/>
      <c r="G26" s="34"/>
      <c r="H26" s="34"/>
    </row>
    <row r="27" spans="1:8" ht="84" customHeight="1" x14ac:dyDescent="0.15">
      <c r="A27" s="22">
        <v>3</v>
      </c>
      <c r="B27" s="22" t="s">
        <v>109</v>
      </c>
      <c r="C27" s="32" t="s">
        <v>110</v>
      </c>
      <c r="D27" s="22" t="s">
        <v>59</v>
      </c>
      <c r="E27" s="26">
        <v>247.78</v>
      </c>
      <c r="F27" s="65"/>
      <c r="G27" s="34"/>
      <c r="H27" s="34"/>
    </row>
    <row r="28" spans="1:8" ht="71.25" customHeight="1" x14ac:dyDescent="0.15">
      <c r="A28" s="22">
        <v>4</v>
      </c>
      <c r="B28" s="168" t="s">
        <v>111</v>
      </c>
      <c r="C28" s="32" t="s">
        <v>112</v>
      </c>
      <c r="D28" s="22" t="s">
        <v>36</v>
      </c>
      <c r="E28" s="26">
        <v>4</v>
      </c>
      <c r="F28" s="65"/>
      <c r="G28" s="34"/>
      <c r="H28" s="34"/>
    </row>
    <row r="29" spans="1:8" ht="66" customHeight="1" x14ac:dyDescent="0.15">
      <c r="A29" s="22">
        <v>5</v>
      </c>
      <c r="B29" s="22" t="s">
        <v>48</v>
      </c>
      <c r="C29" s="32" t="s">
        <v>49</v>
      </c>
      <c r="D29" s="22" t="s">
        <v>31</v>
      </c>
      <c r="E29" s="26">
        <v>114.9</v>
      </c>
      <c r="F29" s="65"/>
      <c r="G29" s="34"/>
      <c r="H29" s="34"/>
    </row>
    <row r="30" spans="1:8" ht="42" customHeight="1" x14ac:dyDescent="0.15">
      <c r="A30" s="22">
        <v>6</v>
      </c>
      <c r="B30" s="22" t="s">
        <v>50</v>
      </c>
      <c r="C30" s="32" t="s">
        <v>116</v>
      </c>
      <c r="D30" s="22" t="s">
        <v>31</v>
      </c>
      <c r="E30" s="26">
        <v>114.9</v>
      </c>
      <c r="F30" s="65"/>
      <c r="G30" s="34"/>
      <c r="H30" s="34"/>
    </row>
    <row r="31" spans="1:8" ht="35.1" customHeight="1" x14ac:dyDescent="0.25">
      <c r="A31" s="22">
        <v>7</v>
      </c>
      <c r="B31" s="226" t="s">
        <v>303</v>
      </c>
      <c r="C31" s="226"/>
      <c r="D31" s="22" t="s">
        <v>197</v>
      </c>
      <c r="E31" s="26"/>
      <c r="F31" s="34"/>
      <c r="G31" s="34"/>
      <c r="H31" s="28"/>
    </row>
    <row r="32" spans="1:8" ht="35.1" customHeight="1" x14ac:dyDescent="0.25">
      <c r="A32" s="228" t="s">
        <v>304</v>
      </c>
      <c r="B32" s="228"/>
      <c r="C32" s="228"/>
      <c r="D32" s="169"/>
      <c r="E32" s="170"/>
      <c r="F32" s="31"/>
      <c r="G32" s="31"/>
      <c r="H32" s="28"/>
    </row>
    <row r="33" spans="1:8" ht="35.1" customHeight="1" x14ac:dyDescent="0.25">
      <c r="A33" s="227" t="s">
        <v>206</v>
      </c>
      <c r="B33" s="227"/>
      <c r="C33" s="227"/>
      <c r="D33" s="32"/>
      <c r="E33" s="33"/>
      <c r="F33" s="31"/>
      <c r="G33" s="31"/>
      <c r="H33" s="28"/>
    </row>
    <row r="34" spans="1:8" ht="35.1" customHeight="1" x14ac:dyDescent="0.15">
      <c r="A34" s="22">
        <v>1</v>
      </c>
      <c r="B34" s="22" t="s">
        <v>52</v>
      </c>
      <c r="C34" s="32" t="str">
        <f>C14</f>
        <v>配备巡检车辆按照要求对相应设施设备进行日常巡查并记录汇总</v>
      </c>
      <c r="D34" s="22" t="s">
        <v>53</v>
      </c>
      <c r="E34" s="26">
        <f>114.9*365/1000</f>
        <v>41.938499999999998</v>
      </c>
      <c r="F34" s="65"/>
      <c r="G34" s="34"/>
      <c r="H34" s="34"/>
    </row>
    <row r="35" spans="1:8" ht="35.1" customHeight="1" x14ac:dyDescent="0.25">
      <c r="A35" s="22">
        <v>2</v>
      </c>
      <c r="B35" s="226" t="s">
        <v>199</v>
      </c>
      <c r="C35" s="226"/>
      <c r="D35" s="22" t="s">
        <v>197</v>
      </c>
      <c r="E35" s="26"/>
      <c r="F35" s="31"/>
      <c r="G35" s="31"/>
      <c r="H35" s="28"/>
    </row>
    <row r="36" spans="1:8" ht="35.1" customHeight="1" x14ac:dyDescent="0.25">
      <c r="A36" s="227" t="s">
        <v>207</v>
      </c>
      <c r="B36" s="227"/>
      <c r="C36" s="227"/>
      <c r="D36" s="32"/>
      <c r="E36" s="33"/>
      <c r="F36" s="31"/>
      <c r="G36" s="31"/>
      <c r="H36" s="28"/>
    </row>
    <row r="37" spans="1:8" ht="35.1" customHeight="1" x14ac:dyDescent="0.15">
      <c r="A37" s="22">
        <v>1</v>
      </c>
      <c r="B37" s="22" t="s">
        <v>55</v>
      </c>
      <c r="C37" s="32" t="s">
        <v>114</v>
      </c>
      <c r="D37" s="22" t="s">
        <v>53</v>
      </c>
      <c r="E37" s="26">
        <f>114.9*12/1000</f>
        <v>1.3788000000000002</v>
      </c>
      <c r="F37" s="65"/>
      <c r="G37" s="34"/>
      <c r="H37" s="65"/>
    </row>
    <row r="38" spans="1:8" ht="35.1" customHeight="1" x14ac:dyDescent="0.15">
      <c r="A38" s="22">
        <v>2</v>
      </c>
      <c r="B38" s="22" t="s">
        <v>57</v>
      </c>
      <c r="C38" s="32" t="s">
        <v>114</v>
      </c>
      <c r="D38" s="22" t="s">
        <v>53</v>
      </c>
      <c r="E38" s="26">
        <f>114.9*12/1000</f>
        <v>1.3788000000000002</v>
      </c>
      <c r="F38" s="65"/>
      <c r="G38" s="34"/>
      <c r="H38" s="65"/>
    </row>
    <row r="39" spans="1:8" ht="35.1" customHeight="1" x14ac:dyDescent="0.25">
      <c r="A39" s="22">
        <v>3</v>
      </c>
      <c r="B39" s="226" t="s">
        <v>201</v>
      </c>
      <c r="C39" s="226"/>
      <c r="D39" s="22" t="s">
        <v>197</v>
      </c>
      <c r="E39" s="26"/>
      <c r="F39" s="34"/>
      <c r="G39" s="34"/>
      <c r="H39" s="28"/>
    </row>
    <row r="40" spans="1:8" ht="35.1" customHeight="1" x14ac:dyDescent="0.25">
      <c r="A40" s="22">
        <v>4</v>
      </c>
      <c r="B40" s="226" t="s">
        <v>305</v>
      </c>
      <c r="C40" s="226"/>
      <c r="D40" s="22" t="s">
        <v>197</v>
      </c>
      <c r="E40" s="26"/>
      <c r="F40" s="34"/>
      <c r="G40" s="34"/>
      <c r="H40" s="28"/>
    </row>
    <row r="41" spans="1:8" ht="35.1" customHeight="1" x14ac:dyDescent="0.25">
      <c r="A41" s="35"/>
      <c r="B41" s="226" t="s">
        <v>306</v>
      </c>
      <c r="C41" s="226"/>
      <c r="D41" s="22" t="s">
        <v>197</v>
      </c>
      <c r="E41" s="36"/>
      <c r="F41" s="65"/>
      <c r="G41" s="65"/>
      <c r="H41" s="28"/>
    </row>
    <row r="42" spans="1:8" ht="35.1" customHeight="1" x14ac:dyDescent="0.25">
      <c r="A42" s="35"/>
      <c r="B42" s="226" t="s">
        <v>307</v>
      </c>
      <c r="C42" s="226"/>
      <c r="D42" s="22" t="s">
        <v>197</v>
      </c>
      <c r="E42" s="36"/>
      <c r="F42" s="65"/>
      <c r="G42" s="65"/>
      <c r="H42" s="28"/>
    </row>
    <row r="43" spans="1:8" ht="35.1" customHeight="1" x14ac:dyDescent="0.25">
      <c r="A43" s="227" t="s">
        <v>308</v>
      </c>
      <c r="B43" s="227"/>
      <c r="C43" s="227"/>
      <c r="D43" s="32"/>
      <c r="E43" s="33"/>
      <c r="F43" s="31"/>
      <c r="G43" s="31"/>
      <c r="H43" s="28"/>
    </row>
    <row r="44" spans="1:8" ht="35.1" customHeight="1" x14ac:dyDescent="0.25">
      <c r="A44" s="227" t="s">
        <v>309</v>
      </c>
      <c r="B44" s="227"/>
      <c r="C44" s="227"/>
      <c r="D44" s="32"/>
      <c r="E44" s="33"/>
      <c r="F44" s="31"/>
      <c r="G44" s="31"/>
      <c r="H44" s="28"/>
    </row>
    <row r="45" spans="1:8" ht="89.25" customHeight="1" x14ac:dyDescent="0.15">
      <c r="A45" s="22">
        <v>1</v>
      </c>
      <c r="B45" s="22" t="s">
        <v>105</v>
      </c>
      <c r="C45" s="32" t="s">
        <v>106</v>
      </c>
      <c r="D45" s="22" t="s">
        <v>59</v>
      </c>
      <c r="E45" s="26">
        <f>100*4</f>
        <v>400</v>
      </c>
      <c r="F45" s="65"/>
      <c r="G45" s="34"/>
      <c r="H45" s="34"/>
    </row>
    <row r="46" spans="1:8" ht="87" customHeight="1" x14ac:dyDescent="0.15">
      <c r="A46" s="22">
        <v>2</v>
      </c>
      <c r="B46" s="22" t="s">
        <v>107</v>
      </c>
      <c r="C46" s="32" t="s">
        <v>115</v>
      </c>
      <c r="D46" s="22" t="s">
        <v>59</v>
      </c>
      <c r="E46" s="26">
        <f>(4+2.2+2.2)*79.3</f>
        <v>666.12</v>
      </c>
      <c r="F46" s="65"/>
      <c r="G46" s="34"/>
      <c r="H46" s="34"/>
    </row>
    <row r="47" spans="1:8" ht="81.75" customHeight="1" x14ac:dyDescent="0.15">
      <c r="A47" s="22">
        <v>3</v>
      </c>
      <c r="B47" s="22" t="s">
        <v>109</v>
      </c>
      <c r="C47" s="32" t="s">
        <v>110</v>
      </c>
      <c r="D47" s="22" t="s">
        <v>59</v>
      </c>
      <c r="E47" s="26">
        <v>263</v>
      </c>
      <c r="F47" s="65"/>
      <c r="G47" s="34"/>
      <c r="H47" s="34"/>
    </row>
    <row r="48" spans="1:8" ht="69.75" customHeight="1" x14ac:dyDescent="0.15">
      <c r="A48" s="22">
        <v>4</v>
      </c>
      <c r="B48" s="168" t="s">
        <v>111</v>
      </c>
      <c r="C48" s="32" t="s">
        <v>112</v>
      </c>
      <c r="D48" s="22" t="s">
        <v>36</v>
      </c>
      <c r="E48" s="26">
        <v>2</v>
      </c>
      <c r="F48" s="65"/>
      <c r="G48" s="34"/>
      <c r="H48" s="34"/>
    </row>
    <row r="49" spans="1:8" ht="56.25" customHeight="1" x14ac:dyDescent="0.15">
      <c r="A49" s="22">
        <v>5</v>
      </c>
      <c r="B49" s="22" t="s">
        <v>48</v>
      </c>
      <c r="C49" s="32" t="s">
        <v>49</v>
      </c>
      <c r="D49" s="22" t="s">
        <v>31</v>
      </c>
      <c r="E49" s="26">
        <v>100</v>
      </c>
      <c r="F49" s="65"/>
      <c r="G49" s="34"/>
      <c r="H49" s="34"/>
    </row>
    <row r="50" spans="1:8" ht="51" customHeight="1" x14ac:dyDescent="0.15">
      <c r="A50" s="22">
        <v>6</v>
      </c>
      <c r="B50" s="22" t="s">
        <v>50</v>
      </c>
      <c r="C50" s="32" t="s">
        <v>116</v>
      </c>
      <c r="D50" s="22" t="s">
        <v>31</v>
      </c>
      <c r="E50" s="26">
        <v>100</v>
      </c>
      <c r="F50" s="65"/>
      <c r="G50" s="34"/>
      <c r="H50" s="34"/>
    </row>
    <row r="51" spans="1:8" ht="35.1" customHeight="1" x14ac:dyDescent="0.25">
      <c r="A51" s="22">
        <v>7</v>
      </c>
      <c r="B51" s="226" t="s">
        <v>310</v>
      </c>
      <c r="C51" s="226"/>
      <c r="D51" s="22" t="s">
        <v>197</v>
      </c>
      <c r="E51" s="26"/>
      <c r="F51" s="34"/>
      <c r="G51" s="34"/>
      <c r="H51" s="28"/>
    </row>
    <row r="52" spans="1:8" ht="35.1" customHeight="1" x14ac:dyDescent="0.25">
      <c r="A52" s="228" t="s">
        <v>311</v>
      </c>
      <c r="B52" s="228"/>
      <c r="C52" s="228"/>
      <c r="D52" s="169"/>
      <c r="E52" s="170"/>
      <c r="F52" s="31"/>
      <c r="G52" s="31"/>
      <c r="H52" s="28"/>
    </row>
    <row r="53" spans="1:8" ht="35.1" customHeight="1" x14ac:dyDescent="0.25">
      <c r="A53" s="227" t="s">
        <v>206</v>
      </c>
      <c r="B53" s="227"/>
      <c r="C53" s="227"/>
      <c r="D53" s="32"/>
      <c r="E53" s="33"/>
      <c r="F53" s="31"/>
      <c r="G53" s="31"/>
      <c r="H53" s="28"/>
    </row>
    <row r="54" spans="1:8" ht="35.1" customHeight="1" x14ac:dyDescent="0.15">
      <c r="A54" s="22">
        <v>1</v>
      </c>
      <c r="B54" s="22" t="s">
        <v>52</v>
      </c>
      <c r="C54" s="32" t="str">
        <f>C34</f>
        <v>配备巡检车辆按照要求对相应设施设备进行日常巡查并记录汇总</v>
      </c>
      <c r="D54" s="22" t="s">
        <v>53</v>
      </c>
      <c r="E54" s="26">
        <f>100*365/1000</f>
        <v>36.5</v>
      </c>
      <c r="F54" s="65"/>
      <c r="G54" s="34"/>
      <c r="H54" s="65"/>
    </row>
    <row r="55" spans="1:8" ht="35.1" customHeight="1" x14ac:dyDescent="0.15">
      <c r="A55" s="22">
        <v>2</v>
      </c>
      <c r="B55" s="226" t="s">
        <v>199</v>
      </c>
      <c r="C55" s="226"/>
      <c r="D55" s="22" t="s">
        <v>197</v>
      </c>
      <c r="E55" s="26"/>
      <c r="F55" s="34"/>
      <c r="G55" s="34"/>
      <c r="H55" s="34"/>
    </row>
    <row r="56" spans="1:8" ht="35.1" customHeight="1" x14ac:dyDescent="0.25">
      <c r="A56" s="227" t="s">
        <v>207</v>
      </c>
      <c r="B56" s="227"/>
      <c r="C56" s="227"/>
      <c r="D56" s="32"/>
      <c r="E56" s="33"/>
      <c r="F56" s="31"/>
      <c r="G56" s="31"/>
      <c r="H56" s="67"/>
    </row>
    <row r="57" spans="1:8" ht="35.1" customHeight="1" x14ac:dyDescent="0.15">
      <c r="A57" s="22">
        <v>1</v>
      </c>
      <c r="B57" s="22" t="s">
        <v>55</v>
      </c>
      <c r="C57" s="32" t="s">
        <v>114</v>
      </c>
      <c r="D57" s="22" t="s">
        <v>53</v>
      </c>
      <c r="E57" s="26">
        <f>100*12/1000</f>
        <v>1.2</v>
      </c>
      <c r="F57" s="34"/>
      <c r="G57" s="34"/>
      <c r="H57" s="34"/>
    </row>
    <row r="58" spans="1:8" ht="35.1" customHeight="1" x14ac:dyDescent="0.15">
      <c r="A58" s="22">
        <v>2</v>
      </c>
      <c r="B58" s="22" t="s">
        <v>57</v>
      </c>
      <c r="C58" s="32" t="s">
        <v>114</v>
      </c>
      <c r="D58" s="22" t="s">
        <v>53</v>
      </c>
      <c r="E58" s="26">
        <f>100*12/1000</f>
        <v>1.2</v>
      </c>
      <c r="F58" s="34"/>
      <c r="G58" s="34"/>
      <c r="H58" s="34"/>
    </row>
    <row r="59" spans="1:8" ht="35.1" customHeight="1" x14ac:dyDescent="0.25">
      <c r="A59" s="22">
        <v>3</v>
      </c>
      <c r="B59" s="226" t="s">
        <v>201</v>
      </c>
      <c r="C59" s="226"/>
      <c r="D59" s="22" t="s">
        <v>197</v>
      </c>
      <c r="E59" s="26"/>
      <c r="F59" s="34"/>
      <c r="G59" s="34"/>
      <c r="H59" s="28"/>
    </row>
    <row r="60" spans="1:8" ht="35.1" customHeight="1" x14ac:dyDescent="0.25">
      <c r="A60" s="22">
        <v>4</v>
      </c>
      <c r="B60" s="226" t="s">
        <v>312</v>
      </c>
      <c r="C60" s="226"/>
      <c r="D60" s="22" t="s">
        <v>197</v>
      </c>
      <c r="E60" s="26"/>
      <c r="F60" s="34"/>
      <c r="G60" s="34"/>
      <c r="H60" s="28"/>
    </row>
    <row r="61" spans="1:8" ht="35.1" customHeight="1" x14ac:dyDescent="0.25">
      <c r="A61" s="35"/>
      <c r="B61" s="226" t="s">
        <v>313</v>
      </c>
      <c r="C61" s="226"/>
      <c r="D61" s="22" t="s">
        <v>197</v>
      </c>
      <c r="E61" s="36"/>
      <c r="F61" s="65"/>
      <c r="G61" s="65"/>
      <c r="H61" s="28"/>
    </row>
    <row r="62" spans="1:8" ht="35.1" customHeight="1" x14ac:dyDescent="0.25">
      <c r="A62" s="35"/>
      <c r="B62" s="226" t="s">
        <v>314</v>
      </c>
      <c r="C62" s="226"/>
      <c r="D62" s="22" t="s">
        <v>197</v>
      </c>
      <c r="E62" s="36"/>
      <c r="F62" s="65"/>
      <c r="G62" s="65"/>
      <c r="H62" s="28"/>
    </row>
    <row r="63" spans="1:8" ht="35.1" customHeight="1" x14ac:dyDescent="0.25">
      <c r="A63" s="227" t="s">
        <v>315</v>
      </c>
      <c r="B63" s="227"/>
      <c r="C63" s="227"/>
      <c r="D63" s="32"/>
      <c r="E63" s="33"/>
      <c r="F63" s="31"/>
      <c r="G63" s="31"/>
      <c r="H63" s="28"/>
    </row>
    <row r="64" spans="1:8" ht="35.1" customHeight="1" x14ac:dyDescent="0.25">
      <c r="A64" s="227" t="s">
        <v>316</v>
      </c>
      <c r="B64" s="227"/>
      <c r="C64" s="227"/>
      <c r="D64" s="32"/>
      <c r="E64" s="33"/>
      <c r="F64" s="31"/>
      <c r="G64" s="31"/>
      <c r="H64" s="28"/>
    </row>
    <row r="65" spans="1:8" ht="95.25" customHeight="1" x14ac:dyDescent="0.15">
      <c r="A65" s="22">
        <v>1</v>
      </c>
      <c r="B65" s="22" t="s">
        <v>105</v>
      </c>
      <c r="C65" s="32" t="s">
        <v>106</v>
      </c>
      <c r="D65" s="22" t="s">
        <v>59</v>
      </c>
      <c r="E65" s="26">
        <f>4*(41.02+2.4+2.4)+2.4*9.3*4</f>
        <v>272.56</v>
      </c>
      <c r="F65" s="65"/>
      <c r="G65" s="34"/>
      <c r="H65" s="34"/>
    </row>
    <row r="66" spans="1:8" ht="95.25" customHeight="1" x14ac:dyDescent="0.15">
      <c r="A66" s="22">
        <v>2</v>
      </c>
      <c r="B66" s="22" t="s">
        <v>107</v>
      </c>
      <c r="C66" s="32" t="s">
        <v>115</v>
      </c>
      <c r="D66" s="22" t="s">
        <v>59</v>
      </c>
      <c r="E66" s="26">
        <f>(4+2.2+2.2)*(41.02+2.4+2.4)+(2.4+2.2+2.2)*4.35*4</f>
        <v>503.20800000000003</v>
      </c>
      <c r="F66" s="65"/>
      <c r="G66" s="34"/>
      <c r="H66" s="34"/>
    </row>
    <row r="67" spans="1:8" ht="78.75" customHeight="1" x14ac:dyDescent="0.15">
      <c r="A67" s="22">
        <v>3</v>
      </c>
      <c r="B67" s="22" t="s">
        <v>109</v>
      </c>
      <c r="C67" s="32" t="s">
        <v>110</v>
      </c>
      <c r="D67" s="22" t="s">
        <v>59</v>
      </c>
      <c r="E67" s="26">
        <v>245.42</v>
      </c>
      <c r="F67" s="65"/>
      <c r="G67" s="34"/>
      <c r="H67" s="34"/>
    </row>
    <row r="68" spans="1:8" ht="91.5" customHeight="1" x14ac:dyDescent="0.15">
      <c r="A68" s="22">
        <v>4</v>
      </c>
      <c r="B68" s="168" t="s">
        <v>111</v>
      </c>
      <c r="C68" s="32" t="s">
        <v>112</v>
      </c>
      <c r="D68" s="22" t="s">
        <v>36</v>
      </c>
      <c r="E68" s="26">
        <v>2</v>
      </c>
      <c r="F68" s="65"/>
      <c r="G68" s="34"/>
      <c r="H68" s="34"/>
    </row>
    <row r="69" spans="1:8" ht="60.75" customHeight="1" x14ac:dyDescent="0.15">
      <c r="A69" s="22">
        <v>5</v>
      </c>
      <c r="B69" s="22" t="s">
        <v>48</v>
      </c>
      <c r="C69" s="32" t="s">
        <v>49</v>
      </c>
      <c r="D69" s="22" t="s">
        <v>31</v>
      </c>
      <c r="E69" s="26">
        <v>87.6</v>
      </c>
      <c r="F69" s="65"/>
      <c r="G69" s="34"/>
      <c r="H69" s="34"/>
    </row>
    <row r="70" spans="1:8" ht="67.5" customHeight="1" x14ac:dyDescent="0.15">
      <c r="A70" s="22">
        <v>6</v>
      </c>
      <c r="B70" s="22" t="s">
        <v>50</v>
      </c>
      <c r="C70" s="66" t="s">
        <v>98</v>
      </c>
      <c r="D70" s="22" t="s">
        <v>31</v>
      </c>
      <c r="E70" s="26">
        <v>87.6</v>
      </c>
      <c r="F70" s="65"/>
      <c r="G70" s="34"/>
      <c r="H70" s="34"/>
    </row>
    <row r="71" spans="1:8" ht="35.1" customHeight="1" x14ac:dyDescent="0.25">
      <c r="A71" s="22">
        <v>7</v>
      </c>
      <c r="B71" s="226" t="s">
        <v>317</v>
      </c>
      <c r="C71" s="226"/>
      <c r="D71" s="22" t="s">
        <v>197</v>
      </c>
      <c r="E71" s="26"/>
      <c r="F71" s="34"/>
      <c r="G71" s="34"/>
      <c r="H71" s="28"/>
    </row>
    <row r="72" spans="1:8" ht="35.1" customHeight="1" x14ac:dyDescent="0.25">
      <c r="A72" s="228" t="s">
        <v>318</v>
      </c>
      <c r="B72" s="228"/>
      <c r="C72" s="228"/>
      <c r="D72" s="169"/>
      <c r="E72" s="170"/>
      <c r="F72" s="31"/>
      <c r="G72" s="31"/>
      <c r="H72" s="28"/>
    </row>
    <row r="73" spans="1:8" ht="35.1" customHeight="1" x14ac:dyDescent="0.25">
      <c r="A73" s="227" t="s">
        <v>206</v>
      </c>
      <c r="B73" s="227"/>
      <c r="C73" s="227"/>
      <c r="D73" s="32"/>
      <c r="E73" s="33"/>
      <c r="F73" s="31"/>
      <c r="G73" s="31"/>
      <c r="H73" s="28"/>
    </row>
    <row r="74" spans="1:8" ht="35.1" customHeight="1" x14ac:dyDescent="0.15">
      <c r="A74" s="22">
        <v>1</v>
      </c>
      <c r="B74" s="22" t="s">
        <v>52</v>
      </c>
      <c r="C74" s="32" t="str">
        <f>C54</f>
        <v>配备巡检车辆按照要求对相应设施设备进行日常巡查并记录汇总</v>
      </c>
      <c r="D74" s="22" t="s">
        <v>53</v>
      </c>
      <c r="E74" s="26">
        <f>87.6*365/1000</f>
        <v>31.973999999999997</v>
      </c>
      <c r="F74" s="65"/>
      <c r="G74" s="34"/>
      <c r="H74" s="65"/>
    </row>
    <row r="75" spans="1:8" ht="35.1" customHeight="1" x14ac:dyDescent="0.25">
      <c r="A75" s="22">
        <v>2</v>
      </c>
      <c r="B75" s="226" t="s">
        <v>199</v>
      </c>
      <c r="C75" s="226"/>
      <c r="D75" s="22" t="s">
        <v>197</v>
      </c>
      <c r="E75" s="26"/>
      <c r="F75" s="34"/>
      <c r="G75" s="34"/>
      <c r="H75" s="28"/>
    </row>
    <row r="76" spans="1:8" ht="35.1" customHeight="1" x14ac:dyDescent="0.25">
      <c r="A76" s="227" t="s">
        <v>207</v>
      </c>
      <c r="B76" s="227"/>
      <c r="C76" s="227"/>
      <c r="D76" s="32"/>
      <c r="E76" s="33"/>
      <c r="F76" s="31"/>
      <c r="G76" s="31"/>
      <c r="H76" s="34"/>
    </row>
    <row r="77" spans="1:8" ht="35.1" customHeight="1" x14ac:dyDescent="0.15">
      <c r="A77" s="22">
        <v>1</v>
      </c>
      <c r="B77" s="22" t="s">
        <v>55</v>
      </c>
      <c r="C77" s="32" t="s">
        <v>56</v>
      </c>
      <c r="D77" s="22" t="s">
        <v>53</v>
      </c>
      <c r="E77" s="26">
        <f>87.6*12/1000</f>
        <v>1.0511999999999999</v>
      </c>
      <c r="F77" s="65"/>
      <c r="G77" s="34"/>
      <c r="H77" s="65"/>
    </row>
    <row r="78" spans="1:8" ht="35.1" customHeight="1" x14ac:dyDescent="0.15">
      <c r="A78" s="22">
        <v>2</v>
      </c>
      <c r="B78" s="22" t="s">
        <v>57</v>
      </c>
      <c r="C78" s="32" t="s">
        <v>56</v>
      </c>
      <c r="D78" s="22" t="s">
        <v>53</v>
      </c>
      <c r="E78" s="26">
        <f>87.6*12/1000</f>
        <v>1.0511999999999999</v>
      </c>
      <c r="F78" s="65"/>
      <c r="G78" s="34"/>
      <c r="H78" s="65"/>
    </row>
    <row r="79" spans="1:8" ht="35.1" customHeight="1" x14ac:dyDescent="0.25">
      <c r="A79" s="22">
        <v>3</v>
      </c>
      <c r="B79" s="226" t="s">
        <v>201</v>
      </c>
      <c r="C79" s="226"/>
      <c r="D79" s="22" t="s">
        <v>197</v>
      </c>
      <c r="E79" s="26"/>
      <c r="F79" s="34"/>
      <c r="G79" s="34"/>
      <c r="H79" s="28"/>
    </row>
    <row r="80" spans="1:8" ht="35.1" customHeight="1" x14ac:dyDescent="0.25">
      <c r="A80" s="22">
        <v>4</v>
      </c>
      <c r="B80" s="226" t="s">
        <v>319</v>
      </c>
      <c r="C80" s="226"/>
      <c r="D80" s="22" t="s">
        <v>197</v>
      </c>
      <c r="E80" s="26"/>
      <c r="F80" s="34"/>
      <c r="G80" s="34"/>
      <c r="H80" s="28"/>
    </row>
    <row r="81" spans="1:8" ht="35.1" customHeight="1" x14ac:dyDescent="0.25">
      <c r="A81" s="35"/>
      <c r="B81" s="226" t="s">
        <v>320</v>
      </c>
      <c r="C81" s="226"/>
      <c r="D81" s="22" t="s">
        <v>197</v>
      </c>
      <c r="E81" s="36"/>
      <c r="F81" s="65"/>
      <c r="G81" s="65"/>
      <c r="H81" s="28"/>
    </row>
    <row r="82" spans="1:8" ht="35.1" customHeight="1" x14ac:dyDescent="0.25">
      <c r="A82" s="35"/>
      <c r="B82" s="226" t="s">
        <v>321</v>
      </c>
      <c r="C82" s="226"/>
      <c r="D82" s="22" t="s">
        <v>197</v>
      </c>
      <c r="E82" s="36"/>
      <c r="F82" s="65"/>
      <c r="G82" s="65"/>
      <c r="H82" s="28"/>
    </row>
    <row r="83" spans="1:8" ht="35.1" customHeight="1" x14ac:dyDescent="0.25">
      <c r="A83" s="68"/>
      <c r="B83" s="222" t="s">
        <v>211</v>
      </c>
      <c r="C83" s="223"/>
      <c r="D83" s="22" t="s">
        <v>197</v>
      </c>
      <c r="E83" s="171"/>
      <c r="F83" s="56"/>
      <c r="G83" s="56"/>
      <c r="H83" s="55"/>
    </row>
    <row r="84" spans="1:8" ht="35.1" customHeight="1" x14ac:dyDescent="0.25">
      <c r="A84" s="68"/>
      <c r="B84" s="222" t="s">
        <v>212</v>
      </c>
      <c r="C84" s="223"/>
      <c r="D84" s="22" t="s">
        <v>197</v>
      </c>
      <c r="E84" s="171"/>
      <c r="F84" s="56"/>
      <c r="G84" s="56"/>
      <c r="H84" s="55"/>
    </row>
  </sheetData>
  <sheetProtection formatCells="0" formatColumns="0" formatRows="0" insertColumns="0" insertRows="0" insertHyperlinks="0" deleteColumns="0" deleteRows="0" sort="0" autoFilter="0" pivotTables="0"/>
  <mergeCells count="47">
    <mergeCell ref="B82:C82"/>
    <mergeCell ref="A3:C3"/>
    <mergeCell ref="A4:C4"/>
    <mergeCell ref="A12:C12"/>
    <mergeCell ref="A13:C13"/>
    <mergeCell ref="A16:C16"/>
    <mergeCell ref="A23:C23"/>
    <mergeCell ref="A24:C24"/>
    <mergeCell ref="A32:C32"/>
    <mergeCell ref="A33:C33"/>
    <mergeCell ref="A36:C36"/>
    <mergeCell ref="A43:C43"/>
    <mergeCell ref="A44:C44"/>
    <mergeCell ref="A52:C52"/>
    <mergeCell ref="A53:C53"/>
    <mergeCell ref="A56:C56"/>
    <mergeCell ref="B75:C75"/>
    <mergeCell ref="B79:C79"/>
    <mergeCell ref="B80:C80"/>
    <mergeCell ref="B81:C81"/>
    <mergeCell ref="A76:C76"/>
    <mergeCell ref="B71:C71"/>
    <mergeCell ref="A63:C63"/>
    <mergeCell ref="A64:C64"/>
    <mergeCell ref="A72:C72"/>
    <mergeCell ref="A73:C73"/>
    <mergeCell ref="B60:C60"/>
    <mergeCell ref="B61:C61"/>
    <mergeCell ref="B62:C62"/>
    <mergeCell ref="B51:C51"/>
    <mergeCell ref="B55:C55"/>
    <mergeCell ref="B83:C83"/>
    <mergeCell ref="B84:C84"/>
    <mergeCell ref="A1:H1"/>
    <mergeCell ref="B11:C11"/>
    <mergeCell ref="B20:C20"/>
    <mergeCell ref="B21:C21"/>
    <mergeCell ref="B22:C22"/>
    <mergeCell ref="B15:C15"/>
    <mergeCell ref="B19:C19"/>
    <mergeCell ref="B39:C39"/>
    <mergeCell ref="B40:C40"/>
    <mergeCell ref="B41:C41"/>
    <mergeCell ref="B42:C42"/>
    <mergeCell ref="B31:C31"/>
    <mergeCell ref="B35:C35"/>
    <mergeCell ref="B59:C59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>
    <pageSetUpPr fitToPage="1"/>
  </sheetPr>
  <dimension ref="A1:H23"/>
  <sheetViews>
    <sheetView zoomScaleNormal="100" zoomScaleSheetLayoutView="100" workbookViewId="0">
      <selection activeCell="B22" sqref="B22:C22"/>
    </sheetView>
  </sheetViews>
  <sheetFormatPr defaultColWidth="8.875" defaultRowHeight="18.75" x14ac:dyDescent="0.25"/>
  <cols>
    <col min="1" max="1" width="5.25" style="1" customWidth="1"/>
    <col min="2" max="2" width="11.375" style="2" customWidth="1"/>
    <col min="3" max="3" width="30.875" style="1" customWidth="1"/>
    <col min="4" max="4" width="6.125" style="1" customWidth="1"/>
    <col min="5" max="5" width="8.5" style="3" customWidth="1"/>
    <col min="6" max="6" width="9.875" style="4" customWidth="1"/>
    <col min="7" max="7" width="9.375" style="4" customWidth="1"/>
    <col min="8" max="8" width="8.5" style="5" customWidth="1"/>
    <col min="9" max="16384" width="8.875" style="1"/>
  </cols>
  <sheetData>
    <row r="1" spans="1:8" ht="44.1" customHeight="1" x14ac:dyDescent="0.15">
      <c r="A1" s="224" t="s">
        <v>190</v>
      </c>
      <c r="B1" s="224"/>
      <c r="C1" s="224"/>
      <c r="D1" s="224"/>
      <c r="E1" s="224"/>
      <c r="F1" s="224"/>
      <c r="G1" s="224"/>
      <c r="H1" s="224"/>
    </row>
    <row r="2" spans="1:8" ht="38.2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8.25" customHeight="1" x14ac:dyDescent="0.25">
      <c r="A3" s="230" t="s">
        <v>322</v>
      </c>
      <c r="B3" s="231"/>
      <c r="C3" s="232"/>
      <c r="D3" s="9"/>
      <c r="E3" s="10"/>
      <c r="F3" s="11"/>
      <c r="G3" s="11"/>
      <c r="H3" s="12"/>
    </row>
    <row r="4" spans="1:8" ht="97.5" customHeight="1" x14ac:dyDescent="0.15">
      <c r="A4" s="13">
        <v>1</v>
      </c>
      <c r="B4" s="14" t="s">
        <v>149</v>
      </c>
      <c r="C4" s="133" t="s">
        <v>158</v>
      </c>
      <c r="D4" s="13" t="s">
        <v>59</v>
      </c>
      <c r="E4" s="15">
        <v>316.08999999999997</v>
      </c>
      <c r="F4" s="16"/>
      <c r="G4" s="16"/>
      <c r="H4" s="16"/>
    </row>
    <row r="5" spans="1:8" ht="105.75" customHeight="1" x14ac:dyDescent="0.15">
      <c r="A5" s="13">
        <v>2</v>
      </c>
      <c r="B5" s="14" t="s">
        <v>150</v>
      </c>
      <c r="C5" s="133" t="s">
        <v>159</v>
      </c>
      <c r="D5" s="13" t="s">
        <v>59</v>
      </c>
      <c r="E5" s="15">
        <v>368</v>
      </c>
      <c r="F5" s="16"/>
      <c r="G5" s="16"/>
      <c r="H5" s="16"/>
    </row>
    <row r="6" spans="1:8" ht="99" customHeight="1" x14ac:dyDescent="0.15">
      <c r="A6" s="13">
        <v>3</v>
      </c>
      <c r="B6" s="14" t="s">
        <v>151</v>
      </c>
      <c r="C6" s="133" t="s">
        <v>160</v>
      </c>
      <c r="D6" s="13" t="s">
        <v>59</v>
      </c>
      <c r="E6" s="15">
        <v>627</v>
      </c>
      <c r="F6" s="16"/>
      <c r="G6" s="16"/>
      <c r="H6" s="17"/>
    </row>
    <row r="7" spans="1:8" ht="75" customHeight="1" x14ac:dyDescent="0.15">
      <c r="A7" s="13">
        <v>4</v>
      </c>
      <c r="B7" s="130" t="s">
        <v>154</v>
      </c>
      <c r="C7" s="133" t="s">
        <v>161</v>
      </c>
      <c r="D7" s="13" t="s">
        <v>152</v>
      </c>
      <c r="E7" s="15">
        <v>466.74</v>
      </c>
      <c r="F7" s="16"/>
      <c r="G7" s="16"/>
      <c r="H7" s="17"/>
    </row>
    <row r="8" spans="1:8" ht="63" customHeight="1" x14ac:dyDescent="0.15">
      <c r="A8" s="18">
        <v>5</v>
      </c>
      <c r="B8" s="19" t="s">
        <v>153</v>
      </c>
      <c r="C8" s="134" t="s">
        <v>162</v>
      </c>
      <c r="D8" s="18" t="s">
        <v>36</v>
      </c>
      <c r="E8" s="20">
        <v>1</v>
      </c>
      <c r="F8" s="21"/>
      <c r="G8" s="16"/>
      <c r="H8" s="21"/>
    </row>
    <row r="9" spans="1:8" ht="67.5" customHeight="1" x14ac:dyDescent="0.15">
      <c r="A9" s="22">
        <v>6</v>
      </c>
      <c r="B9" s="131" t="s">
        <v>155</v>
      </c>
      <c r="C9" s="135" t="s">
        <v>163</v>
      </c>
      <c r="D9" s="23" t="s">
        <v>31</v>
      </c>
      <c r="E9" s="24">
        <v>27.286000000000001</v>
      </c>
      <c r="F9" s="16"/>
      <c r="G9" s="16"/>
      <c r="H9" s="16"/>
    </row>
    <row r="10" spans="1:8" ht="83.25" customHeight="1" x14ac:dyDescent="0.15">
      <c r="A10" s="22">
        <v>7</v>
      </c>
      <c r="B10" s="132" t="s">
        <v>156</v>
      </c>
      <c r="C10" s="135" t="s">
        <v>164</v>
      </c>
      <c r="D10" s="23" t="s">
        <v>31</v>
      </c>
      <c r="E10" s="25">
        <v>57</v>
      </c>
      <c r="F10" s="16"/>
      <c r="G10" s="16"/>
      <c r="H10" s="16"/>
    </row>
    <row r="11" spans="1:8" ht="66" customHeight="1" x14ac:dyDescent="0.15">
      <c r="A11" s="22">
        <v>8</v>
      </c>
      <c r="B11" s="132" t="s">
        <v>157</v>
      </c>
      <c r="C11" s="135" t="s">
        <v>165</v>
      </c>
      <c r="D11" s="23" t="s">
        <v>31</v>
      </c>
      <c r="E11" s="25">
        <v>6</v>
      </c>
      <c r="F11" s="16"/>
      <c r="G11" s="16"/>
      <c r="H11" s="16"/>
    </row>
    <row r="12" spans="1:8" ht="39.75" customHeight="1" x14ac:dyDescent="0.25">
      <c r="A12" s="22">
        <v>9</v>
      </c>
      <c r="B12" s="226" t="s">
        <v>323</v>
      </c>
      <c r="C12" s="226"/>
      <c r="D12" s="22" t="s">
        <v>197</v>
      </c>
      <c r="E12" s="26"/>
      <c r="F12" s="27"/>
      <c r="G12" s="27"/>
      <c r="H12" s="28"/>
    </row>
    <row r="13" spans="1:8" ht="40.5" customHeight="1" x14ac:dyDescent="0.25">
      <c r="A13" s="233" t="s">
        <v>324</v>
      </c>
      <c r="B13" s="234"/>
      <c r="C13" s="235"/>
      <c r="D13" s="29"/>
      <c r="E13" s="30"/>
      <c r="F13" s="31"/>
      <c r="G13" s="31"/>
      <c r="H13" s="28"/>
    </row>
    <row r="14" spans="1:8" ht="35.1" customHeight="1" x14ac:dyDescent="0.25">
      <c r="A14" s="227" t="s">
        <v>198</v>
      </c>
      <c r="B14" s="227"/>
      <c r="C14" s="227"/>
      <c r="D14" s="227"/>
      <c r="E14" s="229"/>
      <c r="F14" s="31"/>
      <c r="G14" s="31"/>
      <c r="H14" s="28"/>
    </row>
    <row r="15" spans="1:8" ht="35.1" customHeight="1" x14ac:dyDescent="0.15">
      <c r="A15" s="22">
        <v>1</v>
      </c>
      <c r="B15" s="22" t="s">
        <v>52</v>
      </c>
      <c r="C15" s="32" t="str">
        <f>桃花山隧道市政设施!C17</f>
        <v>配备巡检车辆按照要求对相应设施设备进行日常巡查并记录汇总</v>
      </c>
      <c r="D15" s="22" t="s">
        <v>53</v>
      </c>
      <c r="E15" s="26">
        <f>100.44*365/1000</f>
        <v>36.660600000000002</v>
      </c>
      <c r="F15" s="16"/>
      <c r="G15" s="16"/>
      <c r="H15" s="34"/>
    </row>
    <row r="16" spans="1:8" ht="35.1" customHeight="1" x14ac:dyDescent="0.25">
      <c r="A16" s="22">
        <v>2</v>
      </c>
      <c r="B16" s="226" t="s">
        <v>199</v>
      </c>
      <c r="C16" s="226"/>
      <c r="D16" s="22" t="s">
        <v>197</v>
      </c>
      <c r="E16" s="26"/>
      <c r="F16" s="27"/>
      <c r="G16" s="27"/>
      <c r="H16" s="28"/>
    </row>
    <row r="17" spans="1:8" ht="35.1" customHeight="1" x14ac:dyDescent="0.25">
      <c r="A17" s="236" t="s">
        <v>200</v>
      </c>
      <c r="B17" s="237"/>
      <c r="C17" s="238"/>
      <c r="D17" s="32"/>
      <c r="E17" s="33"/>
      <c r="F17" s="31"/>
      <c r="G17" s="31"/>
      <c r="H17" s="28"/>
    </row>
    <row r="18" spans="1:8" ht="35.1" customHeight="1" x14ac:dyDescent="0.15">
      <c r="A18" s="22">
        <v>1</v>
      </c>
      <c r="B18" s="22" t="s">
        <v>55</v>
      </c>
      <c r="C18" s="32" t="s">
        <v>56</v>
      </c>
      <c r="D18" s="22" t="s">
        <v>53</v>
      </c>
      <c r="E18" s="26">
        <f>100.44*12/1000</f>
        <v>1.2052799999999999</v>
      </c>
      <c r="F18" s="16"/>
      <c r="G18" s="16"/>
      <c r="H18" s="16"/>
    </row>
    <row r="19" spans="1:8" ht="35.1" customHeight="1" x14ac:dyDescent="0.15">
      <c r="A19" s="22">
        <v>2</v>
      </c>
      <c r="B19" s="22" t="s">
        <v>57</v>
      </c>
      <c r="C19" s="32" t="s">
        <v>56</v>
      </c>
      <c r="D19" s="22" t="s">
        <v>53</v>
      </c>
      <c r="E19" s="26">
        <f>100.44*12/1000</f>
        <v>1.2052799999999999</v>
      </c>
      <c r="F19" s="16"/>
      <c r="G19" s="16"/>
      <c r="H19" s="16"/>
    </row>
    <row r="20" spans="1:8" ht="35.1" customHeight="1" x14ac:dyDescent="0.25">
      <c r="A20" s="22">
        <v>3</v>
      </c>
      <c r="B20" s="226" t="s">
        <v>201</v>
      </c>
      <c r="C20" s="226"/>
      <c r="D20" s="22" t="s">
        <v>197</v>
      </c>
      <c r="E20" s="26"/>
      <c r="F20" s="27"/>
      <c r="G20" s="27"/>
      <c r="H20" s="28"/>
    </row>
    <row r="21" spans="1:8" ht="35.1" customHeight="1" x14ac:dyDescent="0.25">
      <c r="A21" s="22">
        <v>4</v>
      </c>
      <c r="B21" s="226" t="s">
        <v>325</v>
      </c>
      <c r="C21" s="226"/>
      <c r="D21" s="22" t="s">
        <v>197</v>
      </c>
      <c r="E21" s="26"/>
      <c r="F21" s="27"/>
      <c r="G21" s="27"/>
      <c r="H21" s="28"/>
    </row>
    <row r="22" spans="1:8" ht="35.1" customHeight="1" x14ac:dyDescent="0.25">
      <c r="A22" s="35"/>
      <c r="B22" s="226" t="s">
        <v>204</v>
      </c>
      <c r="C22" s="226"/>
      <c r="D22" s="22" t="s">
        <v>197</v>
      </c>
      <c r="E22" s="36"/>
      <c r="F22" s="27"/>
      <c r="G22" s="27"/>
      <c r="H22" s="28"/>
    </row>
    <row r="23" spans="1:8" ht="35.1" customHeight="1" x14ac:dyDescent="0.25">
      <c r="A23" s="35"/>
      <c r="B23" s="226" t="s">
        <v>205</v>
      </c>
      <c r="C23" s="226"/>
      <c r="D23" s="22" t="s">
        <v>197</v>
      </c>
      <c r="E23" s="36"/>
      <c r="F23" s="27"/>
      <c r="G23" s="27"/>
      <c r="H23" s="28"/>
    </row>
  </sheetData>
  <mergeCells count="11">
    <mergeCell ref="A1:H1"/>
    <mergeCell ref="B12:C12"/>
    <mergeCell ref="A14:E14"/>
    <mergeCell ref="B23:C23"/>
    <mergeCell ref="A3:C3"/>
    <mergeCell ref="A13:C13"/>
    <mergeCell ref="A17:C17"/>
    <mergeCell ref="B16:C16"/>
    <mergeCell ref="B20:C20"/>
    <mergeCell ref="B21:C21"/>
    <mergeCell ref="B22:C22"/>
  </mergeCells>
  <phoneticPr fontId="23" type="noConversion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D20"/>
  <sheetViews>
    <sheetView tabSelected="1" topLeftCell="A4" zoomScaleNormal="100" zoomScaleSheetLayoutView="70" workbookViewId="0">
      <selection activeCell="E19" sqref="E19"/>
    </sheetView>
  </sheetViews>
  <sheetFormatPr defaultColWidth="9" defaultRowHeight="12.75" x14ac:dyDescent="0.2"/>
  <cols>
    <col min="1" max="1" width="9.375" style="110" customWidth="1"/>
    <col min="2" max="2" width="34.5" style="111" customWidth="1"/>
    <col min="3" max="3" width="27.75" style="111" customWidth="1"/>
    <col min="4" max="4" width="18.5" style="110" customWidth="1"/>
    <col min="5" max="5" width="14.125" style="110" customWidth="1"/>
    <col min="6" max="6" width="9.625" style="110" customWidth="1"/>
    <col min="7" max="7" width="8.875" style="110" customWidth="1"/>
    <col min="8" max="8" width="10.625" style="110" customWidth="1"/>
    <col min="9" max="10" width="14.125" style="110" customWidth="1"/>
    <col min="11" max="223" width="8.875" style="110" customWidth="1"/>
    <col min="224" max="16384" width="9" style="110"/>
  </cols>
  <sheetData>
    <row r="1" spans="1:4" ht="60" customHeight="1" x14ac:dyDescent="0.2">
      <c r="A1" s="181" t="s">
        <v>195</v>
      </c>
      <c r="B1" s="181"/>
      <c r="C1" s="181"/>
      <c r="D1" s="181"/>
    </row>
    <row r="2" spans="1:4" s="109" customFormat="1" ht="39.75" customHeight="1" x14ac:dyDescent="0.2">
      <c r="A2" s="173" t="s">
        <v>17</v>
      </c>
      <c r="B2" s="173" t="s">
        <v>18</v>
      </c>
      <c r="C2" s="173" t="s">
        <v>191</v>
      </c>
      <c r="D2" s="174" t="s">
        <v>192</v>
      </c>
    </row>
    <row r="3" spans="1:4" ht="30" customHeight="1" x14ac:dyDescent="0.2">
      <c r="A3" s="172">
        <v>1</v>
      </c>
      <c r="B3" s="176" t="s">
        <v>175</v>
      </c>
      <c r="C3" s="172"/>
      <c r="D3" s="175"/>
    </row>
    <row r="4" spans="1:4" ht="30" customHeight="1" x14ac:dyDescent="0.2">
      <c r="A4" s="172">
        <v>2</v>
      </c>
      <c r="B4" s="176" t="s">
        <v>176</v>
      </c>
      <c r="C4" s="172"/>
      <c r="D4" s="175"/>
    </row>
    <row r="5" spans="1:4" ht="30" customHeight="1" x14ac:dyDescent="0.2">
      <c r="A5" s="172">
        <v>3</v>
      </c>
      <c r="B5" s="176" t="s">
        <v>177</v>
      </c>
      <c r="C5" s="172"/>
      <c r="D5" s="175"/>
    </row>
    <row r="6" spans="1:4" ht="30" customHeight="1" x14ac:dyDescent="0.2">
      <c r="A6" s="172">
        <v>4</v>
      </c>
      <c r="B6" s="176" t="s">
        <v>178</v>
      </c>
      <c r="C6" s="172"/>
      <c r="D6" s="175"/>
    </row>
    <row r="7" spans="1:4" ht="30" customHeight="1" x14ac:dyDescent="0.2">
      <c r="A7" s="172">
        <v>5</v>
      </c>
      <c r="B7" s="176" t="s">
        <v>179</v>
      </c>
      <c r="C7" s="172"/>
      <c r="D7" s="175"/>
    </row>
    <row r="8" spans="1:4" ht="30" customHeight="1" x14ac:dyDescent="0.2">
      <c r="A8" s="172">
        <v>6</v>
      </c>
      <c r="B8" s="176" t="s">
        <v>189</v>
      </c>
      <c r="C8" s="172"/>
      <c r="D8" s="175"/>
    </row>
    <row r="9" spans="1:4" ht="30" customHeight="1" x14ac:dyDescent="0.2">
      <c r="A9" s="172">
        <v>7</v>
      </c>
      <c r="B9" s="176" t="s">
        <v>180</v>
      </c>
      <c r="C9" s="172"/>
      <c r="D9" s="175"/>
    </row>
    <row r="10" spans="1:4" ht="30" customHeight="1" x14ac:dyDescent="0.2">
      <c r="A10" s="172">
        <v>8</v>
      </c>
      <c r="B10" s="176" t="s">
        <v>181</v>
      </c>
      <c r="C10" s="172"/>
      <c r="D10" s="175"/>
    </row>
    <row r="11" spans="1:4" ht="30" customHeight="1" x14ac:dyDescent="0.2">
      <c r="A11" s="172">
        <v>9</v>
      </c>
      <c r="B11" s="176" t="s">
        <v>182</v>
      </c>
      <c r="C11" s="172"/>
      <c r="D11" s="175"/>
    </row>
    <row r="12" spans="1:4" ht="30" customHeight="1" x14ac:dyDescent="0.2">
      <c r="A12" s="172">
        <v>10</v>
      </c>
      <c r="B12" s="176" t="s">
        <v>184</v>
      </c>
      <c r="C12" s="172"/>
      <c r="D12" s="175"/>
    </row>
    <row r="13" spans="1:4" ht="30" customHeight="1" x14ac:dyDescent="0.2">
      <c r="A13" s="172">
        <v>11</v>
      </c>
      <c r="B13" s="176" t="s">
        <v>185</v>
      </c>
      <c r="C13" s="172"/>
      <c r="D13" s="175"/>
    </row>
    <row r="14" spans="1:4" ht="30" customHeight="1" x14ac:dyDescent="0.2">
      <c r="A14" s="172">
        <v>12</v>
      </c>
      <c r="B14" s="176" t="s">
        <v>186</v>
      </c>
      <c r="C14" s="172"/>
      <c r="D14" s="175"/>
    </row>
    <row r="15" spans="1:4" ht="30" customHeight="1" x14ac:dyDescent="0.2">
      <c r="A15" s="172">
        <v>13</v>
      </c>
      <c r="B15" s="176" t="s">
        <v>187</v>
      </c>
      <c r="C15" s="172"/>
      <c r="D15" s="175"/>
    </row>
    <row r="16" spans="1:4" ht="30" customHeight="1" x14ac:dyDescent="0.2">
      <c r="A16" s="172">
        <v>14</v>
      </c>
      <c r="B16" s="176" t="s">
        <v>188</v>
      </c>
      <c r="C16" s="172"/>
      <c r="D16" s="175"/>
    </row>
    <row r="17" spans="1:4" ht="30" customHeight="1" x14ac:dyDescent="0.2">
      <c r="A17" s="172">
        <v>15</v>
      </c>
      <c r="B17" s="176" t="s">
        <v>183</v>
      </c>
      <c r="C17" s="172"/>
      <c r="D17" s="175"/>
    </row>
    <row r="18" spans="1:4" ht="30" customHeight="1" x14ac:dyDescent="0.2">
      <c r="A18" s="172">
        <v>16</v>
      </c>
      <c r="B18" s="176" t="s">
        <v>190</v>
      </c>
      <c r="C18" s="172"/>
      <c r="D18" s="175"/>
    </row>
    <row r="19" spans="1:4" ht="60.75" customHeight="1" x14ac:dyDescent="0.2">
      <c r="A19" s="172">
        <v>17</v>
      </c>
      <c r="B19" s="176" t="s">
        <v>196</v>
      </c>
      <c r="C19" s="173"/>
      <c r="D19" s="175" t="s">
        <v>326</v>
      </c>
    </row>
    <row r="20" spans="1:4" ht="38.1" customHeight="1" x14ac:dyDescent="0.25">
      <c r="A20" s="112"/>
      <c r="B20" s="179"/>
      <c r="C20" s="179"/>
      <c r="D20" s="180"/>
    </row>
  </sheetData>
  <sheetProtection formatCells="0" formatColumns="0" formatRows="0" insertColumns="0" insertRows="0" insertHyperlinks="0" deleteColumns="0" deleteRows="0" sort="0" autoFilter="0" pivotTables="0"/>
  <mergeCells count="2">
    <mergeCell ref="B20:D20"/>
    <mergeCell ref="A1:D1"/>
  </mergeCells>
  <phoneticPr fontId="23" type="noConversion"/>
  <pageMargins left="0.59791666666666698" right="0.55069444444444404" top="0.98402777777777795" bottom="0.98402777777777795" header="0.31458333333333299" footer="0.31458333333333299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H30"/>
  <sheetViews>
    <sheetView zoomScaleSheetLayoutView="70" workbookViewId="0">
      <selection activeCell="A11" sqref="A11:C11"/>
    </sheetView>
  </sheetViews>
  <sheetFormatPr defaultColWidth="8.875" defaultRowHeight="32.25" customHeight="1" x14ac:dyDescent="0.25"/>
  <cols>
    <col min="1" max="1" width="5.25" style="1" customWidth="1"/>
    <col min="2" max="2" width="12.75" style="2" customWidth="1"/>
    <col min="3" max="3" width="29.125" style="1" customWidth="1"/>
    <col min="4" max="4" width="6.125" style="1" customWidth="1"/>
    <col min="5" max="5" width="10.125" style="4" customWidth="1"/>
    <col min="6" max="6" width="7.375" style="88" customWidth="1"/>
    <col min="7" max="7" width="9.25" style="88" customWidth="1"/>
    <col min="8" max="8" width="10.375" style="89" customWidth="1"/>
    <col min="9" max="9" width="11.125" style="1"/>
    <col min="10" max="16384" width="8.875" style="1"/>
  </cols>
  <sheetData>
    <row r="1" spans="1:8" ht="43.5" customHeight="1" x14ac:dyDescent="0.15">
      <c r="A1" s="182" t="s">
        <v>175</v>
      </c>
      <c r="B1" s="183"/>
      <c r="C1" s="183"/>
      <c r="D1" s="183"/>
      <c r="E1" s="184"/>
      <c r="F1" s="184"/>
      <c r="G1" s="184"/>
      <c r="H1" s="185"/>
    </row>
    <row r="2" spans="1:8" ht="53.2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2.25" customHeight="1" x14ac:dyDescent="0.15">
      <c r="A3" s="186" t="s">
        <v>219</v>
      </c>
      <c r="B3" s="187"/>
      <c r="C3" s="188"/>
      <c r="D3" s="90"/>
      <c r="E3" s="90"/>
      <c r="F3" s="90"/>
      <c r="G3" s="90"/>
      <c r="H3" s="90"/>
    </row>
    <row r="4" spans="1:8" ht="93.75" customHeight="1" x14ac:dyDescent="0.15">
      <c r="A4" s="91">
        <v>1</v>
      </c>
      <c r="B4" s="92" t="s">
        <v>24</v>
      </c>
      <c r="C4" s="93" t="s">
        <v>25</v>
      </c>
      <c r="D4" s="94" t="s">
        <v>26</v>
      </c>
      <c r="E4" s="95">
        <f>12*2*(156+1300+305+14.4)</f>
        <v>42609.599999999999</v>
      </c>
      <c r="F4" s="96"/>
      <c r="G4" s="96"/>
      <c r="H4" s="97"/>
    </row>
    <row r="5" spans="1:8" ht="133.5" customHeight="1" x14ac:dyDescent="0.15">
      <c r="A5" s="91">
        <v>2</v>
      </c>
      <c r="B5" s="91" t="s">
        <v>27</v>
      </c>
      <c r="C5" s="98" t="s">
        <v>28</v>
      </c>
      <c r="D5" s="94" t="s">
        <v>26</v>
      </c>
      <c r="E5" s="95">
        <f>1775.4*1.2*4</f>
        <v>8521.92</v>
      </c>
      <c r="F5" s="96"/>
      <c r="G5" s="96"/>
      <c r="H5" s="99"/>
    </row>
    <row r="6" spans="1:8" ht="135" customHeight="1" x14ac:dyDescent="0.15">
      <c r="A6" s="91">
        <v>3</v>
      </c>
      <c r="B6" s="91" t="s">
        <v>29</v>
      </c>
      <c r="C6" s="93" t="s">
        <v>30</v>
      </c>
      <c r="D6" s="94" t="s">
        <v>31</v>
      </c>
      <c r="E6" s="95">
        <f>12*7*2</f>
        <v>168</v>
      </c>
      <c r="F6" s="96"/>
      <c r="G6" s="96"/>
      <c r="H6" s="99"/>
    </row>
    <row r="7" spans="1:8" ht="100.5" customHeight="1" x14ac:dyDescent="0.15">
      <c r="A7" s="91">
        <v>4</v>
      </c>
      <c r="B7" s="91" t="s">
        <v>32</v>
      </c>
      <c r="C7" s="93" t="s">
        <v>33</v>
      </c>
      <c r="D7" s="94" t="s">
        <v>31</v>
      </c>
      <c r="E7" s="95">
        <v>3550.8</v>
      </c>
      <c r="F7" s="96"/>
      <c r="G7" s="96"/>
      <c r="H7" s="100"/>
    </row>
    <row r="8" spans="1:8" ht="69" customHeight="1" x14ac:dyDescent="0.15">
      <c r="A8" s="91">
        <v>5</v>
      </c>
      <c r="B8" s="91" t="s">
        <v>34</v>
      </c>
      <c r="C8" s="98" t="s">
        <v>35</v>
      </c>
      <c r="D8" s="94" t="s">
        <v>36</v>
      </c>
      <c r="E8" s="95">
        <v>78</v>
      </c>
      <c r="F8" s="96"/>
      <c r="G8" s="96"/>
      <c r="H8" s="99"/>
    </row>
    <row r="9" spans="1:8" ht="54" customHeight="1" x14ac:dyDescent="0.15">
      <c r="A9" s="91">
        <v>6</v>
      </c>
      <c r="B9" s="91" t="s">
        <v>37</v>
      </c>
      <c r="C9" s="93" t="s">
        <v>38</v>
      </c>
      <c r="D9" s="94" t="s">
        <v>36</v>
      </c>
      <c r="E9" s="95">
        <v>78</v>
      </c>
      <c r="F9" s="96"/>
      <c r="G9" s="96"/>
      <c r="H9" s="99"/>
    </row>
    <row r="10" spans="1:8" ht="34.5" customHeight="1" x14ac:dyDescent="0.15">
      <c r="A10" s="91">
        <v>7</v>
      </c>
      <c r="B10" s="191" t="s">
        <v>226</v>
      </c>
      <c r="C10" s="192"/>
      <c r="D10" s="37" t="s">
        <v>197</v>
      </c>
      <c r="E10" s="95"/>
      <c r="F10" s="96"/>
      <c r="G10" s="96"/>
      <c r="H10" s="99"/>
    </row>
    <row r="11" spans="1:8" ht="37.5" customHeight="1" x14ac:dyDescent="0.15">
      <c r="A11" s="186" t="s">
        <v>214</v>
      </c>
      <c r="B11" s="187"/>
      <c r="C11" s="188"/>
      <c r="D11" s="90"/>
      <c r="E11" s="90"/>
      <c r="F11" s="90"/>
      <c r="G11" s="90"/>
      <c r="H11" s="90"/>
    </row>
    <row r="12" spans="1:8" ht="72.75" customHeight="1" x14ac:dyDescent="0.15">
      <c r="A12" s="91">
        <v>1</v>
      </c>
      <c r="B12" s="92" t="s">
        <v>40</v>
      </c>
      <c r="C12" s="93" t="s">
        <v>41</v>
      </c>
      <c r="D12" s="94" t="s">
        <v>26</v>
      </c>
      <c r="E12" s="95">
        <f>12.5*2*1300</f>
        <v>32500</v>
      </c>
      <c r="F12" s="96"/>
      <c r="G12" s="96"/>
      <c r="H12" s="99"/>
    </row>
    <row r="13" spans="1:8" ht="80.25" customHeight="1" x14ac:dyDescent="0.15">
      <c r="A13" s="91">
        <v>2</v>
      </c>
      <c r="B13" s="91" t="s">
        <v>42</v>
      </c>
      <c r="C13" s="93" t="s">
        <v>43</v>
      </c>
      <c r="D13" s="94" t="s">
        <v>26</v>
      </c>
      <c r="E13" s="95">
        <v>959</v>
      </c>
      <c r="F13" s="96"/>
      <c r="G13" s="96"/>
      <c r="H13" s="99"/>
    </row>
    <row r="14" spans="1:8" ht="65.25" customHeight="1" x14ac:dyDescent="0.15">
      <c r="A14" s="91">
        <v>3</v>
      </c>
      <c r="B14" s="92" t="s">
        <v>44</v>
      </c>
      <c r="C14" s="98" t="s">
        <v>45</v>
      </c>
      <c r="D14" s="94" t="s">
        <v>26</v>
      </c>
      <c r="E14" s="95">
        <f>1300*3.7*4</f>
        <v>19240</v>
      </c>
      <c r="F14" s="96"/>
      <c r="G14" s="96"/>
      <c r="H14" s="99"/>
    </row>
    <row r="15" spans="1:8" ht="78" customHeight="1" x14ac:dyDescent="0.15">
      <c r="A15" s="91">
        <v>4</v>
      </c>
      <c r="B15" s="92" t="s">
        <v>46</v>
      </c>
      <c r="C15" s="93" t="s">
        <v>47</v>
      </c>
      <c r="D15" s="94" t="s">
        <v>26</v>
      </c>
      <c r="E15" s="95">
        <f>677*2+1776*2+200*2+1.7*(155*2+392*2)+66*6+28*2</f>
        <v>7617.8</v>
      </c>
      <c r="F15" s="96"/>
      <c r="G15" s="96"/>
      <c r="H15" s="99"/>
    </row>
    <row r="16" spans="1:8" ht="56.25" customHeight="1" x14ac:dyDescent="0.15">
      <c r="A16" s="91">
        <v>5</v>
      </c>
      <c r="B16" s="91" t="s">
        <v>48</v>
      </c>
      <c r="C16" s="93" t="s">
        <v>49</v>
      </c>
      <c r="D16" s="94" t="s">
        <v>31</v>
      </c>
      <c r="E16" s="95">
        <f>69*(29.8*2+8.1*4)</f>
        <v>6348</v>
      </c>
      <c r="F16" s="96"/>
      <c r="G16" s="96"/>
      <c r="H16" s="99"/>
    </row>
    <row r="17" spans="1:8" ht="47.25" customHeight="1" x14ac:dyDescent="0.15">
      <c r="A17" s="91">
        <v>6</v>
      </c>
      <c r="B17" s="92" t="s">
        <v>50</v>
      </c>
      <c r="C17" s="93" t="s">
        <v>51</v>
      </c>
      <c r="D17" s="94" t="s">
        <v>31</v>
      </c>
      <c r="E17" s="95">
        <v>1775.4</v>
      </c>
      <c r="F17" s="96"/>
      <c r="G17" s="96"/>
      <c r="H17" s="99"/>
    </row>
    <row r="18" spans="1:8" ht="33" customHeight="1" x14ac:dyDescent="0.15">
      <c r="A18" s="91">
        <v>7</v>
      </c>
      <c r="B18" s="189" t="s">
        <v>220</v>
      </c>
      <c r="C18" s="190"/>
      <c r="D18" s="23" t="s">
        <v>197</v>
      </c>
      <c r="E18" s="95"/>
      <c r="F18" s="95"/>
      <c r="G18" s="95"/>
      <c r="H18" s="95"/>
    </row>
    <row r="19" spans="1:8" ht="28.15" customHeight="1" x14ac:dyDescent="0.15">
      <c r="A19" s="193" t="s">
        <v>221</v>
      </c>
      <c r="B19" s="194"/>
      <c r="C19" s="195"/>
      <c r="D19" s="101"/>
      <c r="E19" s="102"/>
      <c r="F19" s="96"/>
      <c r="G19" s="96"/>
      <c r="H19" s="103"/>
    </row>
    <row r="20" spans="1:8" ht="28.15" customHeight="1" x14ac:dyDescent="0.15">
      <c r="A20" s="196" t="s">
        <v>198</v>
      </c>
      <c r="B20" s="197"/>
      <c r="C20" s="198"/>
      <c r="D20" s="93"/>
      <c r="E20" s="104"/>
      <c r="F20" s="96"/>
      <c r="G20" s="96"/>
      <c r="H20" s="103"/>
    </row>
    <row r="21" spans="1:8" ht="54" customHeight="1" x14ac:dyDescent="0.15">
      <c r="A21" s="91">
        <v>1</v>
      </c>
      <c r="B21" s="91" t="s">
        <v>52</v>
      </c>
      <c r="C21" s="44" t="s">
        <v>218</v>
      </c>
      <c r="D21" s="91" t="s">
        <v>53</v>
      </c>
      <c r="E21" s="95">
        <f>3550*365/1000</f>
        <v>1295.75</v>
      </c>
      <c r="F21" s="96"/>
      <c r="G21" s="96"/>
      <c r="H21" s="105"/>
    </row>
    <row r="22" spans="1:8" ht="36" customHeight="1" x14ac:dyDescent="0.15">
      <c r="A22" s="91">
        <v>2</v>
      </c>
      <c r="B22" s="91" t="s">
        <v>54</v>
      </c>
      <c r="C22" s="44" t="s">
        <v>217</v>
      </c>
      <c r="D22" s="91" t="s">
        <v>53</v>
      </c>
      <c r="E22" s="95">
        <f>3550*365/1000</f>
        <v>1295.75</v>
      </c>
      <c r="F22" s="96"/>
      <c r="G22" s="96"/>
      <c r="H22" s="105"/>
    </row>
    <row r="23" spans="1:8" ht="28.15" customHeight="1" x14ac:dyDescent="0.15">
      <c r="A23" s="91">
        <v>3</v>
      </c>
      <c r="B23" s="189" t="s">
        <v>199</v>
      </c>
      <c r="C23" s="190"/>
      <c r="D23" s="23" t="s">
        <v>197</v>
      </c>
      <c r="E23" s="95"/>
      <c r="F23" s="95"/>
      <c r="G23" s="95"/>
      <c r="H23" s="107"/>
    </row>
    <row r="24" spans="1:8" ht="28.15" customHeight="1" x14ac:dyDescent="0.15">
      <c r="A24" s="196" t="s">
        <v>200</v>
      </c>
      <c r="B24" s="197"/>
      <c r="C24" s="198"/>
      <c r="D24" s="93"/>
      <c r="E24" s="104"/>
      <c r="F24" s="96"/>
      <c r="G24" s="96"/>
      <c r="H24" s="107"/>
    </row>
    <row r="25" spans="1:8" ht="41.25" customHeight="1" x14ac:dyDescent="0.15">
      <c r="A25" s="91">
        <v>1</v>
      </c>
      <c r="B25" s="91" t="s">
        <v>55</v>
      </c>
      <c r="C25" s="93" t="s">
        <v>56</v>
      </c>
      <c r="D25" s="91" t="s">
        <v>53</v>
      </c>
      <c r="E25" s="95">
        <f>3550*12/1000</f>
        <v>42.6</v>
      </c>
      <c r="F25" s="96"/>
      <c r="G25" s="96"/>
      <c r="H25" s="105"/>
    </row>
    <row r="26" spans="1:8" ht="41.25" customHeight="1" x14ac:dyDescent="0.15">
      <c r="A26" s="91">
        <v>2</v>
      </c>
      <c r="B26" s="91" t="s">
        <v>57</v>
      </c>
      <c r="C26" s="93" t="s">
        <v>56</v>
      </c>
      <c r="D26" s="91" t="s">
        <v>53</v>
      </c>
      <c r="E26" s="95">
        <f>3550*12/1000</f>
        <v>42.6</v>
      </c>
      <c r="F26" s="96"/>
      <c r="G26" s="96"/>
      <c r="H26" s="105"/>
    </row>
    <row r="27" spans="1:8" ht="28.15" customHeight="1" x14ac:dyDescent="0.15">
      <c r="A27" s="91">
        <v>3</v>
      </c>
      <c r="B27" s="189" t="s">
        <v>201</v>
      </c>
      <c r="C27" s="190"/>
      <c r="D27" s="23" t="s">
        <v>197</v>
      </c>
      <c r="E27" s="95"/>
      <c r="F27" s="95"/>
      <c r="G27" s="95"/>
      <c r="H27" s="103"/>
    </row>
    <row r="28" spans="1:8" ht="28.15" customHeight="1" x14ac:dyDescent="0.15">
      <c r="A28" s="91">
        <v>4</v>
      </c>
      <c r="B28" s="189" t="s">
        <v>222</v>
      </c>
      <c r="C28" s="190"/>
      <c r="D28" s="23" t="s">
        <v>197</v>
      </c>
      <c r="E28" s="95"/>
      <c r="F28" s="95"/>
      <c r="G28" s="95"/>
      <c r="H28" s="103"/>
    </row>
    <row r="29" spans="1:8" ht="32.25" customHeight="1" x14ac:dyDescent="0.15">
      <c r="A29" s="106"/>
      <c r="B29" s="189" t="s">
        <v>203</v>
      </c>
      <c r="C29" s="190"/>
      <c r="D29" s="23" t="s">
        <v>197</v>
      </c>
      <c r="E29" s="95"/>
      <c r="F29" s="95"/>
      <c r="G29" s="95"/>
      <c r="H29" s="100"/>
    </row>
    <row r="30" spans="1:8" ht="32.25" customHeight="1" x14ac:dyDescent="0.15">
      <c r="A30" s="106"/>
      <c r="B30" s="189" t="s">
        <v>202</v>
      </c>
      <c r="C30" s="190"/>
      <c r="D30" s="23" t="s">
        <v>197</v>
      </c>
      <c r="E30" s="108"/>
      <c r="F30" s="96"/>
      <c r="G30" s="96"/>
      <c r="H30" s="100"/>
    </row>
  </sheetData>
  <sheetProtection formatCells="0" formatColumns="0" formatRows="0" insertColumns="0" insertRows="0" insertHyperlinks="0" deleteColumns="0" deleteRows="0" sort="0" autoFilter="0" pivotTables="0"/>
  <mergeCells count="13">
    <mergeCell ref="B30:C30"/>
    <mergeCell ref="A19:C19"/>
    <mergeCell ref="A20:C20"/>
    <mergeCell ref="A24:C24"/>
    <mergeCell ref="B23:C23"/>
    <mergeCell ref="B27:C27"/>
    <mergeCell ref="B28:C28"/>
    <mergeCell ref="A1:H1"/>
    <mergeCell ref="A3:C3"/>
    <mergeCell ref="A11:C11"/>
    <mergeCell ref="B18:C18"/>
    <mergeCell ref="B29:C29"/>
    <mergeCell ref="B10:C10"/>
  </mergeCells>
  <phoneticPr fontId="23" type="noConversion"/>
  <printOptions horizontalCentered="1"/>
  <pageMargins left="0.51181102362204722" right="0.51181102362204722" top="0.55118110236220474" bottom="0.55118110236220474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H27"/>
  <sheetViews>
    <sheetView topLeftCell="A16" zoomScaleSheetLayoutView="70" workbookViewId="0">
      <selection activeCell="B27" sqref="B27:C27"/>
    </sheetView>
  </sheetViews>
  <sheetFormatPr defaultColWidth="8.875" defaultRowHeight="18.75" x14ac:dyDescent="0.15"/>
  <cols>
    <col min="1" max="1" width="6.5" style="1"/>
    <col min="2" max="2" width="13.625" style="2" customWidth="1"/>
    <col min="3" max="3" width="31.25" style="1" customWidth="1"/>
    <col min="4" max="4" width="6.125" style="1" customWidth="1"/>
    <col min="5" max="5" width="10.875" style="3" customWidth="1"/>
    <col min="6" max="6" width="8.375" style="88" customWidth="1"/>
    <col min="7" max="7" width="8.875" style="88" customWidth="1"/>
    <col min="8" max="8" width="7.375" style="78" customWidth="1"/>
    <col min="9" max="9" width="11.125" style="1"/>
    <col min="10" max="10" width="11.875" style="1"/>
    <col min="11" max="16384" width="8.875" style="1"/>
  </cols>
  <sheetData>
    <row r="1" spans="1:8" ht="58.5" customHeight="1" x14ac:dyDescent="0.15">
      <c r="A1" s="199" t="s">
        <v>176</v>
      </c>
      <c r="B1" s="199"/>
      <c r="C1" s="199"/>
      <c r="D1" s="199"/>
      <c r="E1" s="200"/>
      <c r="F1" s="200"/>
      <c r="G1" s="200"/>
      <c r="H1" s="199"/>
    </row>
    <row r="2" spans="1:8" ht="57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7.5" customHeight="1" x14ac:dyDescent="0.15">
      <c r="A3" s="201" t="s">
        <v>223</v>
      </c>
      <c r="B3" s="201"/>
      <c r="C3" s="201"/>
      <c r="D3" s="44"/>
      <c r="E3" s="44"/>
      <c r="F3" s="80"/>
      <c r="G3" s="80"/>
      <c r="H3" s="80"/>
    </row>
    <row r="4" spans="1:8" ht="99.75" customHeight="1" x14ac:dyDescent="0.15">
      <c r="A4" s="23">
        <v>1</v>
      </c>
      <c r="B4" s="23" t="s">
        <v>24</v>
      </c>
      <c r="C4" s="44" t="s">
        <v>58</v>
      </c>
      <c r="D4" s="37" t="s">
        <v>59</v>
      </c>
      <c r="E4" s="45">
        <f>1180*11.5*2</f>
        <v>27140</v>
      </c>
      <c r="F4" s="39"/>
      <c r="G4" s="39"/>
      <c r="H4" s="46"/>
    </row>
    <row r="5" spans="1:8" ht="119.25" customHeight="1" x14ac:dyDescent="0.15">
      <c r="A5" s="23">
        <v>2</v>
      </c>
      <c r="B5" s="23" t="s">
        <v>27</v>
      </c>
      <c r="C5" s="43" t="s">
        <v>60</v>
      </c>
      <c r="D5" s="37" t="s">
        <v>59</v>
      </c>
      <c r="E5" s="53">
        <f>944*4*1.15+118*8*1.4</f>
        <v>5664</v>
      </c>
      <c r="F5" s="39"/>
      <c r="G5" s="39"/>
      <c r="H5" s="39"/>
    </row>
    <row r="6" spans="1:8" ht="126.75" customHeight="1" x14ac:dyDescent="0.15">
      <c r="A6" s="23">
        <v>3</v>
      </c>
      <c r="B6" s="23" t="s">
        <v>29</v>
      </c>
      <c r="C6" s="44" t="s">
        <v>61</v>
      </c>
      <c r="D6" s="23" t="s">
        <v>31</v>
      </c>
      <c r="E6" s="53">
        <f>12*4+11*6+5.5*4</f>
        <v>136</v>
      </c>
      <c r="F6" s="39"/>
      <c r="G6" s="39"/>
      <c r="H6" s="39"/>
    </row>
    <row r="7" spans="1:8" ht="30.75" customHeight="1" x14ac:dyDescent="0.15">
      <c r="A7" s="23">
        <v>4</v>
      </c>
      <c r="B7" s="191" t="s">
        <v>215</v>
      </c>
      <c r="C7" s="204"/>
      <c r="D7" s="23" t="s">
        <v>197</v>
      </c>
      <c r="E7" s="45"/>
      <c r="F7" s="39"/>
      <c r="G7" s="39"/>
      <c r="H7" s="46"/>
    </row>
    <row r="8" spans="1:8" ht="30.75" customHeight="1" x14ac:dyDescent="0.15">
      <c r="A8" s="202" t="s">
        <v>213</v>
      </c>
      <c r="B8" s="202"/>
      <c r="C8" s="202"/>
      <c r="D8" s="43"/>
      <c r="E8" s="43"/>
      <c r="F8" s="119"/>
      <c r="G8" s="119"/>
      <c r="H8" s="119"/>
    </row>
    <row r="9" spans="1:8" ht="72" customHeight="1" x14ac:dyDescent="0.15">
      <c r="A9" s="23">
        <v>1</v>
      </c>
      <c r="B9" s="23" t="s">
        <v>40</v>
      </c>
      <c r="C9" s="44" t="s">
        <v>62</v>
      </c>
      <c r="D9" s="37" t="s">
        <v>59</v>
      </c>
      <c r="E9" s="45">
        <f>880*12*2</f>
        <v>21120</v>
      </c>
      <c r="F9" s="39"/>
      <c r="G9" s="39"/>
      <c r="H9" s="39"/>
    </row>
    <row r="10" spans="1:8" ht="102.75" customHeight="1" x14ac:dyDescent="0.15">
      <c r="A10" s="23">
        <v>2</v>
      </c>
      <c r="B10" s="23" t="s">
        <v>63</v>
      </c>
      <c r="C10" s="44" t="s">
        <v>64</v>
      </c>
      <c r="D10" s="37" t="s">
        <v>59</v>
      </c>
      <c r="E10" s="45">
        <f>105*2.5*4</f>
        <v>1050</v>
      </c>
      <c r="F10" s="39"/>
      <c r="G10" s="39"/>
      <c r="H10" s="39"/>
    </row>
    <row r="11" spans="1:8" ht="64.5" customHeight="1" x14ac:dyDescent="0.15">
      <c r="A11" s="23">
        <v>3</v>
      </c>
      <c r="B11" s="23" t="s">
        <v>44</v>
      </c>
      <c r="C11" s="44" t="s">
        <v>65</v>
      </c>
      <c r="D11" s="37" t="s">
        <v>59</v>
      </c>
      <c r="E11" s="45">
        <f>(880+20*2)*2.85*4</f>
        <v>10488</v>
      </c>
      <c r="F11" s="39"/>
      <c r="G11" s="39"/>
      <c r="H11" s="39"/>
    </row>
    <row r="12" spans="1:8" ht="69.75" customHeight="1" x14ac:dyDescent="0.15">
      <c r="A12" s="23">
        <v>4</v>
      </c>
      <c r="B12" s="23" t="s">
        <v>46</v>
      </c>
      <c r="C12" s="44" t="s">
        <v>66</v>
      </c>
      <c r="D12" s="37" t="s">
        <v>59</v>
      </c>
      <c r="E12" s="45">
        <f>(100+160)*4*2+26*2.8*4+26*2*2</f>
        <v>2475.1999999999998</v>
      </c>
      <c r="F12" s="39"/>
      <c r="G12" s="39"/>
      <c r="H12" s="39"/>
    </row>
    <row r="13" spans="1:8" ht="66.75" customHeight="1" x14ac:dyDescent="0.15">
      <c r="A13" s="23">
        <v>5</v>
      </c>
      <c r="B13" s="23" t="s">
        <v>48</v>
      </c>
      <c r="C13" s="44" t="s">
        <v>67</v>
      </c>
      <c r="D13" s="23" t="s">
        <v>31</v>
      </c>
      <c r="E13" s="45">
        <f>19*(29.6*2+6.9*4)</f>
        <v>1649.2</v>
      </c>
      <c r="F13" s="39"/>
      <c r="G13" s="39"/>
      <c r="H13" s="39"/>
    </row>
    <row r="14" spans="1:8" ht="63" customHeight="1" x14ac:dyDescent="0.15">
      <c r="A14" s="23">
        <v>6</v>
      </c>
      <c r="B14" s="23" t="s">
        <v>50</v>
      </c>
      <c r="C14" s="44" t="s">
        <v>68</v>
      </c>
      <c r="D14" s="23" t="s">
        <v>31</v>
      </c>
      <c r="E14" s="74">
        <v>1180</v>
      </c>
      <c r="F14" s="39"/>
      <c r="G14" s="39"/>
      <c r="H14" s="39"/>
    </row>
    <row r="15" spans="1:8" ht="30.75" customHeight="1" x14ac:dyDescent="0.15">
      <c r="A15" s="23">
        <v>7</v>
      </c>
      <c r="B15" s="189" t="s">
        <v>224</v>
      </c>
      <c r="C15" s="189"/>
      <c r="D15" s="23" t="s">
        <v>197</v>
      </c>
      <c r="E15" s="45"/>
      <c r="F15" s="51"/>
      <c r="G15" s="51"/>
      <c r="H15" s="46"/>
    </row>
    <row r="16" spans="1:8" ht="30.75" customHeight="1" x14ac:dyDescent="0.15">
      <c r="A16" s="203" t="s">
        <v>225</v>
      </c>
      <c r="B16" s="203"/>
      <c r="C16" s="203"/>
      <c r="D16" s="47"/>
      <c r="E16" s="47"/>
      <c r="F16" s="120"/>
      <c r="G16" s="120"/>
      <c r="H16" s="120"/>
    </row>
    <row r="17" spans="1:8" ht="30.75" customHeight="1" x14ac:dyDescent="0.15">
      <c r="A17" s="201" t="s">
        <v>198</v>
      </c>
      <c r="B17" s="201"/>
      <c r="C17" s="201"/>
      <c r="D17" s="44"/>
      <c r="E17" s="44"/>
      <c r="F17" s="80"/>
      <c r="G17" s="80"/>
      <c r="H17" s="80"/>
    </row>
    <row r="18" spans="1:8" ht="41.25" customHeight="1" x14ac:dyDescent="0.15">
      <c r="A18" s="23">
        <v>1</v>
      </c>
      <c r="B18" s="23" t="s">
        <v>52</v>
      </c>
      <c r="C18" s="44" t="s">
        <v>218</v>
      </c>
      <c r="D18" s="23" t="s">
        <v>53</v>
      </c>
      <c r="E18" s="45">
        <f>2360*365/1000</f>
        <v>861.4</v>
      </c>
      <c r="F18" s="39"/>
      <c r="G18" s="39"/>
      <c r="H18" s="39"/>
    </row>
    <row r="19" spans="1:8" ht="42.75" customHeight="1" x14ac:dyDescent="0.15">
      <c r="A19" s="23">
        <v>2</v>
      </c>
      <c r="B19" s="23" t="str">
        <f>青祁隧道市政设施!B22</f>
        <v>隧道保护区巡查</v>
      </c>
      <c r="C19" s="44" t="s">
        <v>217</v>
      </c>
      <c r="D19" s="23" t="s">
        <v>53</v>
      </c>
      <c r="E19" s="45">
        <f>2360*365/1000</f>
        <v>861.4</v>
      </c>
      <c r="F19" s="39"/>
      <c r="G19" s="39"/>
      <c r="H19" s="39"/>
    </row>
    <row r="20" spans="1:8" ht="30.75" customHeight="1" x14ac:dyDescent="0.15">
      <c r="A20" s="23">
        <v>3</v>
      </c>
      <c r="B20" s="189" t="s">
        <v>199</v>
      </c>
      <c r="C20" s="189"/>
      <c r="D20" s="23" t="s">
        <v>197</v>
      </c>
      <c r="E20" s="45"/>
      <c r="F20" s="51"/>
      <c r="G20" s="51"/>
      <c r="H20" s="46"/>
    </row>
    <row r="21" spans="1:8" ht="30.75" customHeight="1" x14ac:dyDescent="0.15">
      <c r="A21" s="201" t="s">
        <v>200</v>
      </c>
      <c r="B21" s="201"/>
      <c r="C21" s="201"/>
      <c r="D21" s="44"/>
      <c r="E21" s="44"/>
      <c r="F21" s="80"/>
      <c r="G21" s="80"/>
      <c r="H21" s="80"/>
    </row>
    <row r="22" spans="1:8" ht="44.25" customHeight="1" x14ac:dyDescent="0.15">
      <c r="A22" s="23">
        <v>1</v>
      </c>
      <c r="B22" s="23" t="s">
        <v>55</v>
      </c>
      <c r="C22" s="44" t="s">
        <v>56</v>
      </c>
      <c r="D22" s="23" t="s">
        <v>53</v>
      </c>
      <c r="E22" s="45">
        <f>2360*12/1000</f>
        <v>28.32</v>
      </c>
      <c r="F22" s="39"/>
      <c r="G22" s="39"/>
      <c r="H22" s="39"/>
    </row>
    <row r="23" spans="1:8" ht="54" customHeight="1" x14ac:dyDescent="0.15">
      <c r="A23" s="23">
        <v>2</v>
      </c>
      <c r="B23" s="23" t="s">
        <v>57</v>
      </c>
      <c r="C23" s="44" t="s">
        <v>56</v>
      </c>
      <c r="D23" s="23" t="s">
        <v>53</v>
      </c>
      <c r="E23" s="45">
        <f>2360*12/1000</f>
        <v>28.32</v>
      </c>
      <c r="F23" s="39"/>
      <c r="G23" s="39"/>
      <c r="H23" s="39"/>
    </row>
    <row r="24" spans="1:8" ht="30.75" customHeight="1" x14ac:dyDescent="0.15">
      <c r="A24" s="23">
        <v>3</v>
      </c>
      <c r="B24" s="189" t="s">
        <v>201</v>
      </c>
      <c r="C24" s="189"/>
      <c r="D24" s="23" t="s">
        <v>197</v>
      </c>
      <c r="E24" s="45"/>
      <c r="F24" s="39"/>
      <c r="G24" s="39"/>
      <c r="H24" s="46"/>
    </row>
    <row r="25" spans="1:8" ht="30.75" customHeight="1" x14ac:dyDescent="0.15">
      <c r="A25" s="23">
        <v>4</v>
      </c>
      <c r="B25" s="189" t="s">
        <v>227</v>
      </c>
      <c r="C25" s="189"/>
      <c r="D25" s="23" t="s">
        <v>197</v>
      </c>
      <c r="E25" s="45"/>
      <c r="F25" s="51"/>
      <c r="G25" s="51"/>
      <c r="H25" s="46"/>
    </row>
    <row r="26" spans="1:8" ht="31.5" customHeight="1" x14ac:dyDescent="0.15">
      <c r="A26" s="50"/>
      <c r="B26" s="189" t="s">
        <v>203</v>
      </c>
      <c r="C26" s="189"/>
      <c r="D26" s="23" t="s">
        <v>197</v>
      </c>
      <c r="E26" s="52"/>
      <c r="F26" s="38"/>
      <c r="G26" s="38"/>
      <c r="H26" s="46"/>
    </row>
    <row r="27" spans="1:8" ht="34.5" customHeight="1" x14ac:dyDescent="0.15">
      <c r="A27" s="50"/>
      <c r="B27" s="189" t="s">
        <v>202</v>
      </c>
      <c r="C27" s="189"/>
      <c r="D27" s="23" t="s">
        <v>197</v>
      </c>
      <c r="E27" s="52"/>
      <c r="F27" s="38"/>
      <c r="G27" s="38"/>
      <c r="H27" s="46"/>
    </row>
  </sheetData>
  <sheetProtection formatCells="0" formatColumns="0" formatRows="0" insertColumns="0" insertRows="0" insertHyperlinks="0" deleteColumns="0" deleteRows="0" sort="0" autoFilter="0" pivotTables="0"/>
  <mergeCells count="13">
    <mergeCell ref="A1:H1"/>
    <mergeCell ref="A3:C3"/>
    <mergeCell ref="B15:C15"/>
    <mergeCell ref="B26:C26"/>
    <mergeCell ref="B27:C27"/>
    <mergeCell ref="A8:C8"/>
    <mergeCell ref="A16:C16"/>
    <mergeCell ref="A17:C17"/>
    <mergeCell ref="A21:C21"/>
    <mergeCell ref="B20:C20"/>
    <mergeCell ref="B24:C24"/>
    <mergeCell ref="B25:C25"/>
    <mergeCell ref="B7:C7"/>
  </mergeCells>
  <phoneticPr fontId="23" type="noConversion"/>
  <pageMargins left="0.59055118110236227" right="0.59055118110236227" top="0.59055118110236227" bottom="0.47244094488188981" header="0" footer="0"/>
  <pageSetup paperSize="9" scale="99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H25"/>
  <sheetViews>
    <sheetView topLeftCell="A13" zoomScaleNormal="100" zoomScaleSheetLayoutView="100" workbookViewId="0">
      <selection activeCell="C17" sqref="C17"/>
    </sheetView>
  </sheetViews>
  <sheetFormatPr defaultColWidth="8.875" defaultRowHeight="18.75" x14ac:dyDescent="0.15"/>
  <cols>
    <col min="1" max="1" width="4.625" style="1" customWidth="1"/>
    <col min="2" max="2" width="11.5" style="2" customWidth="1"/>
    <col min="3" max="3" width="31.875" style="1" customWidth="1"/>
    <col min="4" max="4" width="5.875" style="1" customWidth="1"/>
    <col min="5" max="5" width="9.625" style="77" customWidth="1"/>
    <col min="6" max="6" width="8" style="78" customWidth="1"/>
    <col min="7" max="7" width="8.75" style="78" customWidth="1"/>
    <col min="8" max="8" width="8.125" style="79" customWidth="1"/>
    <col min="9" max="9" width="8.875" style="1"/>
    <col min="10" max="10" width="11.875" style="1"/>
    <col min="11" max="16384" width="8.875" style="1"/>
  </cols>
  <sheetData>
    <row r="1" spans="1:8" ht="48" customHeight="1" x14ac:dyDescent="0.15">
      <c r="A1" s="199" t="s">
        <v>177</v>
      </c>
      <c r="B1" s="199"/>
      <c r="C1" s="199"/>
      <c r="D1" s="199"/>
      <c r="E1" s="199"/>
      <c r="F1" s="199"/>
      <c r="G1" s="199"/>
      <c r="H1" s="199"/>
    </row>
    <row r="2" spans="1:8" ht="45.7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3.75" customHeight="1" x14ac:dyDescent="0.15">
      <c r="A3" s="201" t="s">
        <v>228</v>
      </c>
      <c r="B3" s="201"/>
      <c r="C3" s="201"/>
      <c r="D3" s="40"/>
      <c r="E3" s="40"/>
      <c r="F3" s="121"/>
      <c r="G3" s="121"/>
      <c r="H3" s="121"/>
    </row>
    <row r="4" spans="1:8" ht="96" customHeight="1" x14ac:dyDescent="0.15">
      <c r="A4" s="23">
        <v>1</v>
      </c>
      <c r="B4" s="59" t="s">
        <v>24</v>
      </c>
      <c r="C4" s="44" t="s">
        <v>69</v>
      </c>
      <c r="D4" s="37" t="s">
        <v>59</v>
      </c>
      <c r="E4" s="81">
        <f>(152+260+2485)*8*2+(310+300)*6.5*2+(343+780)*11.75*2+(190+100)*17.5*2</f>
        <v>90822.5</v>
      </c>
      <c r="F4" s="82"/>
      <c r="G4" s="82"/>
      <c r="H4" s="82"/>
    </row>
    <row r="5" spans="1:8" ht="148.5" customHeight="1" x14ac:dyDescent="0.15">
      <c r="A5" s="23">
        <v>2</v>
      </c>
      <c r="B5" s="23" t="s">
        <v>27</v>
      </c>
      <c r="C5" s="43" t="s">
        <v>70</v>
      </c>
      <c r="D5" s="37" t="s">
        <v>59</v>
      </c>
      <c r="E5" s="81">
        <f>(232+192+160+3816)*1.1*4+1661</f>
        <v>21021</v>
      </c>
      <c r="F5" s="82"/>
      <c r="G5" s="82"/>
      <c r="H5" s="82"/>
    </row>
    <row r="6" spans="1:8" ht="112.5" customHeight="1" x14ac:dyDescent="0.15">
      <c r="A6" s="23">
        <v>3</v>
      </c>
      <c r="B6" s="23" t="s">
        <v>29</v>
      </c>
      <c r="C6" s="43" t="s">
        <v>71</v>
      </c>
      <c r="D6" s="23" t="s">
        <v>31</v>
      </c>
      <c r="E6" s="83">
        <v>251.67</v>
      </c>
      <c r="F6" s="82"/>
      <c r="G6" s="82"/>
      <c r="H6" s="82"/>
    </row>
    <row r="7" spans="1:8" ht="30" customHeight="1" x14ac:dyDescent="0.15">
      <c r="A7" s="23">
        <v>4</v>
      </c>
      <c r="B7" s="191" t="s">
        <v>216</v>
      </c>
      <c r="C7" s="204"/>
      <c r="D7" s="23" t="s">
        <v>197</v>
      </c>
      <c r="E7" s="81"/>
      <c r="F7" s="82"/>
      <c r="G7" s="82"/>
      <c r="H7" s="82"/>
    </row>
    <row r="8" spans="1:8" ht="30" customHeight="1" x14ac:dyDescent="0.15">
      <c r="A8" s="202" t="s">
        <v>229</v>
      </c>
      <c r="B8" s="201"/>
      <c r="C8" s="201"/>
      <c r="D8" s="40"/>
      <c r="E8" s="84"/>
      <c r="F8" s="38"/>
      <c r="G8" s="38"/>
      <c r="H8" s="46"/>
    </row>
    <row r="9" spans="1:8" ht="71.25" customHeight="1" x14ac:dyDescent="0.15">
      <c r="A9" s="23">
        <v>1</v>
      </c>
      <c r="B9" s="59" t="s">
        <v>40</v>
      </c>
      <c r="C9" s="44" t="s">
        <v>72</v>
      </c>
      <c r="D9" s="37" t="s">
        <v>59</v>
      </c>
      <c r="E9" s="81">
        <f>(52+160+2485)*11.14*2+(232+192)*9.42*2+(407+735)*12.47*2+137*5.68*2</f>
        <v>98115.12</v>
      </c>
      <c r="F9" s="38"/>
      <c r="G9" s="82"/>
      <c r="H9" s="39"/>
    </row>
    <row r="10" spans="1:8" ht="69.75" customHeight="1" x14ac:dyDescent="0.15">
      <c r="A10" s="23">
        <v>2</v>
      </c>
      <c r="B10" s="23" t="s">
        <v>73</v>
      </c>
      <c r="C10" s="44" t="s">
        <v>74</v>
      </c>
      <c r="D10" s="37" t="s">
        <v>59</v>
      </c>
      <c r="E10" s="81">
        <f>(232+192+160+3816)*3*4+4073</f>
        <v>56873</v>
      </c>
      <c r="F10" s="16"/>
      <c r="G10" s="82"/>
      <c r="H10" s="16"/>
    </row>
    <row r="11" spans="1:8" ht="71.25" customHeight="1" x14ac:dyDescent="0.15">
      <c r="A11" s="23">
        <v>3</v>
      </c>
      <c r="B11" s="23" t="s">
        <v>48</v>
      </c>
      <c r="C11" s="44" t="s">
        <v>75</v>
      </c>
      <c r="D11" s="23" t="s">
        <v>31</v>
      </c>
      <c r="E11" s="81">
        <f>(2+4+40)*(6.9*4+19.2*2)+(4+5)*(6.9*4+8.6*4)+(6+10)*(6.9*4+27.4*2)+(3+1)*(6.9*4+39)</f>
        <v>5178.8</v>
      </c>
      <c r="F11" s="82"/>
      <c r="G11" s="82"/>
      <c r="H11" s="82"/>
    </row>
    <row r="12" spans="1:8" ht="46.5" customHeight="1" x14ac:dyDescent="0.15">
      <c r="A12" s="23">
        <v>4</v>
      </c>
      <c r="B12" s="23" t="s">
        <v>50</v>
      </c>
      <c r="C12" s="44" t="s">
        <v>76</v>
      </c>
      <c r="D12" s="23" t="s">
        <v>31</v>
      </c>
      <c r="E12" s="83">
        <v>4915</v>
      </c>
      <c r="F12" s="38"/>
      <c r="G12" s="82"/>
      <c r="H12" s="39"/>
    </row>
    <row r="13" spans="1:8" ht="30" customHeight="1" x14ac:dyDescent="0.15">
      <c r="A13" s="23">
        <v>5</v>
      </c>
      <c r="B13" s="189" t="s">
        <v>231</v>
      </c>
      <c r="C13" s="189"/>
      <c r="D13" s="23" t="s">
        <v>197</v>
      </c>
      <c r="E13" s="81"/>
      <c r="F13" s="51"/>
      <c r="G13" s="51"/>
      <c r="H13" s="46"/>
    </row>
    <row r="14" spans="1:8" ht="30" customHeight="1" x14ac:dyDescent="0.15">
      <c r="A14" s="203" t="s">
        <v>232</v>
      </c>
      <c r="B14" s="203"/>
      <c r="C14" s="203"/>
      <c r="D14" s="122"/>
      <c r="E14" s="122"/>
      <c r="F14" s="122"/>
      <c r="G14" s="122"/>
      <c r="H14" s="122"/>
    </row>
    <row r="15" spans="1:8" ht="30" customHeight="1" x14ac:dyDescent="0.15">
      <c r="A15" s="201" t="s">
        <v>198</v>
      </c>
      <c r="B15" s="201"/>
      <c r="C15" s="201"/>
      <c r="D15" s="44"/>
      <c r="E15" s="85"/>
      <c r="F15" s="38"/>
      <c r="G15" s="38"/>
      <c r="H15" s="46"/>
    </row>
    <row r="16" spans="1:8" ht="32.25" customHeight="1" x14ac:dyDescent="0.15">
      <c r="A16" s="23">
        <v>1</v>
      </c>
      <c r="B16" s="23" t="s">
        <v>52</v>
      </c>
      <c r="C16" s="44" t="str">
        <f>蠡湖隧道市政设施!C18</f>
        <v>配备巡检车辆按照要求对相应设施设备进行日常巡查并记录汇总</v>
      </c>
      <c r="D16" s="23" t="s">
        <v>53</v>
      </c>
      <c r="E16" s="81">
        <f>9830*365/1000</f>
        <v>3587.95</v>
      </c>
      <c r="F16" s="51"/>
      <c r="G16" s="82"/>
      <c r="H16" s="51"/>
    </row>
    <row r="17" spans="1:8" ht="38.25" customHeight="1" x14ac:dyDescent="0.15">
      <c r="A17" s="23">
        <v>2</v>
      </c>
      <c r="B17" s="23" t="str">
        <f>蠡湖隧道市政设施!B19</f>
        <v>隧道保护区巡查</v>
      </c>
      <c r="C17" s="44" t="str">
        <f>蠡湖隧道市政设施!C19</f>
        <v>隧道保护区巡查</v>
      </c>
      <c r="D17" s="23" t="s">
        <v>53</v>
      </c>
      <c r="E17" s="81">
        <f>9830*365/1000</f>
        <v>3587.95</v>
      </c>
      <c r="F17" s="51"/>
      <c r="G17" s="82"/>
      <c r="H17" s="51"/>
    </row>
    <row r="18" spans="1:8" ht="30" customHeight="1" x14ac:dyDescent="0.15">
      <c r="A18" s="23">
        <v>3</v>
      </c>
      <c r="B18" s="189" t="s">
        <v>199</v>
      </c>
      <c r="C18" s="189"/>
      <c r="D18" s="23"/>
      <c r="E18" s="81"/>
      <c r="F18" s="51"/>
      <c r="G18" s="51"/>
      <c r="H18" s="46"/>
    </row>
    <row r="19" spans="1:8" ht="30" customHeight="1" x14ac:dyDescent="0.15">
      <c r="A19" s="201" t="s">
        <v>200</v>
      </c>
      <c r="B19" s="201"/>
      <c r="C19" s="201"/>
      <c r="D19" s="44"/>
      <c r="E19" s="85"/>
      <c r="F19" s="38"/>
      <c r="G19" s="38"/>
      <c r="H19" s="116"/>
    </row>
    <row r="20" spans="1:8" ht="45.75" customHeight="1" x14ac:dyDescent="0.15">
      <c r="A20" s="23">
        <v>1</v>
      </c>
      <c r="B20" s="23" t="s">
        <v>55</v>
      </c>
      <c r="C20" s="44" t="s">
        <v>56</v>
      </c>
      <c r="D20" s="23" t="s">
        <v>53</v>
      </c>
      <c r="E20" s="81">
        <f>9830*12/1000</f>
        <v>117.96</v>
      </c>
      <c r="F20" s="82"/>
      <c r="G20" s="82"/>
      <c r="H20" s="82"/>
    </row>
    <row r="21" spans="1:8" ht="47.25" customHeight="1" x14ac:dyDescent="0.15">
      <c r="A21" s="23">
        <v>2</v>
      </c>
      <c r="B21" s="23" t="s">
        <v>57</v>
      </c>
      <c r="C21" s="44" t="s">
        <v>56</v>
      </c>
      <c r="D21" s="23" t="s">
        <v>53</v>
      </c>
      <c r="E21" s="81">
        <f>9830*12/1000</f>
        <v>117.96</v>
      </c>
      <c r="F21" s="82"/>
      <c r="G21" s="82"/>
      <c r="H21" s="82"/>
    </row>
    <row r="22" spans="1:8" ht="30" customHeight="1" x14ac:dyDescent="0.15">
      <c r="A22" s="23">
        <v>3</v>
      </c>
      <c r="B22" s="189" t="s">
        <v>201</v>
      </c>
      <c r="C22" s="189"/>
      <c r="D22" s="23" t="s">
        <v>197</v>
      </c>
      <c r="E22" s="81"/>
      <c r="F22" s="117"/>
      <c r="G22" s="117"/>
      <c r="H22" s="46"/>
    </row>
    <row r="23" spans="1:8" ht="30" customHeight="1" x14ac:dyDescent="0.15">
      <c r="A23" s="23">
        <v>4</v>
      </c>
      <c r="B23" s="189" t="s">
        <v>230</v>
      </c>
      <c r="C23" s="189"/>
      <c r="D23" s="23" t="s">
        <v>197</v>
      </c>
      <c r="E23" s="81"/>
      <c r="F23" s="82"/>
      <c r="G23" s="82"/>
      <c r="H23" s="82"/>
    </row>
    <row r="24" spans="1:8" ht="24.95" customHeight="1" x14ac:dyDescent="0.15">
      <c r="A24" s="23"/>
      <c r="B24" s="189" t="s">
        <v>203</v>
      </c>
      <c r="C24" s="189"/>
      <c r="D24" s="23" t="s">
        <v>197</v>
      </c>
      <c r="E24" s="86"/>
      <c r="F24" s="118"/>
      <c r="G24" s="118"/>
      <c r="H24" s="46"/>
    </row>
    <row r="25" spans="1:8" ht="24.95" customHeight="1" x14ac:dyDescent="0.15">
      <c r="A25" s="50"/>
      <c r="B25" s="189" t="s">
        <v>202</v>
      </c>
      <c r="C25" s="189"/>
      <c r="D25" s="23" t="s">
        <v>197</v>
      </c>
      <c r="E25" s="87"/>
      <c r="F25" s="118"/>
      <c r="G25" s="118"/>
      <c r="H25" s="46"/>
    </row>
  </sheetData>
  <sheetProtection formatCells="0" formatColumns="0" formatRows="0" insertColumns="0" insertRows="0" insertHyperlinks="0" deleteColumns="0" deleteRows="0" sort="0" autoFilter="0" pivotTables="0"/>
  <mergeCells count="13">
    <mergeCell ref="A1:H1"/>
    <mergeCell ref="A8:C8"/>
    <mergeCell ref="B13:C13"/>
    <mergeCell ref="B24:C24"/>
    <mergeCell ref="B25:C25"/>
    <mergeCell ref="A3:C3"/>
    <mergeCell ref="A14:C14"/>
    <mergeCell ref="A15:C15"/>
    <mergeCell ref="A19:C19"/>
    <mergeCell ref="B18:C18"/>
    <mergeCell ref="B22:C22"/>
    <mergeCell ref="B23:C23"/>
    <mergeCell ref="B7:C7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H29"/>
  <sheetViews>
    <sheetView zoomScaleNormal="100" zoomScaleSheetLayoutView="100" workbookViewId="0">
      <selection activeCell="D26" sqref="D26"/>
    </sheetView>
  </sheetViews>
  <sheetFormatPr defaultColWidth="8.875" defaultRowHeight="18.75" x14ac:dyDescent="0.25"/>
  <cols>
    <col min="1" max="1" width="5.5" style="1" customWidth="1"/>
    <col min="2" max="2" width="10.875" style="2" customWidth="1"/>
    <col min="3" max="3" width="27.625" style="1" customWidth="1"/>
    <col min="4" max="4" width="6.125" style="1" customWidth="1"/>
    <col min="5" max="5" width="11.25" style="3" customWidth="1"/>
    <col min="6" max="6" width="9.75" style="4" customWidth="1"/>
    <col min="7" max="7" width="10.5" style="4" customWidth="1"/>
    <col min="8" max="8" width="9.25" style="5" customWidth="1"/>
    <col min="9" max="9" width="11.75" style="1"/>
    <col min="10" max="16384" width="8.875" style="1"/>
  </cols>
  <sheetData>
    <row r="1" spans="1:8" ht="40.5" customHeight="1" x14ac:dyDescent="0.15">
      <c r="A1" s="199" t="s">
        <v>178</v>
      </c>
      <c r="B1" s="199"/>
      <c r="C1" s="199"/>
      <c r="D1" s="199"/>
      <c r="E1" s="200"/>
      <c r="F1" s="200"/>
      <c r="G1" s="200"/>
      <c r="H1" s="199"/>
    </row>
    <row r="2" spans="1:8" ht="42.7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6.75" customHeight="1" x14ac:dyDescent="0.15">
      <c r="A3" s="201" t="s">
        <v>233</v>
      </c>
      <c r="B3" s="201"/>
      <c r="C3" s="201"/>
      <c r="D3" s="44"/>
      <c r="E3" s="44"/>
      <c r="F3" s="44"/>
      <c r="G3" s="44"/>
      <c r="H3" s="44"/>
    </row>
    <row r="4" spans="1:8" ht="93.75" customHeight="1" x14ac:dyDescent="0.15">
      <c r="A4" s="23">
        <v>1</v>
      </c>
      <c r="B4" s="59" t="s">
        <v>24</v>
      </c>
      <c r="C4" s="44" t="s">
        <v>77</v>
      </c>
      <c r="D4" s="37" t="s">
        <v>59</v>
      </c>
      <c r="E4" s="45">
        <f>697*8.25*2+(973+796)*9.375</f>
        <v>28084.875</v>
      </c>
      <c r="F4" s="38"/>
      <c r="G4" s="38"/>
      <c r="H4" s="39"/>
    </row>
    <row r="5" spans="1:8" ht="129.75" customHeight="1" x14ac:dyDescent="0.15">
      <c r="A5" s="23">
        <v>2</v>
      </c>
      <c r="B5" s="23" t="s">
        <v>27</v>
      </c>
      <c r="C5" s="43" t="s">
        <v>78</v>
      </c>
      <c r="D5" s="37" t="s">
        <v>59</v>
      </c>
      <c r="E5" s="45">
        <f>697*1.1*4+(973+796)*1.1*2</f>
        <v>6958.6</v>
      </c>
      <c r="F5" s="38"/>
      <c r="G5" s="38"/>
      <c r="H5" s="39"/>
    </row>
    <row r="6" spans="1:8" ht="126.75" customHeight="1" x14ac:dyDescent="0.15">
      <c r="A6" s="23">
        <v>3</v>
      </c>
      <c r="B6" s="23" t="s">
        <v>29</v>
      </c>
      <c r="C6" s="44" t="s">
        <v>79</v>
      </c>
      <c r="D6" s="23" t="s">
        <v>31</v>
      </c>
      <c r="E6" s="53">
        <v>202.4</v>
      </c>
      <c r="F6" s="38"/>
      <c r="G6" s="38"/>
      <c r="H6" s="39"/>
    </row>
    <row r="7" spans="1:8" ht="110.25" customHeight="1" x14ac:dyDescent="0.15">
      <c r="A7" s="23">
        <v>4</v>
      </c>
      <c r="B7" s="23" t="s">
        <v>32</v>
      </c>
      <c r="C7" s="44" t="s">
        <v>80</v>
      </c>
      <c r="D7" s="23" t="s">
        <v>31</v>
      </c>
      <c r="E7" s="45">
        <f>697*2+973+796</f>
        <v>3163</v>
      </c>
      <c r="F7" s="38"/>
      <c r="G7" s="38"/>
      <c r="H7" s="39"/>
    </row>
    <row r="8" spans="1:8" ht="67.5" customHeight="1" x14ac:dyDescent="0.15">
      <c r="A8" s="23">
        <v>5</v>
      </c>
      <c r="B8" s="37" t="s">
        <v>34</v>
      </c>
      <c r="C8" s="43" t="s">
        <v>81</v>
      </c>
      <c r="D8" s="23" t="s">
        <v>36</v>
      </c>
      <c r="E8" s="74">
        <v>42</v>
      </c>
      <c r="F8" s="38"/>
      <c r="G8" s="38"/>
      <c r="H8" s="39"/>
    </row>
    <row r="9" spans="1:8" ht="82.5" customHeight="1" x14ac:dyDescent="0.15">
      <c r="A9" s="23">
        <v>6</v>
      </c>
      <c r="B9" s="23" t="s">
        <v>37</v>
      </c>
      <c r="C9" s="43" t="s">
        <v>82</v>
      </c>
      <c r="D9" s="23" t="s">
        <v>36</v>
      </c>
      <c r="E9" s="74">
        <v>42</v>
      </c>
      <c r="F9" s="38"/>
      <c r="G9" s="38"/>
      <c r="H9" s="39"/>
    </row>
    <row r="10" spans="1:8" ht="30" customHeight="1" x14ac:dyDescent="0.15">
      <c r="A10" s="23">
        <v>7</v>
      </c>
      <c r="B10" s="191" t="s">
        <v>234</v>
      </c>
      <c r="C10" s="204"/>
      <c r="D10" s="23" t="s">
        <v>197</v>
      </c>
      <c r="E10" s="45"/>
      <c r="F10" s="38"/>
      <c r="G10" s="38"/>
      <c r="H10" s="60"/>
    </row>
    <row r="11" spans="1:8" ht="33" customHeight="1" x14ac:dyDescent="0.15">
      <c r="A11" s="202" t="s">
        <v>235</v>
      </c>
      <c r="B11" s="202"/>
      <c r="C11" s="202"/>
      <c r="D11" s="43"/>
      <c r="E11" s="43"/>
      <c r="F11" s="43"/>
      <c r="G11" s="43"/>
      <c r="H11" s="43"/>
    </row>
    <row r="12" spans="1:8" ht="116.25" customHeight="1" x14ac:dyDescent="0.15">
      <c r="A12" s="37">
        <v>1</v>
      </c>
      <c r="B12" s="59" t="s">
        <v>40</v>
      </c>
      <c r="C12" s="44" t="s">
        <v>83</v>
      </c>
      <c r="D12" s="37" t="s">
        <v>59</v>
      </c>
      <c r="E12" s="45">
        <f>261*9.37*2+(525+345)*10.575</f>
        <v>14091.39</v>
      </c>
      <c r="F12" s="38"/>
      <c r="G12" s="38"/>
      <c r="H12" s="39"/>
    </row>
    <row r="13" spans="1:8" ht="71.25" customHeight="1" x14ac:dyDescent="0.15">
      <c r="A13" s="37">
        <v>2</v>
      </c>
      <c r="B13" s="23" t="s">
        <v>44</v>
      </c>
      <c r="C13" s="43" t="s">
        <v>45</v>
      </c>
      <c r="D13" s="37" t="s">
        <v>59</v>
      </c>
      <c r="E13" s="45">
        <f>261*3.6*4+(625+445)*3.7*2</f>
        <v>11676.4</v>
      </c>
      <c r="F13" s="38"/>
      <c r="G13" s="38"/>
      <c r="H13" s="39"/>
    </row>
    <row r="14" spans="1:8" ht="94.5" customHeight="1" x14ac:dyDescent="0.15">
      <c r="A14" s="37">
        <v>3</v>
      </c>
      <c r="B14" s="23" t="s">
        <v>46</v>
      </c>
      <c r="C14" s="44" t="s">
        <v>47</v>
      </c>
      <c r="D14" s="37" t="s">
        <v>59</v>
      </c>
      <c r="E14" s="45">
        <f>670*2+388+492*1.6+610*2+147*2*1.6+627*2+155*2*1.6+922*2+250*2*1.6+712*2+186*2*1.6+388*2+30*24</f>
        <v>12114.8</v>
      </c>
      <c r="F14" s="38"/>
      <c r="G14" s="38"/>
      <c r="H14" s="39"/>
    </row>
    <row r="15" spans="1:8" ht="66.75" customHeight="1" x14ac:dyDescent="0.15">
      <c r="A15" s="37">
        <v>4</v>
      </c>
      <c r="B15" s="23" t="s">
        <v>48</v>
      </c>
      <c r="C15" s="44" t="s">
        <v>49</v>
      </c>
      <c r="D15" s="23" t="s">
        <v>31</v>
      </c>
      <c r="E15" s="45">
        <f>4*(20.9*2+6.9*4)+11*(11.6*2+7.7*2)</f>
        <v>702.2</v>
      </c>
      <c r="F15" s="38"/>
      <c r="G15" s="38"/>
      <c r="H15" s="39"/>
    </row>
    <row r="16" spans="1:8" ht="45.75" customHeight="1" x14ac:dyDescent="0.15">
      <c r="A16" s="37">
        <v>5</v>
      </c>
      <c r="B16" s="23" t="s">
        <v>50</v>
      </c>
      <c r="C16" s="44" t="s">
        <v>51</v>
      </c>
      <c r="D16" s="23" t="s">
        <v>31</v>
      </c>
      <c r="E16" s="74">
        <f>(697*2+973+796)/2</f>
        <v>1581.5</v>
      </c>
      <c r="F16" s="38"/>
      <c r="G16" s="38"/>
      <c r="H16" s="39"/>
    </row>
    <row r="17" spans="1:8" ht="39.75" customHeight="1" x14ac:dyDescent="0.15">
      <c r="A17" s="23">
        <v>6</v>
      </c>
      <c r="B17" s="189" t="s">
        <v>236</v>
      </c>
      <c r="C17" s="189"/>
      <c r="D17" s="23" t="s">
        <v>197</v>
      </c>
      <c r="E17" s="45"/>
      <c r="F17" s="38"/>
      <c r="G17" s="38"/>
      <c r="H17" s="39"/>
    </row>
    <row r="18" spans="1:8" ht="36" customHeight="1" x14ac:dyDescent="0.15">
      <c r="A18" s="193" t="s">
        <v>237</v>
      </c>
      <c r="B18" s="205"/>
      <c r="C18" s="206"/>
      <c r="D18" s="47"/>
      <c r="E18" s="47"/>
      <c r="F18" s="47"/>
      <c r="G18" s="47"/>
      <c r="H18" s="47"/>
    </row>
    <row r="19" spans="1:8" ht="36" customHeight="1" x14ac:dyDescent="0.15">
      <c r="A19" s="201" t="s">
        <v>198</v>
      </c>
      <c r="B19" s="201"/>
      <c r="C19" s="201"/>
      <c r="D19" s="44"/>
      <c r="E19" s="44"/>
      <c r="F19" s="44"/>
      <c r="G19" s="44"/>
      <c r="H19" s="44"/>
    </row>
    <row r="20" spans="1:8" ht="36.75" customHeight="1" x14ac:dyDescent="0.15">
      <c r="A20" s="23">
        <v>1</v>
      </c>
      <c r="B20" s="44" t="s">
        <v>52</v>
      </c>
      <c r="C20" s="44" t="s">
        <v>218</v>
      </c>
      <c r="D20" s="23" t="s">
        <v>53</v>
      </c>
      <c r="E20" s="45">
        <f>(1394+973+796)*365/1000</f>
        <v>1154.4949999999999</v>
      </c>
      <c r="F20" s="38"/>
      <c r="G20" s="38"/>
      <c r="H20" s="39"/>
    </row>
    <row r="21" spans="1:8" ht="39.75" customHeight="1" x14ac:dyDescent="0.15">
      <c r="A21" s="23">
        <v>2</v>
      </c>
      <c r="B21" s="44" t="str">
        <f>太湖大道隧道市政设施!B17</f>
        <v>隧道保护区巡查</v>
      </c>
      <c r="C21" s="44" t="s">
        <v>217</v>
      </c>
      <c r="D21" s="23" t="s">
        <v>53</v>
      </c>
      <c r="E21" s="45">
        <f>(1394+973+796)*365/1000</f>
        <v>1154.4949999999999</v>
      </c>
      <c r="F21" s="38"/>
      <c r="G21" s="38"/>
      <c r="H21" s="39"/>
    </row>
    <row r="22" spans="1:8" ht="36" customHeight="1" x14ac:dyDescent="0.15">
      <c r="A22" s="23">
        <v>3</v>
      </c>
      <c r="B22" s="189" t="s">
        <v>199</v>
      </c>
      <c r="C22" s="189"/>
      <c r="D22" s="23" t="s">
        <v>197</v>
      </c>
      <c r="E22" s="45"/>
      <c r="F22" s="38"/>
      <c r="G22" s="38"/>
      <c r="H22" s="39"/>
    </row>
    <row r="23" spans="1:8" ht="29.25" customHeight="1" x14ac:dyDescent="0.15">
      <c r="A23" s="201" t="s">
        <v>200</v>
      </c>
      <c r="B23" s="201"/>
      <c r="C23" s="201"/>
      <c r="D23" s="23"/>
      <c r="E23" s="23"/>
      <c r="F23" s="23"/>
      <c r="G23" s="23"/>
      <c r="H23" s="23"/>
    </row>
    <row r="24" spans="1:8" ht="47.25" customHeight="1" x14ac:dyDescent="0.15">
      <c r="A24" s="23">
        <v>1</v>
      </c>
      <c r="B24" s="23" t="s">
        <v>55</v>
      </c>
      <c r="C24" s="44" t="s">
        <v>56</v>
      </c>
      <c r="D24" s="23" t="s">
        <v>53</v>
      </c>
      <c r="E24" s="45">
        <f>(1394+973+796)*12/1000</f>
        <v>37.956000000000003</v>
      </c>
      <c r="F24" s="38"/>
      <c r="G24" s="38"/>
      <c r="H24" s="39"/>
    </row>
    <row r="25" spans="1:8" ht="39" customHeight="1" x14ac:dyDescent="0.15">
      <c r="A25" s="23">
        <v>2</v>
      </c>
      <c r="B25" s="23" t="s">
        <v>57</v>
      </c>
      <c r="C25" s="44" t="s">
        <v>56</v>
      </c>
      <c r="D25" s="23" t="s">
        <v>53</v>
      </c>
      <c r="E25" s="45">
        <f>(1394+973+796)*12/1000</f>
        <v>37.956000000000003</v>
      </c>
      <c r="F25" s="38"/>
      <c r="G25" s="38"/>
      <c r="H25" s="39"/>
    </row>
    <row r="26" spans="1:8" ht="36.75" customHeight="1" x14ac:dyDescent="0.15">
      <c r="A26" s="23">
        <v>3</v>
      </c>
      <c r="B26" s="189" t="s">
        <v>201</v>
      </c>
      <c r="C26" s="189"/>
      <c r="D26" s="23" t="s">
        <v>197</v>
      </c>
      <c r="E26" s="45"/>
      <c r="F26" s="38"/>
      <c r="G26" s="38"/>
      <c r="H26" s="39"/>
    </row>
    <row r="27" spans="1:8" ht="36" customHeight="1" x14ac:dyDescent="0.15">
      <c r="A27" s="23">
        <v>4</v>
      </c>
      <c r="B27" s="189" t="s">
        <v>238</v>
      </c>
      <c r="C27" s="189"/>
      <c r="D27" s="23" t="s">
        <v>197</v>
      </c>
      <c r="E27" s="45"/>
      <c r="F27" s="38"/>
      <c r="G27" s="38"/>
      <c r="H27" s="39"/>
    </row>
    <row r="28" spans="1:8" ht="33" customHeight="1" x14ac:dyDescent="0.15">
      <c r="A28" s="50"/>
      <c r="B28" s="189" t="s">
        <v>203</v>
      </c>
      <c r="C28" s="189"/>
      <c r="D28" s="23" t="s">
        <v>197</v>
      </c>
      <c r="E28" s="52"/>
      <c r="F28" s="38"/>
      <c r="G28" s="38"/>
      <c r="H28" s="39"/>
    </row>
    <row r="29" spans="1:8" ht="36" customHeight="1" x14ac:dyDescent="0.15">
      <c r="A29" s="50"/>
      <c r="B29" s="189" t="s">
        <v>202</v>
      </c>
      <c r="C29" s="189"/>
      <c r="D29" s="23" t="s">
        <v>197</v>
      </c>
      <c r="E29" s="52"/>
      <c r="F29" s="38"/>
      <c r="G29" s="38"/>
      <c r="H29" s="39"/>
    </row>
  </sheetData>
  <sheetProtection formatCells="0" formatColumns="0" formatRows="0" insertColumns="0" insertRows="0" insertHyperlinks="0" deleteColumns="0" deleteRows="0" sort="0" autoFilter="0" pivotTables="0"/>
  <mergeCells count="13">
    <mergeCell ref="A1:H1"/>
    <mergeCell ref="A11:C11"/>
    <mergeCell ref="B17:C17"/>
    <mergeCell ref="B28:C28"/>
    <mergeCell ref="B29:C29"/>
    <mergeCell ref="A3:C3"/>
    <mergeCell ref="A19:C19"/>
    <mergeCell ref="A23:C23"/>
    <mergeCell ref="B22:C22"/>
    <mergeCell ref="B26:C26"/>
    <mergeCell ref="B27:C27"/>
    <mergeCell ref="B10:C10"/>
    <mergeCell ref="A18:C18"/>
  </mergeCells>
  <phoneticPr fontId="23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H22"/>
  <sheetViews>
    <sheetView topLeftCell="A13" zoomScaleNormal="100" zoomScaleSheetLayoutView="100" workbookViewId="0">
      <selection activeCell="B21" sqref="B21:C21"/>
    </sheetView>
  </sheetViews>
  <sheetFormatPr defaultColWidth="8.875" defaultRowHeight="18.75" x14ac:dyDescent="0.25"/>
  <cols>
    <col min="1" max="1" width="6.625" style="1" customWidth="1"/>
    <col min="2" max="2" width="9.5" style="2" customWidth="1"/>
    <col min="3" max="3" width="34.875" style="1" customWidth="1"/>
    <col min="4" max="4" width="6.125" style="1" customWidth="1"/>
    <col min="5" max="5" width="9.75" style="3" customWidth="1"/>
    <col min="6" max="6" width="8.375" style="76" customWidth="1"/>
    <col min="7" max="7" width="9.375" style="76" customWidth="1"/>
    <col min="8" max="8" width="9" style="5" customWidth="1"/>
    <col min="9" max="9" width="8.875" style="1"/>
    <col min="10" max="10" width="11.875" style="1"/>
    <col min="11" max="16384" width="8.875" style="1"/>
  </cols>
  <sheetData>
    <row r="1" spans="1:8" ht="45" customHeight="1" x14ac:dyDescent="0.15">
      <c r="A1" s="199" t="s">
        <v>179</v>
      </c>
      <c r="B1" s="199"/>
      <c r="C1" s="199"/>
      <c r="D1" s="199"/>
      <c r="E1" s="200"/>
      <c r="F1" s="200"/>
      <c r="G1" s="200"/>
      <c r="H1" s="199"/>
    </row>
    <row r="2" spans="1:8" ht="51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7.5" customHeight="1" x14ac:dyDescent="0.15">
      <c r="A3" s="201" t="s">
        <v>239</v>
      </c>
      <c r="B3" s="201"/>
      <c r="C3" s="201"/>
      <c r="D3" s="44"/>
      <c r="E3" s="44"/>
      <c r="F3" s="80"/>
      <c r="G3" s="80"/>
      <c r="H3" s="80"/>
    </row>
    <row r="4" spans="1:8" ht="78.95" customHeight="1" x14ac:dyDescent="0.15">
      <c r="A4" s="23">
        <v>1</v>
      </c>
      <c r="B4" s="59" t="s">
        <v>24</v>
      </c>
      <c r="C4" s="44" t="s">
        <v>77</v>
      </c>
      <c r="D4" s="37" t="s">
        <v>59</v>
      </c>
      <c r="E4" s="45">
        <f>(1576+1555)*12</f>
        <v>37572</v>
      </c>
      <c r="F4" s="16"/>
      <c r="G4" s="16"/>
      <c r="H4" s="16"/>
    </row>
    <row r="5" spans="1:8" ht="36.75" customHeight="1" x14ac:dyDescent="0.15">
      <c r="A5" s="23">
        <v>2</v>
      </c>
      <c r="B5" s="189" t="s">
        <v>242</v>
      </c>
      <c r="C5" s="201"/>
      <c r="D5" s="23" t="s">
        <v>197</v>
      </c>
      <c r="E5" s="45"/>
      <c r="F5" s="38"/>
      <c r="G5" s="38"/>
      <c r="H5" s="60"/>
    </row>
    <row r="6" spans="1:8" ht="32.25" customHeight="1" x14ac:dyDescent="0.15">
      <c r="A6" s="202" t="s">
        <v>240</v>
      </c>
      <c r="B6" s="202"/>
      <c r="C6" s="202"/>
      <c r="D6" s="43"/>
      <c r="E6" s="43"/>
      <c r="F6" s="119"/>
      <c r="G6" s="119"/>
      <c r="H6" s="119"/>
    </row>
    <row r="7" spans="1:8" ht="75.75" customHeight="1" x14ac:dyDescent="0.15">
      <c r="A7" s="23">
        <v>1</v>
      </c>
      <c r="B7" s="23" t="s">
        <v>84</v>
      </c>
      <c r="C7" s="44" t="s">
        <v>85</v>
      </c>
      <c r="D7" s="37" t="s">
        <v>59</v>
      </c>
      <c r="E7" s="45">
        <f>(1576+1555)*3.53*2</f>
        <v>22104.86</v>
      </c>
      <c r="F7" s="38"/>
      <c r="G7" s="16"/>
      <c r="H7" s="17"/>
    </row>
    <row r="8" spans="1:8" ht="80.25" customHeight="1" x14ac:dyDescent="0.15">
      <c r="A8" s="23">
        <v>2</v>
      </c>
      <c r="B8" s="59" t="s">
        <v>86</v>
      </c>
      <c r="C8" s="43" t="s">
        <v>87</v>
      </c>
      <c r="D8" s="37" t="s">
        <v>59</v>
      </c>
      <c r="E8" s="45">
        <f>(1576+1555)*15</f>
        <v>46965</v>
      </c>
      <c r="F8" s="38"/>
      <c r="G8" s="16"/>
      <c r="H8" s="17"/>
    </row>
    <row r="9" spans="1:8" ht="96.75" customHeight="1" x14ac:dyDescent="0.15">
      <c r="A9" s="23">
        <v>3</v>
      </c>
      <c r="B9" s="59" t="s">
        <v>88</v>
      </c>
      <c r="C9" s="43" t="s">
        <v>89</v>
      </c>
      <c r="D9" s="37" t="s">
        <v>59</v>
      </c>
      <c r="E9" s="45">
        <f>(1576+1555)*2*0.51</f>
        <v>3193.62</v>
      </c>
      <c r="F9" s="38"/>
      <c r="G9" s="16"/>
      <c r="H9" s="17"/>
    </row>
    <row r="10" spans="1:8" ht="40.5" customHeight="1" x14ac:dyDescent="0.15">
      <c r="A10" s="23">
        <v>4</v>
      </c>
      <c r="B10" s="189" t="s">
        <v>241</v>
      </c>
      <c r="C10" s="189"/>
      <c r="D10" s="23" t="s">
        <v>197</v>
      </c>
      <c r="E10" s="45"/>
      <c r="F10" s="38"/>
      <c r="G10" s="38"/>
      <c r="H10" s="39"/>
    </row>
    <row r="11" spans="1:8" ht="38.25" customHeight="1" x14ac:dyDescent="0.15">
      <c r="A11" s="203" t="s">
        <v>243</v>
      </c>
      <c r="B11" s="203"/>
      <c r="C11" s="203"/>
      <c r="D11" s="47"/>
      <c r="E11" s="47"/>
      <c r="F11" s="120"/>
      <c r="G11" s="120"/>
      <c r="H11" s="120"/>
    </row>
    <row r="12" spans="1:8" ht="36" customHeight="1" x14ac:dyDescent="0.15">
      <c r="A12" s="201" t="s">
        <v>198</v>
      </c>
      <c r="B12" s="201"/>
      <c r="C12" s="201"/>
      <c r="D12" s="44"/>
      <c r="E12" s="49"/>
      <c r="F12" s="38"/>
      <c r="G12" s="38"/>
      <c r="H12" s="39"/>
    </row>
    <row r="13" spans="1:8" ht="36" customHeight="1" x14ac:dyDescent="0.15">
      <c r="A13" s="23">
        <v>1</v>
      </c>
      <c r="B13" s="23" t="s">
        <v>52</v>
      </c>
      <c r="C13" s="44" t="s">
        <v>218</v>
      </c>
      <c r="D13" s="23" t="s">
        <v>53</v>
      </c>
      <c r="E13" s="45">
        <f>3131*365/1000</f>
        <v>1142.8150000000001</v>
      </c>
      <c r="F13" s="38"/>
      <c r="G13" s="16"/>
      <c r="H13" s="39"/>
    </row>
    <row r="14" spans="1:8" ht="45" customHeight="1" x14ac:dyDescent="0.15">
      <c r="A14" s="23">
        <v>2</v>
      </c>
      <c r="B14" s="23" t="str">
        <f>金城隧道市政设施!B21</f>
        <v>隧道保护区巡查</v>
      </c>
      <c r="C14" s="44" t="s">
        <v>217</v>
      </c>
      <c r="D14" s="23" t="str">
        <f>金城隧道市政设施!D21</f>
        <v>1000m</v>
      </c>
      <c r="E14" s="45">
        <f>3131*365/1000</f>
        <v>1142.8150000000001</v>
      </c>
      <c r="F14" s="38"/>
      <c r="G14" s="16"/>
      <c r="H14" s="39"/>
    </row>
    <row r="15" spans="1:8" ht="35.25" customHeight="1" x14ac:dyDescent="0.15">
      <c r="A15" s="50">
        <v>3</v>
      </c>
      <c r="B15" s="189" t="s">
        <v>39</v>
      </c>
      <c r="C15" s="189"/>
      <c r="D15" s="23"/>
      <c r="E15" s="45"/>
      <c r="F15" s="38"/>
      <c r="G15" s="38"/>
      <c r="H15" s="39"/>
    </row>
    <row r="16" spans="1:8" ht="31.5" customHeight="1" x14ac:dyDescent="0.15">
      <c r="A16" s="201" t="s">
        <v>200</v>
      </c>
      <c r="B16" s="201"/>
      <c r="C16" s="201"/>
      <c r="D16" s="44"/>
      <c r="E16" s="49"/>
      <c r="F16" s="38"/>
      <c r="G16" s="38"/>
      <c r="H16" s="39"/>
    </row>
    <row r="17" spans="1:8" ht="48" customHeight="1" x14ac:dyDescent="0.15">
      <c r="A17" s="23">
        <v>1</v>
      </c>
      <c r="B17" s="23" t="s">
        <v>55</v>
      </c>
      <c r="C17" s="44" t="s">
        <v>56</v>
      </c>
      <c r="D17" s="23" t="s">
        <v>53</v>
      </c>
      <c r="E17" s="45">
        <f>3131*12/1000</f>
        <v>37.572000000000003</v>
      </c>
      <c r="F17" s="38"/>
      <c r="G17" s="16"/>
      <c r="H17" s="39"/>
    </row>
    <row r="18" spans="1:8" ht="48" customHeight="1" x14ac:dyDescent="0.15">
      <c r="A18" s="23">
        <v>2</v>
      </c>
      <c r="B18" s="23" t="s">
        <v>57</v>
      </c>
      <c r="C18" s="44" t="s">
        <v>56</v>
      </c>
      <c r="D18" s="23" t="s">
        <v>53</v>
      </c>
      <c r="E18" s="45">
        <f>3131*12/1000</f>
        <v>37.572000000000003</v>
      </c>
      <c r="F18" s="38"/>
      <c r="G18" s="16"/>
      <c r="H18" s="39"/>
    </row>
    <row r="19" spans="1:8" ht="37.5" customHeight="1" x14ac:dyDescent="0.15">
      <c r="A19" s="23">
        <v>3</v>
      </c>
      <c r="B19" s="189" t="s">
        <v>201</v>
      </c>
      <c r="C19" s="189"/>
      <c r="D19" s="23" t="s">
        <v>197</v>
      </c>
      <c r="E19" s="45"/>
      <c r="F19" s="51"/>
      <c r="G19" s="51"/>
      <c r="H19" s="39"/>
    </row>
    <row r="20" spans="1:8" ht="34.5" customHeight="1" x14ac:dyDescent="0.15">
      <c r="A20" s="23">
        <v>4</v>
      </c>
      <c r="B20" s="189" t="s">
        <v>244</v>
      </c>
      <c r="C20" s="189"/>
      <c r="D20" s="23" t="s">
        <v>197</v>
      </c>
      <c r="E20" s="45"/>
      <c r="F20" s="38"/>
      <c r="G20" s="38"/>
      <c r="H20" s="39"/>
    </row>
    <row r="21" spans="1:8" ht="34.5" customHeight="1" x14ac:dyDescent="0.15">
      <c r="A21" s="50"/>
      <c r="B21" s="189" t="s">
        <v>203</v>
      </c>
      <c r="C21" s="189"/>
      <c r="D21" s="23" t="s">
        <v>197</v>
      </c>
      <c r="E21" s="52"/>
      <c r="F21" s="38"/>
      <c r="G21" s="38"/>
      <c r="H21" s="39"/>
    </row>
    <row r="22" spans="1:8" ht="34.5" customHeight="1" x14ac:dyDescent="0.15">
      <c r="A22" s="50"/>
      <c r="B22" s="189" t="s">
        <v>202</v>
      </c>
      <c r="C22" s="189"/>
      <c r="D22" s="23" t="s">
        <v>197</v>
      </c>
      <c r="E22" s="52"/>
      <c r="F22" s="38"/>
      <c r="G22" s="38"/>
      <c r="H22" s="39"/>
    </row>
  </sheetData>
  <sheetProtection formatCells="0" formatColumns="0" formatRows="0" insertColumns="0" insertRows="0" insertHyperlinks="0" deleteColumns="0" deleteRows="0" sort="0" autoFilter="0" pivotTables="0"/>
  <mergeCells count="13">
    <mergeCell ref="B22:C22"/>
    <mergeCell ref="A3:C3"/>
    <mergeCell ref="A6:C6"/>
    <mergeCell ref="A11:C11"/>
    <mergeCell ref="A12:C12"/>
    <mergeCell ref="A16:C16"/>
    <mergeCell ref="B15:C15"/>
    <mergeCell ref="B19:C19"/>
    <mergeCell ref="A1:H1"/>
    <mergeCell ref="B5:C5"/>
    <mergeCell ref="B10:C10"/>
    <mergeCell ref="B20:C20"/>
    <mergeCell ref="B21:C21"/>
  </mergeCells>
  <phoneticPr fontId="23" type="noConversion"/>
  <pageMargins left="0.59055118110236227" right="0.59055118110236227" top="0.59055118110236227" bottom="0.47244094488188981" header="0" footer="0"/>
  <pageSetup paperSize="9" scale="98" fitToHeight="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pageSetUpPr fitToPage="1"/>
  </sheetPr>
  <dimension ref="A1:H26"/>
  <sheetViews>
    <sheetView topLeftCell="A16" zoomScaleNormal="100" zoomScaleSheetLayoutView="100" workbookViewId="0">
      <selection activeCell="E23" sqref="E23"/>
    </sheetView>
  </sheetViews>
  <sheetFormatPr defaultColWidth="8.875" defaultRowHeight="18.75" x14ac:dyDescent="0.25"/>
  <cols>
    <col min="1" max="1" width="5.5" style="1" customWidth="1"/>
    <col min="2" max="2" width="9.875" style="2" customWidth="1"/>
    <col min="3" max="3" width="36.75" style="1" customWidth="1"/>
    <col min="4" max="4" width="6.75" style="1" customWidth="1"/>
    <col min="5" max="5" width="9.625" style="3" customWidth="1"/>
    <col min="6" max="6" width="9.25" style="4" customWidth="1"/>
    <col min="7" max="7" width="9.75" style="4" customWidth="1"/>
    <col min="8" max="8" width="7.875" style="5" customWidth="1"/>
    <col min="9" max="16384" width="8.875" style="1"/>
  </cols>
  <sheetData>
    <row r="1" spans="1:8" ht="48.75" customHeight="1" x14ac:dyDescent="0.15">
      <c r="A1" s="199" t="s">
        <v>189</v>
      </c>
      <c r="B1" s="199"/>
      <c r="C1" s="199"/>
      <c r="D1" s="199"/>
      <c r="E1" s="199"/>
      <c r="F1" s="199"/>
      <c r="G1" s="199"/>
      <c r="H1" s="199"/>
    </row>
    <row r="2" spans="1:8" ht="49.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39.75" customHeight="1" x14ac:dyDescent="0.15">
      <c r="A3" s="201" t="s">
        <v>245</v>
      </c>
      <c r="B3" s="201"/>
      <c r="C3" s="201"/>
      <c r="D3" s="44"/>
      <c r="E3" s="44"/>
      <c r="F3" s="80"/>
      <c r="G3" s="80"/>
      <c r="H3" s="80"/>
    </row>
    <row r="4" spans="1:8" ht="81.75" customHeight="1" x14ac:dyDescent="0.15">
      <c r="A4" s="137">
        <v>1</v>
      </c>
      <c r="B4" s="137" t="s">
        <v>142</v>
      </c>
      <c r="C4" s="135" t="s">
        <v>171</v>
      </c>
      <c r="D4" s="137" t="s">
        <v>168</v>
      </c>
      <c r="E4" s="142">
        <v>8001.9</v>
      </c>
      <c r="F4" s="138"/>
      <c r="G4" s="138"/>
      <c r="H4" s="139"/>
    </row>
    <row r="5" spans="1:8" ht="60" x14ac:dyDescent="0.15">
      <c r="A5" s="137">
        <v>2</v>
      </c>
      <c r="B5" s="130" t="s">
        <v>143</v>
      </c>
      <c r="C5" s="135" t="s">
        <v>172</v>
      </c>
      <c r="D5" s="137" t="s">
        <v>168</v>
      </c>
      <c r="E5" s="142">
        <v>4555</v>
      </c>
      <c r="F5" s="138"/>
      <c r="G5" s="138"/>
      <c r="H5" s="139"/>
    </row>
    <row r="6" spans="1:8" ht="78" customHeight="1" x14ac:dyDescent="0.15">
      <c r="A6" s="137">
        <v>3</v>
      </c>
      <c r="B6" s="137" t="s">
        <v>157</v>
      </c>
      <c r="C6" s="135" t="s">
        <v>173</v>
      </c>
      <c r="D6" s="137" t="s">
        <v>31</v>
      </c>
      <c r="E6" s="142">
        <v>1050</v>
      </c>
      <c r="F6" s="140"/>
      <c r="G6" s="138"/>
      <c r="H6" s="140"/>
    </row>
    <row r="7" spans="1:8" ht="39.75" customHeight="1" x14ac:dyDescent="0.15">
      <c r="A7" s="137">
        <v>4</v>
      </c>
      <c r="B7" s="207" t="s">
        <v>247</v>
      </c>
      <c r="C7" s="208"/>
      <c r="D7" s="177" t="s">
        <v>197</v>
      </c>
      <c r="E7" s="141"/>
      <c r="F7" s="138"/>
      <c r="G7" s="138"/>
      <c r="H7" s="143"/>
    </row>
    <row r="8" spans="1:8" ht="37.5" customHeight="1" x14ac:dyDescent="0.15">
      <c r="A8" s="209" t="s">
        <v>246</v>
      </c>
      <c r="B8" s="210"/>
      <c r="C8" s="210"/>
      <c r="D8" s="135"/>
      <c r="E8" s="135"/>
      <c r="F8" s="144"/>
      <c r="G8" s="144"/>
      <c r="H8" s="144"/>
    </row>
    <row r="9" spans="1:8" ht="67.5" customHeight="1" x14ac:dyDescent="0.15">
      <c r="A9" s="137">
        <v>1</v>
      </c>
      <c r="B9" s="137" t="s">
        <v>166</v>
      </c>
      <c r="C9" s="135" t="s">
        <v>169</v>
      </c>
      <c r="D9" s="137" t="s">
        <v>168</v>
      </c>
      <c r="E9" s="142">
        <v>17576.099999999999</v>
      </c>
      <c r="F9" s="138"/>
      <c r="G9" s="138"/>
      <c r="H9" s="140"/>
    </row>
    <row r="10" spans="1:8" ht="57.75" customHeight="1" x14ac:dyDescent="0.15">
      <c r="A10" s="137">
        <v>2</v>
      </c>
      <c r="B10" s="137" t="s">
        <v>167</v>
      </c>
      <c r="C10" s="135" t="s">
        <v>170</v>
      </c>
      <c r="D10" s="137" t="s">
        <v>168</v>
      </c>
      <c r="E10" s="142">
        <v>1364</v>
      </c>
      <c r="F10" s="138"/>
      <c r="G10" s="138"/>
      <c r="H10" s="140"/>
    </row>
    <row r="11" spans="1:8" ht="88.5" customHeight="1" x14ac:dyDescent="0.15">
      <c r="A11" s="23">
        <v>3</v>
      </c>
      <c r="B11" s="59" t="s">
        <v>86</v>
      </c>
      <c r="C11" s="43" t="s">
        <v>144</v>
      </c>
      <c r="D11" s="37" t="s">
        <v>59</v>
      </c>
      <c r="E11" s="45">
        <v>8001.9</v>
      </c>
      <c r="F11" s="38"/>
      <c r="G11" s="38"/>
      <c r="H11" s="39"/>
    </row>
    <row r="12" spans="1:8" ht="81" customHeight="1" x14ac:dyDescent="0.15">
      <c r="A12" s="23">
        <v>4</v>
      </c>
      <c r="B12" s="14" t="s">
        <v>145</v>
      </c>
      <c r="C12" s="44" t="s">
        <v>146</v>
      </c>
      <c r="D12" s="23" t="s">
        <v>31</v>
      </c>
      <c r="E12" s="42">
        <v>270</v>
      </c>
      <c r="F12" s="38"/>
      <c r="G12" s="38"/>
      <c r="H12" s="39"/>
    </row>
    <row r="13" spans="1:8" ht="81" customHeight="1" x14ac:dyDescent="0.15">
      <c r="A13" s="23">
        <v>5</v>
      </c>
      <c r="B13" s="13" t="s">
        <v>147</v>
      </c>
      <c r="C13" s="44" t="s">
        <v>148</v>
      </c>
      <c r="D13" s="23" t="s">
        <v>31</v>
      </c>
      <c r="E13" s="42">
        <v>100</v>
      </c>
      <c r="F13" s="38"/>
      <c r="G13" s="38"/>
      <c r="H13" s="39"/>
    </row>
    <row r="14" spans="1:8" ht="35.1" customHeight="1" x14ac:dyDescent="0.15">
      <c r="A14" s="23">
        <v>6</v>
      </c>
      <c r="B14" s="189" t="s">
        <v>248</v>
      </c>
      <c r="C14" s="189"/>
      <c r="D14" s="23" t="s">
        <v>197</v>
      </c>
      <c r="E14" s="45"/>
      <c r="F14" s="38"/>
      <c r="G14" s="38"/>
      <c r="H14" s="46"/>
    </row>
    <row r="15" spans="1:8" ht="35.1" customHeight="1" x14ac:dyDescent="0.15">
      <c r="A15" s="203" t="s">
        <v>249</v>
      </c>
      <c r="B15" s="203"/>
      <c r="C15" s="203"/>
      <c r="D15" s="47"/>
      <c r="E15" s="48"/>
      <c r="F15" s="38"/>
      <c r="G15" s="38"/>
      <c r="H15" s="46"/>
    </row>
    <row r="16" spans="1:8" ht="35.1" customHeight="1" x14ac:dyDescent="0.15">
      <c r="A16" s="201" t="s">
        <v>198</v>
      </c>
      <c r="B16" s="189"/>
      <c r="C16" s="201"/>
      <c r="D16" s="201"/>
      <c r="E16" s="211"/>
      <c r="F16" s="38"/>
      <c r="G16" s="38"/>
      <c r="H16" s="46"/>
    </row>
    <row r="17" spans="1:8" ht="62.25" customHeight="1" x14ac:dyDescent="0.15">
      <c r="A17" s="23">
        <v>1</v>
      </c>
      <c r="B17" s="23" t="s">
        <v>52</v>
      </c>
      <c r="C17" s="44" t="s">
        <v>218</v>
      </c>
      <c r="D17" s="23" t="s">
        <v>53</v>
      </c>
      <c r="E17" s="41">
        <f>1050*365/1000</f>
        <v>383.25</v>
      </c>
      <c r="F17" s="38"/>
      <c r="G17" s="38"/>
      <c r="H17" s="39"/>
    </row>
    <row r="18" spans="1:8" ht="48.75" customHeight="1" x14ac:dyDescent="0.15">
      <c r="A18" s="23">
        <v>2</v>
      </c>
      <c r="B18" s="23" t="str">
        <f>广通立交市政设施!B17</f>
        <v>隧道保护区巡查</v>
      </c>
      <c r="C18" s="44" t="s">
        <v>217</v>
      </c>
      <c r="D18" s="23" t="str">
        <f>广通立交市政设施!D17</f>
        <v>1000m</v>
      </c>
      <c r="E18" s="41">
        <f>1050*365/1000</f>
        <v>383.25</v>
      </c>
      <c r="F18" s="38"/>
      <c r="G18" s="38"/>
      <c r="H18" s="39"/>
    </row>
    <row r="19" spans="1:8" ht="35.1" customHeight="1" x14ac:dyDescent="0.15">
      <c r="A19" s="23">
        <v>3</v>
      </c>
      <c r="B19" s="189" t="s">
        <v>199</v>
      </c>
      <c r="C19" s="189"/>
      <c r="D19" s="23" t="s">
        <v>197</v>
      </c>
      <c r="E19" s="45"/>
      <c r="F19" s="51"/>
      <c r="G19" s="51"/>
      <c r="H19" s="51"/>
    </row>
    <row r="20" spans="1:8" ht="35.1" customHeight="1" x14ac:dyDescent="0.15">
      <c r="A20" s="201" t="s">
        <v>200</v>
      </c>
      <c r="B20" s="201"/>
      <c r="C20" s="201"/>
      <c r="D20" s="44"/>
      <c r="E20" s="49"/>
      <c r="F20" s="38"/>
      <c r="G20" s="38"/>
      <c r="H20" s="39"/>
    </row>
    <row r="21" spans="1:8" ht="35.1" customHeight="1" x14ac:dyDescent="0.15">
      <c r="A21" s="23">
        <v>1</v>
      </c>
      <c r="B21" s="23" t="s">
        <v>55</v>
      </c>
      <c r="C21" s="44" t="s">
        <v>56</v>
      </c>
      <c r="D21" s="23" t="s">
        <v>53</v>
      </c>
      <c r="E21" s="41">
        <f>1050*12/1000</f>
        <v>12.6</v>
      </c>
      <c r="F21" s="38"/>
      <c r="G21" s="38"/>
      <c r="H21" s="39"/>
    </row>
    <row r="22" spans="1:8" ht="35.1" customHeight="1" x14ac:dyDescent="0.15">
      <c r="A22" s="23">
        <v>2</v>
      </c>
      <c r="B22" s="23" t="s">
        <v>57</v>
      </c>
      <c r="C22" s="44" t="s">
        <v>56</v>
      </c>
      <c r="D22" s="23" t="s">
        <v>53</v>
      </c>
      <c r="E22" s="41">
        <f>1050*12/1000</f>
        <v>12.6</v>
      </c>
      <c r="F22" s="38"/>
      <c r="G22" s="38"/>
      <c r="H22" s="39"/>
    </row>
    <row r="23" spans="1:8" ht="35.1" customHeight="1" x14ac:dyDescent="0.15">
      <c r="A23" s="23">
        <v>3</v>
      </c>
      <c r="B23" s="189" t="s">
        <v>201</v>
      </c>
      <c r="C23" s="189"/>
      <c r="D23" s="23" t="s">
        <v>197</v>
      </c>
      <c r="E23" s="45"/>
      <c r="F23" s="51"/>
      <c r="G23" s="51"/>
      <c r="H23" s="46"/>
    </row>
    <row r="24" spans="1:8" ht="35.1" customHeight="1" x14ac:dyDescent="0.15">
      <c r="A24" s="23">
        <v>4</v>
      </c>
      <c r="B24" s="189" t="s">
        <v>250</v>
      </c>
      <c r="C24" s="189"/>
      <c r="D24" s="23" t="s">
        <v>197</v>
      </c>
      <c r="E24" s="45"/>
      <c r="F24" s="51"/>
      <c r="G24" s="51"/>
      <c r="H24" s="46"/>
    </row>
    <row r="25" spans="1:8" ht="35.1" customHeight="1" x14ac:dyDescent="0.15">
      <c r="A25" s="50"/>
      <c r="B25" s="189" t="s">
        <v>203</v>
      </c>
      <c r="C25" s="189"/>
      <c r="D25" s="23" t="s">
        <v>197</v>
      </c>
      <c r="E25" s="52"/>
      <c r="F25" s="38"/>
      <c r="G25" s="38"/>
      <c r="H25" s="46"/>
    </row>
    <row r="26" spans="1:8" ht="35.1" customHeight="1" x14ac:dyDescent="0.15">
      <c r="A26" s="50"/>
      <c r="B26" s="189" t="s">
        <v>202</v>
      </c>
      <c r="C26" s="189"/>
      <c r="D26" s="23" t="s">
        <v>197</v>
      </c>
      <c r="E26" s="52"/>
      <c r="F26" s="38"/>
      <c r="G26" s="38"/>
      <c r="H26" s="46"/>
    </row>
  </sheetData>
  <mergeCells count="13">
    <mergeCell ref="B26:C26"/>
    <mergeCell ref="A3:C3"/>
    <mergeCell ref="A8:C8"/>
    <mergeCell ref="A15:C15"/>
    <mergeCell ref="A20:C20"/>
    <mergeCell ref="A16:E16"/>
    <mergeCell ref="B19:C19"/>
    <mergeCell ref="B23:C23"/>
    <mergeCell ref="A1:H1"/>
    <mergeCell ref="B7:C7"/>
    <mergeCell ref="B14:C14"/>
    <mergeCell ref="B24:C24"/>
    <mergeCell ref="B25:C25"/>
  </mergeCells>
  <phoneticPr fontId="23" type="noConversion"/>
  <pageMargins left="0.51181102362204722" right="0.51181102362204722" top="0.55118110236220474" bottom="0.55118110236220474" header="0" footer="0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pageSetUpPr fitToPage="1"/>
  </sheetPr>
  <dimension ref="A1:H27"/>
  <sheetViews>
    <sheetView topLeftCell="A16" zoomScaleNormal="100" zoomScaleSheetLayoutView="100" workbookViewId="0">
      <selection activeCell="B26" sqref="B26:C26"/>
    </sheetView>
  </sheetViews>
  <sheetFormatPr defaultColWidth="8.875" defaultRowHeight="18.75" x14ac:dyDescent="0.25"/>
  <cols>
    <col min="1" max="1" width="5.125" style="1" customWidth="1"/>
    <col min="2" max="2" width="10.75" style="2" customWidth="1"/>
    <col min="3" max="3" width="32.75" style="1" customWidth="1"/>
    <col min="4" max="4" width="6.125" style="1" customWidth="1"/>
    <col min="5" max="5" width="10.25" style="3" customWidth="1"/>
    <col min="6" max="6" width="10.625" style="4" customWidth="1"/>
    <col min="7" max="7" width="10" style="4" customWidth="1"/>
    <col min="8" max="8" width="9" style="5" customWidth="1"/>
    <col min="9" max="9" width="11.875" style="1"/>
    <col min="10" max="16384" width="8.875" style="1"/>
  </cols>
  <sheetData>
    <row r="1" spans="1:8" ht="46.5" customHeight="1" x14ac:dyDescent="0.15">
      <c r="A1" s="199" t="s">
        <v>180</v>
      </c>
      <c r="B1" s="199"/>
      <c r="C1" s="199"/>
      <c r="D1" s="199"/>
      <c r="E1" s="200"/>
      <c r="F1" s="200"/>
      <c r="G1" s="200"/>
      <c r="H1" s="199"/>
    </row>
    <row r="2" spans="1:8" ht="45.75" customHeight="1" x14ac:dyDescent="0.15">
      <c r="A2" s="6" t="s">
        <v>17</v>
      </c>
      <c r="B2" s="6" t="s">
        <v>19</v>
      </c>
      <c r="C2" s="6" t="s">
        <v>20</v>
      </c>
      <c r="D2" s="6" t="s">
        <v>193</v>
      </c>
      <c r="E2" s="7" t="s">
        <v>194</v>
      </c>
      <c r="F2" s="8" t="s">
        <v>21</v>
      </c>
      <c r="G2" s="8" t="s">
        <v>22</v>
      </c>
      <c r="H2" s="6" t="s">
        <v>23</v>
      </c>
    </row>
    <row r="3" spans="1:8" ht="43.5" customHeight="1" x14ac:dyDescent="0.15">
      <c r="A3" s="201" t="s">
        <v>251</v>
      </c>
      <c r="B3" s="201"/>
      <c r="C3" s="201"/>
      <c r="D3" s="44"/>
      <c r="E3" s="44"/>
      <c r="F3" s="80"/>
      <c r="G3" s="80"/>
      <c r="H3" s="80"/>
    </row>
    <row r="4" spans="1:8" ht="87.75" customHeight="1" x14ac:dyDescent="0.15">
      <c r="A4" s="23">
        <v>1</v>
      </c>
      <c r="B4" s="23" t="s">
        <v>24</v>
      </c>
      <c r="C4" s="44" t="s">
        <v>77</v>
      </c>
      <c r="D4" s="37" t="s">
        <v>59</v>
      </c>
      <c r="E4" s="45">
        <f>425*(8.25+4.5)*2</f>
        <v>10837.5</v>
      </c>
      <c r="F4" s="38"/>
      <c r="G4" s="38"/>
      <c r="H4" s="39"/>
    </row>
    <row r="5" spans="1:8" ht="112.5" customHeight="1" x14ac:dyDescent="0.15">
      <c r="A5" s="23">
        <v>2</v>
      </c>
      <c r="B5" s="59" t="s">
        <v>29</v>
      </c>
      <c r="C5" s="44" t="s">
        <v>90</v>
      </c>
      <c r="D5" s="23" t="s">
        <v>31</v>
      </c>
      <c r="E5" s="45">
        <f>5*8.25*2</f>
        <v>82.5</v>
      </c>
      <c r="F5" s="38"/>
      <c r="G5" s="38"/>
      <c r="H5" s="39"/>
    </row>
    <row r="6" spans="1:8" ht="68.25" customHeight="1" x14ac:dyDescent="0.15">
      <c r="A6" s="23">
        <v>3</v>
      </c>
      <c r="B6" s="23" t="s">
        <v>34</v>
      </c>
      <c r="C6" s="43" t="s">
        <v>91</v>
      </c>
      <c r="D6" s="23" t="s">
        <v>36</v>
      </c>
      <c r="E6" s="74">
        <v>4</v>
      </c>
      <c r="F6" s="38"/>
      <c r="G6" s="38"/>
      <c r="H6" s="39"/>
    </row>
    <row r="7" spans="1:8" ht="39.75" customHeight="1" x14ac:dyDescent="0.15">
      <c r="A7" s="23">
        <v>4</v>
      </c>
      <c r="B7" s="189" t="s">
        <v>252</v>
      </c>
      <c r="C7" s="189"/>
      <c r="D7" s="23" t="s">
        <v>197</v>
      </c>
      <c r="E7" s="45"/>
      <c r="F7" s="51"/>
      <c r="G7" s="51"/>
      <c r="H7" s="60"/>
    </row>
    <row r="8" spans="1:8" ht="39" customHeight="1" x14ac:dyDescent="0.25">
      <c r="A8" s="202" t="s">
        <v>253</v>
      </c>
      <c r="B8" s="201"/>
      <c r="C8" s="201"/>
      <c r="D8" s="40"/>
      <c r="E8" s="57"/>
      <c r="F8" s="124"/>
      <c r="G8" s="124"/>
      <c r="H8" s="125"/>
    </row>
    <row r="9" spans="1:8" ht="60.75" customHeight="1" x14ac:dyDescent="0.15">
      <c r="A9" s="23">
        <v>1</v>
      </c>
      <c r="B9" s="23" t="s">
        <v>40</v>
      </c>
      <c r="C9" s="44" t="s">
        <v>41</v>
      </c>
      <c r="D9" s="37" t="s">
        <v>59</v>
      </c>
      <c r="E9" s="45">
        <f>104*(9+6.5)*2</f>
        <v>3224</v>
      </c>
      <c r="F9" s="38"/>
      <c r="G9" s="38"/>
      <c r="H9" s="39"/>
    </row>
    <row r="10" spans="1:8" ht="89.25" customHeight="1" x14ac:dyDescent="0.15">
      <c r="A10" s="23">
        <v>2</v>
      </c>
      <c r="B10" s="23" t="s">
        <v>92</v>
      </c>
      <c r="C10" s="44" t="s">
        <v>47</v>
      </c>
      <c r="D10" s="37" t="s">
        <v>59</v>
      </c>
      <c r="E10" s="45">
        <f>104*(3.9+2.1)*4+25*2*6.4*4+(141+130)*4.75*2+(116+105)*2.3*2+65.6*4</f>
        <v>7629.5</v>
      </c>
      <c r="F10" s="38"/>
      <c r="G10" s="38"/>
      <c r="H10" s="39"/>
    </row>
    <row r="11" spans="1:8" ht="87.75" customHeight="1" x14ac:dyDescent="0.15">
      <c r="A11" s="23">
        <v>3</v>
      </c>
      <c r="B11" s="23" t="s">
        <v>93</v>
      </c>
      <c r="C11" s="44" t="s">
        <v>94</v>
      </c>
      <c r="D11" s="23" t="s">
        <v>31</v>
      </c>
      <c r="E11" s="45">
        <f>(116+105)*2</f>
        <v>442</v>
      </c>
      <c r="F11" s="38"/>
      <c r="G11" s="38"/>
      <c r="H11" s="39"/>
    </row>
    <row r="12" spans="1:8" ht="85.5" customHeight="1" x14ac:dyDescent="0.15">
      <c r="A12" s="23">
        <v>4</v>
      </c>
      <c r="B12" s="59" t="s">
        <v>95</v>
      </c>
      <c r="C12" s="44" t="s">
        <v>96</v>
      </c>
      <c r="D12" s="37" t="s">
        <v>59</v>
      </c>
      <c r="E12" s="45">
        <f>425*1.5*2</f>
        <v>1275</v>
      </c>
      <c r="F12" s="38"/>
      <c r="G12" s="38"/>
      <c r="H12" s="75"/>
    </row>
    <row r="13" spans="1:8" ht="59.25" customHeight="1" x14ac:dyDescent="0.15">
      <c r="A13" s="23">
        <v>5</v>
      </c>
      <c r="B13" s="23" t="s">
        <v>48</v>
      </c>
      <c r="C13" s="44" t="s">
        <v>49</v>
      </c>
      <c r="D13" s="23" t="s">
        <v>31</v>
      </c>
      <c r="E13" s="45">
        <f>9*(32.8*2+6.9*4)</f>
        <v>838.8</v>
      </c>
      <c r="F13" s="38"/>
      <c r="G13" s="38"/>
      <c r="H13" s="39"/>
    </row>
    <row r="14" spans="1:8" ht="45.75" customHeight="1" x14ac:dyDescent="0.15">
      <c r="A14" s="23">
        <v>6</v>
      </c>
      <c r="B14" s="23" t="s">
        <v>50</v>
      </c>
      <c r="C14" s="44" t="s">
        <v>51</v>
      </c>
      <c r="D14" s="23" t="s">
        <v>31</v>
      </c>
      <c r="E14" s="45">
        <v>425</v>
      </c>
      <c r="F14" s="38"/>
      <c r="G14" s="38"/>
      <c r="H14" s="39"/>
    </row>
    <row r="15" spans="1:8" ht="37.5" customHeight="1" x14ac:dyDescent="0.25">
      <c r="A15" s="23">
        <v>7</v>
      </c>
      <c r="B15" s="189" t="s">
        <v>254</v>
      </c>
      <c r="C15" s="189"/>
      <c r="D15" s="23" t="s">
        <v>197</v>
      </c>
      <c r="E15" s="45"/>
      <c r="F15" s="51"/>
      <c r="G15" s="51"/>
      <c r="H15" s="62"/>
    </row>
    <row r="16" spans="1:8" ht="30" customHeight="1" x14ac:dyDescent="0.25">
      <c r="A16" s="203" t="s">
        <v>255</v>
      </c>
      <c r="B16" s="203"/>
      <c r="C16" s="203"/>
      <c r="D16" s="47"/>
      <c r="E16" s="48"/>
      <c r="F16" s="69"/>
      <c r="G16" s="69"/>
      <c r="H16" s="62"/>
    </row>
    <row r="17" spans="1:8" ht="30" customHeight="1" x14ac:dyDescent="0.25">
      <c r="A17" s="196" t="s">
        <v>198</v>
      </c>
      <c r="B17" s="212"/>
      <c r="C17" s="213"/>
      <c r="D17" s="44"/>
      <c r="E17" s="49"/>
      <c r="F17" s="69"/>
      <c r="G17" s="69"/>
      <c r="H17" s="62"/>
    </row>
    <row r="18" spans="1:8" ht="47.25" customHeight="1" x14ac:dyDescent="0.15">
      <c r="A18" s="23">
        <v>1</v>
      </c>
      <c r="B18" s="23" t="s">
        <v>52</v>
      </c>
      <c r="C18" s="44" t="s">
        <v>218</v>
      </c>
      <c r="D18" s="23" t="s">
        <v>53</v>
      </c>
      <c r="E18" s="45">
        <f>850*2*365/1000</f>
        <v>620.5</v>
      </c>
      <c r="F18" s="38"/>
      <c r="G18" s="38"/>
      <c r="H18" s="39"/>
    </row>
    <row r="19" spans="1:8" ht="47.25" customHeight="1" x14ac:dyDescent="0.15">
      <c r="A19" s="23">
        <v>2</v>
      </c>
      <c r="B19" s="23" t="str">
        <f>惠山隧道市政设施!B14</f>
        <v>隧道保护区巡查</v>
      </c>
      <c r="C19" s="44" t="s">
        <v>217</v>
      </c>
      <c r="D19" s="23" t="str">
        <f>惠山隧道市政设施!D14</f>
        <v>1000m</v>
      </c>
      <c r="E19" s="45">
        <f>850*2*365/1000</f>
        <v>620.5</v>
      </c>
      <c r="F19" s="38"/>
      <c r="G19" s="38"/>
      <c r="H19" s="39"/>
    </row>
    <row r="20" spans="1:8" ht="30" customHeight="1" x14ac:dyDescent="0.25">
      <c r="A20" s="23">
        <v>3</v>
      </c>
      <c r="B20" s="189" t="s">
        <v>199</v>
      </c>
      <c r="C20" s="189"/>
      <c r="D20" s="23" t="s">
        <v>197</v>
      </c>
      <c r="E20" s="45"/>
      <c r="F20" s="51"/>
      <c r="G20" s="51"/>
      <c r="H20" s="126"/>
    </row>
    <row r="21" spans="1:8" ht="30" customHeight="1" x14ac:dyDescent="0.25">
      <c r="A21" s="201" t="s">
        <v>200</v>
      </c>
      <c r="B21" s="201"/>
      <c r="C21" s="201"/>
      <c r="D21" s="44"/>
      <c r="E21" s="49"/>
      <c r="F21" s="69"/>
      <c r="G21" s="69"/>
      <c r="H21" s="126"/>
    </row>
    <row r="22" spans="1:8" ht="42" customHeight="1" x14ac:dyDescent="0.15">
      <c r="A22" s="23">
        <v>1</v>
      </c>
      <c r="B22" s="23" t="s">
        <v>55</v>
      </c>
      <c r="C22" s="44" t="s">
        <v>56</v>
      </c>
      <c r="D22" s="23" t="s">
        <v>53</v>
      </c>
      <c r="E22" s="45">
        <f>850*2*12/1000</f>
        <v>20.399999999999999</v>
      </c>
      <c r="F22" s="38"/>
      <c r="G22" s="38"/>
      <c r="H22" s="39"/>
    </row>
    <row r="23" spans="1:8" ht="41.25" customHeight="1" x14ac:dyDescent="0.15">
      <c r="A23" s="23">
        <v>2</v>
      </c>
      <c r="B23" s="23" t="s">
        <v>57</v>
      </c>
      <c r="C23" s="44" t="s">
        <v>56</v>
      </c>
      <c r="D23" s="23" t="s">
        <v>53</v>
      </c>
      <c r="E23" s="45">
        <f>850*2*12/1000</f>
        <v>20.399999999999999</v>
      </c>
      <c r="F23" s="38"/>
      <c r="G23" s="38"/>
      <c r="H23" s="39"/>
    </row>
    <row r="24" spans="1:8" ht="30" customHeight="1" x14ac:dyDescent="0.25">
      <c r="A24" s="23">
        <v>3</v>
      </c>
      <c r="B24" s="189" t="s">
        <v>201</v>
      </c>
      <c r="C24" s="189"/>
      <c r="D24" s="23" t="s">
        <v>197</v>
      </c>
      <c r="E24" s="45"/>
      <c r="F24" s="51"/>
      <c r="G24" s="51"/>
      <c r="H24" s="62"/>
    </row>
    <row r="25" spans="1:8" ht="30" customHeight="1" x14ac:dyDescent="0.25">
      <c r="A25" s="23">
        <v>4</v>
      </c>
      <c r="B25" s="189" t="s">
        <v>256</v>
      </c>
      <c r="C25" s="189"/>
      <c r="D25" s="23" t="s">
        <v>197</v>
      </c>
      <c r="E25" s="45"/>
      <c r="F25" s="51"/>
      <c r="G25" s="51"/>
      <c r="H25" s="62"/>
    </row>
    <row r="26" spans="1:8" ht="30" customHeight="1" x14ac:dyDescent="0.25">
      <c r="A26" s="50"/>
      <c r="B26" s="189" t="s">
        <v>203</v>
      </c>
      <c r="C26" s="189"/>
      <c r="D26" s="23" t="s">
        <v>197</v>
      </c>
      <c r="E26" s="52"/>
      <c r="F26" s="38"/>
      <c r="G26" s="38"/>
      <c r="H26" s="62"/>
    </row>
    <row r="27" spans="1:8" ht="29.25" customHeight="1" x14ac:dyDescent="0.25">
      <c r="A27" s="50"/>
      <c r="B27" s="189" t="s">
        <v>202</v>
      </c>
      <c r="C27" s="189"/>
      <c r="D27" s="23" t="s">
        <v>197</v>
      </c>
      <c r="E27" s="52"/>
      <c r="F27" s="38"/>
      <c r="G27" s="38"/>
      <c r="H27" s="62"/>
    </row>
  </sheetData>
  <sheetProtection formatCells="0" formatColumns="0" formatRows="0" insertColumns="0" insertRows="0" insertHyperlinks="0" deleteColumns="0" deleteRows="0" sort="0" autoFilter="0" pivotTables="0"/>
  <mergeCells count="13">
    <mergeCell ref="B26:C26"/>
    <mergeCell ref="B27:C27"/>
    <mergeCell ref="A3:C3"/>
    <mergeCell ref="A16:C16"/>
    <mergeCell ref="A21:C21"/>
    <mergeCell ref="A17:C17"/>
    <mergeCell ref="B15:C15"/>
    <mergeCell ref="B20:C20"/>
    <mergeCell ref="A1:H1"/>
    <mergeCell ref="B7:C7"/>
    <mergeCell ref="A8:C8"/>
    <mergeCell ref="B24:C24"/>
    <mergeCell ref="B25:C25"/>
  </mergeCells>
  <phoneticPr fontId="23" type="noConversion"/>
  <pageMargins left="0.59055118110236227" right="0.59055118110236227" top="0.59055118110236227" bottom="0.47244094488188981" header="0" footer="0"/>
  <pageSetup paperSize="9" scale="97" fitToHeight="0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17"/>
  <pixelatorList sheetStid="20"/>
  <pixelatorList sheetStid="39"/>
  <pixelatorList sheetStid="40"/>
  <pixelatorList sheetStid="37"/>
  <pixelatorList sheetStid="38"/>
  <pixelatorList sheetStid="21"/>
  <pixelatorList sheetStid="5"/>
  <pixelatorList sheetStid="22"/>
  <pixelatorList sheetStid="3"/>
  <pixelatorList sheetStid="23"/>
  <pixelatorList sheetStid="8"/>
  <pixelatorList sheetStid="24"/>
  <pixelatorList sheetStid="4"/>
  <pixelatorList sheetStid="25"/>
  <pixelatorList sheetStid="6"/>
  <pixelatorList sheetStid="18"/>
  <pixelatorList sheetStid="26"/>
  <pixelatorList sheetStid="7"/>
  <pixelatorList sheetStid="27"/>
  <pixelatorList sheetStid="9"/>
  <pixelatorList sheetStid="28"/>
  <pixelatorList sheetStid="10"/>
  <pixelatorList sheetStid="11"/>
  <pixelatorList sheetStid="30"/>
  <pixelatorList sheetStid="12"/>
  <pixelatorList sheetStid="31"/>
  <pixelatorList sheetStid="13"/>
  <pixelatorList sheetStid="32"/>
  <pixelatorList sheetStid="14"/>
  <pixelatorList sheetStid="33"/>
  <pixelatorList sheetStid="15"/>
  <pixelatorList sheetStid="34"/>
  <pixelatorList sheetStid="16"/>
  <pixelatorList sheetStid="36"/>
  <pixelatorList sheetStid="19"/>
  <pixelatorList sheetStid="41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0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24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2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27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28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30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31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32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3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3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36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</woSheetsProps>
  <woBookProps>
    <bookSettings fileId="387976375184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19</vt:i4>
      </vt:variant>
    </vt:vector>
  </HeadingPairs>
  <TitlesOfParts>
    <vt:vector size="37" baseType="lpstr">
      <vt:lpstr>请勿删除</vt:lpstr>
      <vt:lpstr>汇总 </vt:lpstr>
      <vt:lpstr>青祁隧道市政设施</vt:lpstr>
      <vt:lpstr>蠡湖隧道市政设施</vt:lpstr>
      <vt:lpstr>太湖大道隧道市政设施</vt:lpstr>
      <vt:lpstr>金城隧道市政设施</vt:lpstr>
      <vt:lpstr>惠山隧道市政设施</vt:lpstr>
      <vt:lpstr>桃花山隧道市政设施</vt:lpstr>
      <vt:lpstr>隐秀立交市政设施</vt:lpstr>
      <vt:lpstr>红星立交市政设施</vt:lpstr>
      <vt:lpstr>通江立交市政设施</vt:lpstr>
      <vt:lpstr>周新立交市政设施</vt:lpstr>
      <vt:lpstr>学府立交市政设施</vt:lpstr>
      <vt:lpstr>雪浪立交市政设施</vt:lpstr>
      <vt:lpstr>南泉立交市政设施</vt:lpstr>
      <vt:lpstr>广通立交市政设施</vt:lpstr>
      <vt:lpstr>人行地道市政设施</vt:lpstr>
      <vt:lpstr>五爱人行地道市政设施</vt:lpstr>
      <vt:lpstr>南泉立交市政设施!Print_Area</vt:lpstr>
      <vt:lpstr>青祁隧道市政设施!Print_Area</vt:lpstr>
      <vt:lpstr>周新立交市政设施!Print_Area</vt:lpstr>
      <vt:lpstr>广通立交市政设施!Print_Titles</vt:lpstr>
      <vt:lpstr>红星立交市政设施!Print_Titles</vt:lpstr>
      <vt:lpstr>'汇总 '!Print_Titles</vt:lpstr>
      <vt:lpstr>惠山隧道市政设施!Print_Titles</vt:lpstr>
      <vt:lpstr>金城隧道市政设施!Print_Titles</vt:lpstr>
      <vt:lpstr>蠡湖隧道市政设施!Print_Titles</vt:lpstr>
      <vt:lpstr>南泉立交市政设施!Print_Titles</vt:lpstr>
      <vt:lpstr>青祁隧道市政设施!Print_Titles</vt:lpstr>
      <vt:lpstr>人行地道市政设施!Print_Titles</vt:lpstr>
      <vt:lpstr>太湖大道隧道市政设施!Print_Titles</vt:lpstr>
      <vt:lpstr>通江立交市政设施!Print_Titles</vt:lpstr>
      <vt:lpstr>五爱人行地道市政设施!Print_Titles</vt:lpstr>
      <vt:lpstr>学府立交市政设施!Print_Titles</vt:lpstr>
      <vt:lpstr>雪浪立交市政设施!Print_Titles</vt:lpstr>
      <vt:lpstr>隐秀立交市政设施!Print_Titles</vt:lpstr>
      <vt:lpstr>周新立交市政设施!Print_Titles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昭宇 臧</cp:lastModifiedBy>
  <cp:lastPrinted>2025-10-09T08:44:03Z</cp:lastPrinted>
  <dcterms:created xsi:type="dcterms:W3CDTF">2025-03-13T03:15:00Z</dcterms:created>
  <dcterms:modified xsi:type="dcterms:W3CDTF">2025-10-13T06:00:54Z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E1C4A3DB979049529377457D644A71CB_13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