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4"/>
  </bookViews>
  <sheets>
    <sheet name="2025.6.12调" sheetId="51" state="hidden" r:id="rId1"/>
    <sheet name="各标段汇总" sheetId="56" r:id="rId2"/>
    <sheet name="1标" sheetId="52" r:id="rId3"/>
    <sheet name="2标" sheetId="53" r:id="rId4"/>
    <sheet name="3标" sheetId="54" r:id="rId5"/>
    <sheet name="Sheet1" sheetId="58" state="hidden" r:id="rId6"/>
    <sheet name="Sheet2" sheetId="59" state="hidden" r:id="rId7"/>
  </sheets>
  <definedNames>
    <definedName name="_xlnm._FilterDatabase" localSheetId="0" hidden="1">'2025.6.12调'!$A$3:$BB$105</definedName>
    <definedName name="_xlnm._FilterDatabase" localSheetId="2" hidden="1">'1标'!$A$3:$BA$50</definedName>
    <definedName name="_xlnm._FilterDatabase" localSheetId="3" hidden="1">'2标'!$A$3:$BA$46</definedName>
    <definedName name="_xlnm._FilterDatabase" localSheetId="4" hidden="1">'3标'!$A$3:$BA$48</definedName>
    <definedName name="_xlnm.Print_Area" localSheetId="2">'1标'!$A$1:$BA$48</definedName>
    <definedName name="_xlnm.Print_Titles" localSheetId="2">'1标'!$1:$3</definedName>
    <definedName name="_xlnm.Print_Titles" localSheetId="0">'2025.6.12调'!$1:$3</definedName>
    <definedName name="_xlnm.Print_Titles" localSheetId="3">'2标'!$1:$3</definedName>
    <definedName name="_xlnm.Print_Titles" localSheetId="4">'3标'!$1:$3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Owner</author>
    <author>AH</author>
    <author>user</author>
  </authors>
  <commentList>
    <comment ref="AY4" authorId="0">
      <text>
        <r>
          <rPr>
            <b/>
            <sz val="9"/>
            <rFont val="宋体"/>
            <charset val="134"/>
          </rPr>
          <t>Owner:</t>
        </r>
        <r>
          <rPr>
            <sz val="9"/>
            <rFont val="宋体"/>
            <charset val="134"/>
          </rPr>
          <t xml:space="preserve">
23年评定等级，以下同</t>
        </r>
      </text>
    </comment>
    <comment ref="O6" authorId="1">
      <text>
        <r>
          <rPr>
            <b/>
            <sz val="9"/>
            <rFont val="宋体"/>
            <charset val="134"/>
          </rPr>
          <t>AH:</t>
        </r>
        <r>
          <rPr>
            <sz val="9"/>
            <rFont val="宋体"/>
            <charset val="134"/>
          </rPr>
          <t xml:space="preserve">
大桥按30元/米</t>
        </r>
      </text>
    </comment>
    <comment ref="X6" authorId="1">
      <text>
        <r>
          <rPr>
            <b/>
            <sz val="9"/>
            <rFont val="宋体"/>
            <charset val="134"/>
          </rPr>
          <t>AH:</t>
        </r>
        <r>
          <rPr>
            <sz val="9"/>
            <rFont val="宋体"/>
            <charset val="134"/>
          </rPr>
          <t xml:space="preserve">
全桥3孔，按照每孔四等分原则，每孔5个断面，每个断面两个测点，全桥约30个测点</t>
        </r>
      </text>
    </comment>
    <comment ref="B7" authorId="0">
      <text>
        <r>
          <rPr>
            <b/>
            <sz val="9"/>
            <rFont val="宋体"/>
            <charset val="134"/>
          </rPr>
          <t>Owner:</t>
        </r>
        <r>
          <rPr>
            <sz val="9"/>
            <rFont val="宋体"/>
            <charset val="134"/>
          </rPr>
          <t xml:space="preserve">
系杆拱桥</t>
        </r>
      </text>
    </comment>
    <comment ref="AB7" authorId="0">
      <text>
        <r>
          <rPr>
            <b/>
            <sz val="9"/>
            <rFont val="宋体"/>
            <charset val="134"/>
          </rPr>
          <t xml:space="preserve">Owner:
</t>
        </r>
        <r>
          <rPr>
            <sz val="9"/>
            <rFont val="宋体"/>
            <charset val="134"/>
          </rPr>
          <t>跨径132m</t>
        </r>
      </text>
    </comment>
    <comment ref="AC7" authorId="0">
      <text>
        <r>
          <rPr>
            <b/>
            <sz val="9"/>
            <rFont val="宋体"/>
            <charset val="134"/>
          </rPr>
          <t>Owner:</t>
        </r>
        <r>
          <rPr>
            <sz val="9"/>
            <rFont val="宋体"/>
            <charset val="134"/>
          </rPr>
          <t xml:space="preserve">
跨径132m
</t>
        </r>
      </text>
    </comment>
    <comment ref="AD7" authorId="2">
      <text>
        <r>
          <rPr>
            <b/>
            <sz val="9"/>
            <rFont val="宋体"/>
            <charset val="134"/>
          </rPr>
          <t>user:</t>
        </r>
        <r>
          <rPr>
            <sz val="9"/>
            <rFont val="宋体"/>
            <charset val="134"/>
          </rPr>
          <t xml:space="preserve">
该桥需要12辆加载车，每辆加载车2000元/台班，另需考虑荷载试验期间的封道措施费36000元。</t>
        </r>
      </text>
    </comment>
    <comment ref="B8" authorId="0">
      <text>
        <r>
          <rPr>
            <b/>
            <sz val="9"/>
            <rFont val="宋体"/>
            <charset val="134"/>
          </rPr>
          <t>Owner:</t>
        </r>
        <r>
          <rPr>
            <sz val="9"/>
            <rFont val="宋体"/>
            <charset val="134"/>
          </rPr>
          <t xml:space="preserve">
斜拉桥</t>
        </r>
      </text>
    </comment>
    <comment ref="L8" authorId="2">
      <text>
        <r>
          <rPr>
            <b/>
            <sz val="9"/>
            <rFont val="宋体"/>
            <charset val="134"/>
          </rPr>
          <t>user:</t>
        </r>
        <r>
          <rPr>
            <sz val="9"/>
            <rFont val="宋体"/>
            <charset val="134"/>
          </rPr>
          <t xml:space="preserve">
该桥检测内容较多，外观检查+专项检测预计需要8天，荷载试验预计需要6天。</t>
        </r>
      </text>
    </comment>
    <comment ref="O8" authorId="2">
      <text>
        <r>
          <rPr>
            <b/>
            <sz val="9"/>
            <rFont val="宋体"/>
            <charset val="134"/>
          </rPr>
          <t>user:</t>
        </r>
        <r>
          <rPr>
            <sz val="9"/>
            <rFont val="宋体"/>
            <charset val="134"/>
          </rPr>
          <t xml:space="preserve">
特大桥、特殊结构桥按25元/米</t>
        </r>
      </text>
    </comment>
    <comment ref="Z8" authorId="2">
      <text>
        <r>
          <rPr>
            <b/>
            <sz val="9"/>
            <rFont val="宋体"/>
            <charset val="134"/>
          </rPr>
          <t>user:</t>
        </r>
        <r>
          <rPr>
            <sz val="9"/>
            <rFont val="宋体"/>
            <charset val="134"/>
          </rPr>
          <t xml:space="preserve">
该桥需测试索塔偏位，需使用高精度全站仪，全站仪台班参照收费标准第19页为2600元；再综合考虑配套的对中杆及棱镜费用400元，综合考虑3000元</t>
        </r>
      </text>
    </comment>
    <comment ref="AB8" authorId="2">
      <text>
        <r>
          <rPr>
            <b/>
            <sz val="9"/>
            <rFont val="宋体"/>
            <charset val="134"/>
          </rPr>
          <t>user:</t>
        </r>
        <r>
          <rPr>
            <sz val="9"/>
            <rFont val="宋体"/>
            <charset val="134"/>
          </rPr>
          <t xml:space="preserve">
参照收费标准第20页，斜拉桥单孔静载试验费为98000元，主桥为两孔</t>
        </r>
      </text>
    </comment>
    <comment ref="AC8" authorId="2">
      <text>
        <r>
          <rPr>
            <b/>
            <sz val="9"/>
            <rFont val="宋体"/>
            <charset val="134"/>
          </rPr>
          <t>user:</t>
        </r>
        <r>
          <rPr>
            <sz val="9"/>
            <rFont val="宋体"/>
            <charset val="134"/>
          </rPr>
          <t xml:space="preserve">
参照收费标准第20页，斜拉桥单孔动试验费为30000元，主桥为两孔</t>
        </r>
      </text>
    </comment>
    <comment ref="AD8" authorId="2">
      <text>
        <r>
          <rPr>
            <b/>
            <sz val="9"/>
            <rFont val="宋体"/>
            <charset val="134"/>
          </rPr>
          <t>user:</t>
        </r>
        <r>
          <rPr>
            <sz val="9"/>
            <rFont val="宋体"/>
            <charset val="134"/>
          </rPr>
          <t xml:space="preserve">
该桥需要12辆加载车，每辆加载车2000元/台班，另需考虑荷载试验期间的封道措施费36000元。</t>
        </r>
      </text>
    </comment>
    <comment ref="AG8" authorId="2">
      <text>
        <r>
          <rPr>
            <b/>
            <sz val="9"/>
            <rFont val="宋体"/>
            <charset val="134"/>
          </rPr>
          <t>user:</t>
        </r>
        <r>
          <rPr>
            <sz val="9"/>
            <rFont val="宋体"/>
            <charset val="134"/>
          </rPr>
          <t xml:space="preserve">
全桥合计40根拉索</t>
        </r>
      </text>
    </comment>
    <comment ref="O9" authorId="2">
      <text>
        <r>
          <rPr>
            <b/>
            <sz val="9"/>
            <rFont val="宋体"/>
            <charset val="134"/>
          </rPr>
          <t>user:</t>
        </r>
        <r>
          <rPr>
            <sz val="9"/>
            <rFont val="宋体"/>
            <charset val="134"/>
          </rPr>
          <t xml:space="preserve">
大桥按30元/米</t>
        </r>
      </text>
    </comment>
    <comment ref="B10" authorId="0">
      <text>
        <r>
          <rPr>
            <b/>
            <sz val="9"/>
            <rFont val="宋体"/>
            <charset val="134"/>
          </rPr>
          <t>Owner:</t>
        </r>
        <r>
          <rPr>
            <sz val="9"/>
            <rFont val="宋体"/>
            <charset val="134"/>
          </rPr>
          <t xml:space="preserve">
单孔跨径105m</t>
        </r>
      </text>
    </comment>
    <comment ref="L10" authorId="2">
      <text>
        <r>
          <rPr>
            <b/>
            <sz val="9"/>
            <rFont val="宋体"/>
            <charset val="134"/>
          </rPr>
          <t>user:</t>
        </r>
        <r>
          <rPr>
            <sz val="9"/>
            <rFont val="宋体"/>
            <charset val="134"/>
          </rPr>
          <t xml:space="preserve">
该桥分左右幅及箱室内</t>
        </r>
      </text>
    </comment>
    <comment ref="O10" authorId="2">
      <text>
        <r>
          <rPr>
            <b/>
            <sz val="9"/>
            <rFont val="宋体"/>
            <charset val="134"/>
          </rPr>
          <t>user:</t>
        </r>
        <r>
          <rPr>
            <sz val="9"/>
            <rFont val="宋体"/>
            <charset val="134"/>
          </rPr>
          <t xml:space="preserve">
大桥按30元/米</t>
        </r>
      </text>
    </comment>
    <comment ref="O11" authorId="2">
      <text>
        <r>
          <rPr>
            <b/>
            <sz val="9"/>
            <rFont val="宋体"/>
            <charset val="134"/>
          </rPr>
          <t>user:</t>
        </r>
        <r>
          <rPr>
            <sz val="9"/>
            <rFont val="宋体"/>
            <charset val="134"/>
          </rPr>
          <t xml:space="preserve">
大桥按30元/米</t>
        </r>
      </text>
    </comment>
    <comment ref="X11" authorId="2">
      <text>
        <r>
          <rPr>
            <b/>
            <sz val="9"/>
            <rFont val="宋体"/>
            <charset val="134"/>
          </rPr>
          <t>user:</t>
        </r>
        <r>
          <rPr>
            <sz val="9"/>
            <rFont val="宋体"/>
            <charset val="134"/>
          </rPr>
          <t xml:space="preserve">
全桥8孔，该桥结构形式不同，采用4等分，合计32个断面，每个断面4个点（左右幅），共计128个点</t>
        </r>
      </text>
    </comment>
    <comment ref="B12" authorId="0">
      <text>
        <r>
          <rPr>
            <b/>
            <sz val="9"/>
            <rFont val="宋体"/>
            <charset val="134"/>
          </rPr>
          <t>Owner:</t>
        </r>
        <r>
          <rPr>
            <sz val="9"/>
            <rFont val="宋体"/>
            <charset val="134"/>
          </rPr>
          <t xml:space="preserve">
单孔跨径105m
</t>
        </r>
      </text>
    </comment>
    <comment ref="B13" authorId="0">
      <text>
        <r>
          <rPr>
            <b/>
            <sz val="9"/>
            <rFont val="宋体"/>
            <charset val="134"/>
          </rPr>
          <t>Owner:</t>
        </r>
        <r>
          <rPr>
            <sz val="9"/>
            <rFont val="宋体"/>
            <charset val="134"/>
          </rPr>
          <t xml:space="preserve">
跨铁路2孔</t>
        </r>
      </text>
    </comment>
    <comment ref="O13" authorId="1">
      <text>
        <r>
          <rPr>
            <b/>
            <sz val="9"/>
            <rFont val="宋体"/>
            <charset val="134"/>
          </rPr>
          <t>AH:</t>
        </r>
        <r>
          <rPr>
            <sz val="9"/>
            <rFont val="宋体"/>
            <charset val="134"/>
          </rPr>
          <t xml:space="preserve">
特殊结构和特大桥按25元/米</t>
        </r>
      </text>
    </comment>
    <comment ref="X13" authorId="1">
      <text>
        <r>
          <rPr>
            <b/>
            <sz val="9"/>
            <rFont val="宋体"/>
            <charset val="134"/>
          </rPr>
          <t>AH:</t>
        </r>
        <r>
          <rPr>
            <sz val="9"/>
            <rFont val="宋体"/>
            <charset val="134"/>
          </rPr>
          <t xml:space="preserve">
全桥68孔，按照每孔四等分原则，每孔5个断面，每个断面两个测点，全桥约680个测点</t>
        </r>
      </text>
    </comment>
    <comment ref="O14" authorId="1">
      <text>
        <r>
          <rPr>
            <b/>
            <sz val="9"/>
            <rFont val="宋体"/>
            <charset val="134"/>
          </rPr>
          <t>AH:</t>
        </r>
        <r>
          <rPr>
            <sz val="9"/>
            <rFont val="宋体"/>
            <charset val="134"/>
          </rPr>
          <t xml:space="preserve">
特殊结构和特大桥按25元/米</t>
        </r>
      </text>
    </comment>
    <comment ref="X14" authorId="1">
      <text>
        <r>
          <rPr>
            <b/>
            <sz val="9"/>
            <rFont val="宋体"/>
            <charset val="134"/>
          </rPr>
          <t>AH:</t>
        </r>
        <r>
          <rPr>
            <sz val="9"/>
            <rFont val="宋体"/>
            <charset val="134"/>
          </rPr>
          <t xml:space="preserve">
全桥57孔，按照每孔四等分原则，每孔5个断面，每个断面两个测点，全桥约570个测点</t>
        </r>
      </text>
    </comment>
    <comment ref="O15" authorId="1">
      <text>
        <r>
          <rPr>
            <b/>
            <sz val="9"/>
            <rFont val="宋体"/>
            <charset val="134"/>
          </rPr>
          <t>AH:</t>
        </r>
        <r>
          <rPr>
            <sz val="9"/>
            <rFont val="宋体"/>
            <charset val="134"/>
          </rPr>
          <t xml:space="preserve">
大桥按30元/米</t>
        </r>
      </text>
    </comment>
    <comment ref="X15" authorId="1">
      <text>
        <r>
          <rPr>
            <b/>
            <sz val="9"/>
            <rFont val="宋体"/>
            <charset val="134"/>
          </rPr>
          <t>AH:</t>
        </r>
        <r>
          <rPr>
            <sz val="9"/>
            <rFont val="宋体"/>
            <charset val="134"/>
          </rPr>
          <t xml:space="preserve">
全桥20孔，按照每孔四等分原则，每孔5个断面，每个断面两个测点，全桥约200个测点</t>
        </r>
      </text>
    </comment>
    <comment ref="O16" authorId="1">
      <text>
        <r>
          <rPr>
            <b/>
            <sz val="9"/>
            <rFont val="宋体"/>
            <charset val="134"/>
          </rPr>
          <t>AH:</t>
        </r>
        <r>
          <rPr>
            <sz val="9"/>
            <rFont val="宋体"/>
            <charset val="134"/>
          </rPr>
          <t xml:space="preserve">
大桥按30元/米</t>
        </r>
      </text>
    </comment>
    <comment ref="X16" authorId="1">
      <text>
        <r>
          <rPr>
            <b/>
            <sz val="9"/>
            <rFont val="宋体"/>
            <charset val="134"/>
          </rPr>
          <t>AH:</t>
        </r>
        <r>
          <rPr>
            <sz val="9"/>
            <rFont val="宋体"/>
            <charset val="134"/>
          </rPr>
          <t xml:space="preserve">
全桥9孔，按照每孔四等分原则，每孔5个断面，每个断面两个测点，全桥约90个测点</t>
        </r>
      </text>
    </comment>
    <comment ref="O17" authorId="1">
      <text>
        <r>
          <rPr>
            <b/>
            <sz val="9"/>
            <rFont val="宋体"/>
            <charset val="134"/>
          </rPr>
          <t>AH:</t>
        </r>
        <r>
          <rPr>
            <sz val="9"/>
            <rFont val="宋体"/>
            <charset val="134"/>
          </rPr>
          <t xml:space="preserve">
大桥按30元/米</t>
        </r>
      </text>
    </comment>
    <comment ref="X17" authorId="1">
      <text>
        <r>
          <rPr>
            <b/>
            <sz val="9"/>
            <rFont val="宋体"/>
            <charset val="134"/>
          </rPr>
          <t>AH:</t>
        </r>
        <r>
          <rPr>
            <sz val="9"/>
            <rFont val="宋体"/>
            <charset val="134"/>
          </rPr>
          <t xml:space="preserve">
全桥9孔，按照每孔四等分原则，每孔5个断面，每个断面两个测点，全桥约90个测点</t>
        </r>
      </text>
    </comment>
    <comment ref="B18" authorId="0">
      <text>
        <r>
          <rPr>
            <b/>
            <sz val="9"/>
            <rFont val="宋体"/>
            <charset val="134"/>
          </rPr>
          <t>Owner:</t>
        </r>
        <r>
          <rPr>
            <sz val="9"/>
            <rFont val="宋体"/>
            <charset val="134"/>
          </rPr>
          <t xml:space="preserve">
跨铁路1孔</t>
        </r>
      </text>
    </comment>
    <comment ref="O18" authorId="1">
      <text>
        <r>
          <rPr>
            <b/>
            <sz val="9"/>
            <rFont val="宋体"/>
            <charset val="134"/>
          </rPr>
          <t>AH:</t>
        </r>
        <r>
          <rPr>
            <sz val="9"/>
            <rFont val="宋体"/>
            <charset val="134"/>
          </rPr>
          <t xml:space="preserve">
大桥按30元/米</t>
        </r>
      </text>
    </comment>
    <comment ref="X18" authorId="1">
      <text>
        <r>
          <rPr>
            <b/>
            <sz val="9"/>
            <rFont val="宋体"/>
            <charset val="134"/>
          </rPr>
          <t>AH:</t>
        </r>
        <r>
          <rPr>
            <sz val="9"/>
            <rFont val="宋体"/>
            <charset val="134"/>
          </rPr>
          <t xml:space="preserve">
全桥9孔，按照每孔四等分原则，每孔5个断面，每个断面两个测点，全桥约90个测点</t>
        </r>
      </text>
    </comment>
    <comment ref="O19" authorId="1">
      <text>
        <r>
          <rPr>
            <b/>
            <sz val="9"/>
            <rFont val="宋体"/>
            <charset val="134"/>
          </rPr>
          <t>AH:</t>
        </r>
        <r>
          <rPr>
            <sz val="9"/>
            <rFont val="宋体"/>
            <charset val="134"/>
          </rPr>
          <t xml:space="preserve">
大桥按30元/米</t>
        </r>
      </text>
    </comment>
    <comment ref="X19" authorId="1">
      <text>
        <r>
          <rPr>
            <b/>
            <sz val="9"/>
            <rFont val="宋体"/>
            <charset val="134"/>
          </rPr>
          <t>AH:</t>
        </r>
        <r>
          <rPr>
            <sz val="9"/>
            <rFont val="宋体"/>
            <charset val="134"/>
          </rPr>
          <t xml:space="preserve">
全桥9孔，按照每孔四等分原则，每孔5个断面，每个断面两个测点，全桥约90个测点</t>
        </r>
      </text>
    </comment>
    <comment ref="O20" authorId="1">
      <text>
        <r>
          <rPr>
            <b/>
            <sz val="9"/>
            <rFont val="宋体"/>
            <charset val="134"/>
          </rPr>
          <t>AH:</t>
        </r>
        <r>
          <rPr>
            <sz val="9"/>
            <rFont val="宋体"/>
            <charset val="134"/>
          </rPr>
          <t xml:space="preserve">
大桥按30元/米</t>
        </r>
      </text>
    </comment>
    <comment ref="X20" authorId="1">
      <text>
        <r>
          <rPr>
            <b/>
            <sz val="9"/>
            <rFont val="宋体"/>
            <charset val="134"/>
          </rPr>
          <t>AH:</t>
        </r>
        <r>
          <rPr>
            <sz val="9"/>
            <rFont val="宋体"/>
            <charset val="134"/>
          </rPr>
          <t xml:space="preserve">
全桥5孔，按照每孔四等分原则，每孔5个断面，每个断面两个测点，全桥约50个测点</t>
        </r>
      </text>
    </comment>
    <comment ref="O21" authorId="1">
      <text>
        <r>
          <rPr>
            <b/>
            <sz val="9"/>
            <rFont val="宋体"/>
            <charset val="134"/>
          </rPr>
          <t>AH:</t>
        </r>
        <r>
          <rPr>
            <sz val="9"/>
            <rFont val="宋体"/>
            <charset val="134"/>
          </rPr>
          <t xml:space="preserve">
大桥按30元/米</t>
        </r>
      </text>
    </comment>
    <comment ref="X21" authorId="1">
      <text>
        <r>
          <rPr>
            <b/>
            <sz val="9"/>
            <rFont val="宋体"/>
            <charset val="134"/>
          </rPr>
          <t>AH:</t>
        </r>
        <r>
          <rPr>
            <sz val="9"/>
            <rFont val="宋体"/>
            <charset val="134"/>
          </rPr>
          <t xml:space="preserve">
全桥5孔，按照每孔四等分原则，每孔5个断面，每个断面两个测点，全桥约50个测点</t>
        </r>
      </text>
    </comment>
    <comment ref="O22" authorId="1">
      <text>
        <r>
          <rPr>
            <b/>
            <sz val="9"/>
            <rFont val="宋体"/>
            <charset val="134"/>
          </rPr>
          <t>AH:</t>
        </r>
        <r>
          <rPr>
            <sz val="9"/>
            <rFont val="宋体"/>
            <charset val="134"/>
          </rPr>
          <t xml:space="preserve">
大桥按30元/米</t>
        </r>
      </text>
    </comment>
    <comment ref="X22" authorId="1">
      <text>
        <r>
          <rPr>
            <b/>
            <sz val="9"/>
            <rFont val="宋体"/>
            <charset val="134"/>
          </rPr>
          <t>AH:</t>
        </r>
        <r>
          <rPr>
            <sz val="9"/>
            <rFont val="宋体"/>
            <charset val="134"/>
          </rPr>
          <t xml:space="preserve">
全桥5孔，按照每孔四等分原则，每孔5个断面，每个断面两个测点，全桥约50个测点</t>
        </r>
      </text>
    </comment>
    <comment ref="O23" authorId="1">
      <text>
        <r>
          <rPr>
            <b/>
            <sz val="9"/>
            <rFont val="宋体"/>
            <charset val="134"/>
          </rPr>
          <t>AH:</t>
        </r>
        <r>
          <rPr>
            <sz val="9"/>
            <rFont val="宋体"/>
            <charset val="134"/>
          </rPr>
          <t xml:space="preserve">
大桥按30元/米</t>
        </r>
      </text>
    </comment>
    <comment ref="X23" authorId="1">
      <text>
        <r>
          <rPr>
            <b/>
            <sz val="9"/>
            <rFont val="宋体"/>
            <charset val="134"/>
          </rPr>
          <t>AH:</t>
        </r>
        <r>
          <rPr>
            <sz val="9"/>
            <rFont val="宋体"/>
            <charset val="134"/>
          </rPr>
          <t xml:space="preserve">
全桥4孔，按照每孔四等分原则，每孔5个断面，每个断面两个测点，全桥约40个测点</t>
        </r>
      </text>
    </comment>
    <comment ref="B24" authorId="0">
      <text>
        <r>
          <rPr>
            <b/>
            <sz val="9"/>
            <rFont val="宋体"/>
            <charset val="134"/>
          </rPr>
          <t>Owner:</t>
        </r>
        <r>
          <rPr>
            <sz val="9"/>
            <rFont val="宋体"/>
            <charset val="134"/>
          </rPr>
          <t xml:space="preserve">
跨高速</t>
        </r>
      </text>
    </comment>
    <comment ref="O36" authorId="2">
      <text>
        <r>
          <rPr>
            <b/>
            <sz val="9"/>
            <rFont val="宋体"/>
            <charset val="134"/>
          </rPr>
          <t>user:</t>
        </r>
        <r>
          <rPr>
            <sz val="9"/>
            <rFont val="宋体"/>
            <charset val="134"/>
          </rPr>
          <t xml:space="preserve">
特大桥按25元/米</t>
        </r>
      </text>
    </comment>
    <comment ref="B50" authorId="0">
      <text>
        <r>
          <rPr>
            <b/>
            <sz val="9"/>
            <rFont val="宋体"/>
            <charset val="134"/>
          </rPr>
          <t>Owner:</t>
        </r>
        <r>
          <rPr>
            <sz val="9"/>
            <rFont val="宋体"/>
            <charset val="134"/>
          </rPr>
          <t xml:space="preserve">
跨铁路2孔</t>
        </r>
      </text>
    </comment>
    <comment ref="O50" authorId="1">
      <text>
        <r>
          <rPr>
            <b/>
            <sz val="9"/>
            <rFont val="宋体"/>
            <charset val="134"/>
          </rPr>
          <t>AH:</t>
        </r>
        <r>
          <rPr>
            <sz val="9"/>
            <rFont val="宋体"/>
            <charset val="134"/>
          </rPr>
          <t xml:space="preserve">
特殊结构和特大桥按25元/米</t>
        </r>
      </text>
    </comment>
    <comment ref="X50" authorId="1">
      <text>
        <r>
          <rPr>
            <b/>
            <sz val="9"/>
            <rFont val="宋体"/>
            <charset val="134"/>
          </rPr>
          <t>AH:</t>
        </r>
        <r>
          <rPr>
            <sz val="9"/>
            <rFont val="宋体"/>
            <charset val="134"/>
          </rPr>
          <t xml:space="preserve">
全桥102孔，按照每孔四等分原则，每孔5个断面，每个断面两个测点，全桥约1020个测点</t>
        </r>
      </text>
    </comment>
    <comment ref="O51" authorId="1">
      <text>
        <r>
          <rPr>
            <b/>
            <sz val="9"/>
            <rFont val="宋体"/>
            <charset val="134"/>
          </rPr>
          <t>AH:</t>
        </r>
        <r>
          <rPr>
            <sz val="9"/>
            <rFont val="宋体"/>
            <charset val="134"/>
          </rPr>
          <t xml:space="preserve">
大桥按30元/米</t>
        </r>
      </text>
    </comment>
    <comment ref="X51" authorId="1">
      <text>
        <r>
          <rPr>
            <b/>
            <sz val="9"/>
            <rFont val="宋体"/>
            <charset val="134"/>
          </rPr>
          <t>AH:</t>
        </r>
        <r>
          <rPr>
            <sz val="9"/>
            <rFont val="宋体"/>
            <charset val="134"/>
          </rPr>
          <t xml:space="preserve">
全桥8孔，按照每孔四等分原则，每孔5个断面，每个断面两个测点，全桥约80个测点</t>
        </r>
      </text>
    </comment>
    <comment ref="O52" authorId="1">
      <text>
        <r>
          <rPr>
            <b/>
            <sz val="9"/>
            <rFont val="宋体"/>
            <charset val="134"/>
          </rPr>
          <t>AH:</t>
        </r>
        <r>
          <rPr>
            <sz val="9"/>
            <rFont val="宋体"/>
            <charset val="134"/>
          </rPr>
          <t xml:space="preserve">
大桥按30元/米</t>
        </r>
      </text>
    </comment>
    <comment ref="X52" authorId="1">
      <text>
        <r>
          <rPr>
            <b/>
            <sz val="9"/>
            <rFont val="宋体"/>
            <charset val="134"/>
          </rPr>
          <t>AH:</t>
        </r>
        <r>
          <rPr>
            <sz val="9"/>
            <rFont val="宋体"/>
            <charset val="134"/>
          </rPr>
          <t xml:space="preserve">
全桥18孔，按照每孔四等分原则，每孔5个断面，每个断面两个测点，全桥约180个测点</t>
        </r>
      </text>
    </comment>
    <comment ref="O53" authorId="1">
      <text>
        <r>
          <rPr>
            <b/>
            <sz val="9"/>
            <rFont val="宋体"/>
            <charset val="134"/>
          </rPr>
          <t>AH:</t>
        </r>
        <r>
          <rPr>
            <sz val="9"/>
            <rFont val="宋体"/>
            <charset val="134"/>
          </rPr>
          <t xml:space="preserve">
大桥按30元/米</t>
        </r>
      </text>
    </comment>
    <comment ref="X53" authorId="1">
      <text>
        <r>
          <rPr>
            <b/>
            <sz val="9"/>
            <rFont val="宋体"/>
            <charset val="134"/>
          </rPr>
          <t>AH:</t>
        </r>
        <r>
          <rPr>
            <sz val="9"/>
            <rFont val="宋体"/>
            <charset val="134"/>
          </rPr>
          <t xml:space="preserve">
全桥9孔，按照每孔四等分原则，每孔5个断面，每个断面两个测点，全桥约90个测点</t>
        </r>
      </text>
    </comment>
    <comment ref="O54" authorId="1">
      <text>
        <r>
          <rPr>
            <b/>
            <sz val="9"/>
            <rFont val="宋体"/>
            <charset val="134"/>
          </rPr>
          <t>AH:</t>
        </r>
        <r>
          <rPr>
            <sz val="9"/>
            <rFont val="宋体"/>
            <charset val="134"/>
          </rPr>
          <t xml:space="preserve">
大桥按30元/米</t>
        </r>
      </text>
    </comment>
    <comment ref="X54" authorId="1">
      <text>
        <r>
          <rPr>
            <b/>
            <sz val="9"/>
            <rFont val="宋体"/>
            <charset val="134"/>
          </rPr>
          <t>AH:</t>
        </r>
        <r>
          <rPr>
            <sz val="9"/>
            <rFont val="宋体"/>
            <charset val="134"/>
          </rPr>
          <t xml:space="preserve">
全桥5孔，按照每孔四等分原则，每孔5个断面，每个断面两个测点，全桥约50个测点</t>
        </r>
      </text>
    </comment>
    <comment ref="O55" authorId="1">
      <text>
        <r>
          <rPr>
            <b/>
            <sz val="9"/>
            <rFont val="宋体"/>
            <charset val="134"/>
          </rPr>
          <t>AH:</t>
        </r>
        <r>
          <rPr>
            <sz val="9"/>
            <rFont val="宋体"/>
            <charset val="134"/>
          </rPr>
          <t xml:space="preserve">
大桥按30元/米</t>
        </r>
      </text>
    </comment>
    <comment ref="X55" authorId="1">
      <text>
        <r>
          <rPr>
            <b/>
            <sz val="9"/>
            <rFont val="宋体"/>
            <charset val="134"/>
          </rPr>
          <t>AH:</t>
        </r>
        <r>
          <rPr>
            <sz val="9"/>
            <rFont val="宋体"/>
            <charset val="134"/>
          </rPr>
          <t xml:space="preserve">
全桥5孔，按照每孔四等分原则，每孔5个断面，每个断面两个测点，全桥约50个测点</t>
        </r>
      </text>
    </comment>
    <comment ref="O56" authorId="1">
      <text>
        <r>
          <rPr>
            <b/>
            <sz val="9"/>
            <rFont val="宋体"/>
            <charset val="134"/>
          </rPr>
          <t>AH:</t>
        </r>
        <r>
          <rPr>
            <sz val="9"/>
            <rFont val="宋体"/>
            <charset val="134"/>
          </rPr>
          <t xml:space="preserve">
大桥按30元/米</t>
        </r>
      </text>
    </comment>
    <comment ref="X56" authorId="1">
      <text>
        <r>
          <rPr>
            <b/>
            <sz val="9"/>
            <rFont val="宋体"/>
            <charset val="134"/>
          </rPr>
          <t>AH:</t>
        </r>
        <r>
          <rPr>
            <sz val="9"/>
            <rFont val="宋体"/>
            <charset val="134"/>
          </rPr>
          <t xml:space="preserve">
全桥5孔，按照每孔四等分原则，每孔5个断面，每个断面两个测点，全桥约50个测点</t>
        </r>
      </text>
    </comment>
    <comment ref="O57" authorId="1">
      <text>
        <r>
          <rPr>
            <b/>
            <sz val="9"/>
            <rFont val="宋体"/>
            <charset val="134"/>
          </rPr>
          <t>AH:</t>
        </r>
        <r>
          <rPr>
            <sz val="9"/>
            <rFont val="宋体"/>
            <charset val="134"/>
          </rPr>
          <t xml:space="preserve">
大桥按30元/米</t>
        </r>
      </text>
    </comment>
    <comment ref="X57" authorId="1">
      <text>
        <r>
          <rPr>
            <b/>
            <sz val="9"/>
            <rFont val="宋体"/>
            <charset val="134"/>
          </rPr>
          <t>AH:</t>
        </r>
        <r>
          <rPr>
            <sz val="9"/>
            <rFont val="宋体"/>
            <charset val="134"/>
          </rPr>
          <t xml:space="preserve">
全桥4孔，按照每孔四等分原则，每孔5个断面，每个断面两个测点，全桥约40个测点</t>
        </r>
      </text>
    </comment>
    <comment ref="O58" authorId="1">
      <text>
        <r>
          <rPr>
            <b/>
            <sz val="9"/>
            <rFont val="宋体"/>
            <charset val="134"/>
          </rPr>
          <t>AH:</t>
        </r>
        <r>
          <rPr>
            <sz val="9"/>
            <rFont val="宋体"/>
            <charset val="134"/>
          </rPr>
          <t xml:space="preserve">
大桥按30元/米</t>
        </r>
      </text>
    </comment>
    <comment ref="X58" authorId="1">
      <text>
        <r>
          <rPr>
            <b/>
            <sz val="9"/>
            <rFont val="宋体"/>
            <charset val="134"/>
          </rPr>
          <t>AH:</t>
        </r>
        <r>
          <rPr>
            <sz val="9"/>
            <rFont val="宋体"/>
            <charset val="134"/>
          </rPr>
          <t xml:space="preserve">
全桥4孔，按照每孔四等分原则，每孔5个断面，每个断面两个测点，全桥约40个测点</t>
        </r>
      </text>
    </comment>
    <comment ref="O59" authorId="1">
      <text>
        <r>
          <rPr>
            <b/>
            <sz val="9"/>
            <rFont val="宋体"/>
            <charset val="134"/>
          </rPr>
          <t>AH:</t>
        </r>
        <r>
          <rPr>
            <sz val="9"/>
            <rFont val="宋体"/>
            <charset val="134"/>
          </rPr>
          <t xml:space="preserve">
大桥按30元/米</t>
        </r>
      </text>
    </comment>
    <comment ref="X59" authorId="1">
      <text>
        <r>
          <rPr>
            <b/>
            <sz val="9"/>
            <rFont val="宋体"/>
            <charset val="134"/>
          </rPr>
          <t>AH:</t>
        </r>
        <r>
          <rPr>
            <sz val="9"/>
            <rFont val="宋体"/>
            <charset val="134"/>
          </rPr>
          <t xml:space="preserve">
全桥5孔，按照每孔四等分原则，每孔5个断面，每个断面两个测点，全桥约50个测点</t>
        </r>
      </text>
    </comment>
    <comment ref="O60" authorId="1">
      <text>
        <r>
          <rPr>
            <b/>
            <sz val="9"/>
            <rFont val="宋体"/>
            <charset val="134"/>
          </rPr>
          <t>AH:</t>
        </r>
        <r>
          <rPr>
            <sz val="9"/>
            <rFont val="宋体"/>
            <charset val="134"/>
          </rPr>
          <t xml:space="preserve">
大桥按30元/米</t>
        </r>
      </text>
    </comment>
    <comment ref="X60" authorId="1">
      <text>
        <r>
          <rPr>
            <b/>
            <sz val="9"/>
            <rFont val="宋体"/>
            <charset val="134"/>
          </rPr>
          <t>AH:</t>
        </r>
        <r>
          <rPr>
            <sz val="9"/>
            <rFont val="宋体"/>
            <charset val="134"/>
          </rPr>
          <t xml:space="preserve">
全桥5孔，按照每孔四等分原则，每孔5个断面，每个断面两个测点，全桥约50个测点</t>
        </r>
      </text>
    </comment>
    <comment ref="B61" authorId="0">
      <text>
        <r>
          <rPr>
            <b/>
            <sz val="9"/>
            <rFont val="宋体"/>
            <charset val="134"/>
          </rPr>
          <t>Owner:</t>
        </r>
        <r>
          <rPr>
            <sz val="9"/>
            <rFont val="宋体"/>
            <charset val="134"/>
          </rPr>
          <t xml:space="preserve">
单孔跨径120m</t>
        </r>
      </text>
    </comment>
    <comment ref="L61" authorId="2">
      <text>
        <r>
          <rPr>
            <b/>
            <sz val="9"/>
            <rFont val="宋体"/>
            <charset val="134"/>
          </rPr>
          <t>user:</t>
        </r>
        <r>
          <rPr>
            <sz val="9"/>
            <rFont val="宋体"/>
            <charset val="134"/>
          </rPr>
          <t xml:space="preserve">
该桥分左右幅及箱室内</t>
        </r>
      </text>
    </comment>
    <comment ref="O61" authorId="2">
      <text>
        <r>
          <rPr>
            <b/>
            <sz val="9"/>
            <rFont val="宋体"/>
            <charset val="134"/>
          </rPr>
          <t>user:</t>
        </r>
        <r>
          <rPr>
            <sz val="9"/>
            <rFont val="宋体"/>
            <charset val="134"/>
          </rPr>
          <t xml:space="preserve">
特大桥、特殊结构桥按25元/米</t>
        </r>
      </text>
    </comment>
    <comment ref="O62" authorId="2">
      <text>
        <r>
          <rPr>
            <b/>
            <sz val="9"/>
            <rFont val="宋体"/>
            <charset val="134"/>
          </rPr>
          <t>user:</t>
        </r>
        <r>
          <rPr>
            <sz val="9"/>
            <rFont val="宋体"/>
            <charset val="134"/>
          </rPr>
          <t xml:space="preserve">
中桥按35元/米</t>
        </r>
      </text>
    </comment>
    <comment ref="O63" authorId="2">
      <text>
        <r>
          <rPr>
            <b/>
            <sz val="9"/>
            <rFont val="宋体"/>
            <charset val="134"/>
          </rPr>
          <t>user:</t>
        </r>
        <r>
          <rPr>
            <sz val="9"/>
            <rFont val="宋体"/>
            <charset val="134"/>
          </rPr>
          <t xml:space="preserve">
大桥按30元/米</t>
        </r>
      </text>
    </comment>
    <comment ref="B64" authorId="0">
      <text>
        <r>
          <rPr>
            <b/>
            <sz val="9"/>
            <rFont val="宋体"/>
            <charset val="134"/>
          </rPr>
          <t>Owner:</t>
        </r>
        <r>
          <rPr>
            <sz val="9"/>
            <rFont val="宋体"/>
            <charset val="134"/>
          </rPr>
          <t xml:space="preserve">
跨铁路2孔</t>
        </r>
      </text>
    </comment>
    <comment ref="O64" authorId="1">
      <text>
        <r>
          <rPr>
            <b/>
            <sz val="9"/>
            <rFont val="宋体"/>
            <charset val="134"/>
          </rPr>
          <t>AH:</t>
        </r>
        <r>
          <rPr>
            <sz val="9"/>
            <rFont val="宋体"/>
            <charset val="134"/>
          </rPr>
          <t xml:space="preserve">
特殊结构和特大桥按25元/米</t>
        </r>
      </text>
    </comment>
    <comment ref="X64" authorId="1">
      <text>
        <r>
          <rPr>
            <b/>
            <sz val="9"/>
            <rFont val="宋体"/>
            <charset val="134"/>
          </rPr>
          <t>AH:</t>
        </r>
        <r>
          <rPr>
            <sz val="9"/>
            <rFont val="宋体"/>
            <charset val="134"/>
          </rPr>
          <t xml:space="preserve">
全桥67孔，按照每孔四等分原则，每孔5个断面，每个断面两个测点，全桥约670个测点</t>
        </r>
      </text>
    </comment>
    <comment ref="B66" authorId="0">
      <text>
        <r>
          <rPr>
            <b/>
            <sz val="9"/>
            <rFont val="宋体"/>
            <charset val="134"/>
          </rPr>
          <t>Owner:</t>
        </r>
        <r>
          <rPr>
            <sz val="9"/>
            <rFont val="宋体"/>
            <charset val="134"/>
          </rPr>
          <t xml:space="preserve">
系杆拱桥</t>
        </r>
      </text>
    </comment>
    <comment ref="O67" authorId="1">
      <text>
        <r>
          <rPr>
            <b/>
            <sz val="9"/>
            <rFont val="宋体"/>
            <charset val="134"/>
          </rPr>
          <t>AH:</t>
        </r>
        <r>
          <rPr>
            <sz val="9"/>
            <rFont val="宋体"/>
            <charset val="134"/>
          </rPr>
          <t xml:space="preserve">
大桥按30元/米</t>
        </r>
      </text>
    </comment>
    <comment ref="X67" authorId="1">
      <text>
        <r>
          <rPr>
            <b/>
            <sz val="9"/>
            <rFont val="宋体"/>
            <charset val="134"/>
          </rPr>
          <t>AH:</t>
        </r>
        <r>
          <rPr>
            <sz val="9"/>
            <rFont val="宋体"/>
            <charset val="134"/>
          </rPr>
          <t xml:space="preserve">
全桥16孔，按照每孔四等分原则，每孔5个断面，每个断面两个测点，全桥约160个测点</t>
        </r>
      </text>
    </comment>
    <comment ref="O68" authorId="1">
      <text>
        <r>
          <rPr>
            <b/>
            <sz val="9"/>
            <rFont val="宋体"/>
            <charset val="134"/>
          </rPr>
          <t>AH:</t>
        </r>
        <r>
          <rPr>
            <sz val="9"/>
            <rFont val="宋体"/>
            <charset val="134"/>
          </rPr>
          <t xml:space="preserve">
大桥按30元/米</t>
        </r>
      </text>
    </comment>
    <comment ref="X68" authorId="1">
      <text>
        <r>
          <rPr>
            <b/>
            <sz val="9"/>
            <rFont val="宋体"/>
            <charset val="134"/>
          </rPr>
          <t>AH:</t>
        </r>
        <r>
          <rPr>
            <sz val="9"/>
            <rFont val="宋体"/>
            <charset val="134"/>
          </rPr>
          <t xml:space="preserve">
全桥10孔，按照每孔四等分原则，每孔5个断面，每个断面两个测点，全桥约100个测点</t>
        </r>
      </text>
    </comment>
    <comment ref="O69" authorId="1">
      <text>
        <r>
          <rPr>
            <b/>
            <sz val="9"/>
            <rFont val="宋体"/>
            <charset val="134"/>
          </rPr>
          <t>AH:</t>
        </r>
        <r>
          <rPr>
            <sz val="9"/>
            <rFont val="宋体"/>
            <charset val="134"/>
          </rPr>
          <t xml:space="preserve">
大桥按30元/米</t>
        </r>
      </text>
    </comment>
    <comment ref="X69" authorId="1">
      <text>
        <r>
          <rPr>
            <b/>
            <sz val="9"/>
            <rFont val="宋体"/>
            <charset val="134"/>
          </rPr>
          <t>AH:</t>
        </r>
        <r>
          <rPr>
            <sz val="9"/>
            <rFont val="宋体"/>
            <charset val="134"/>
          </rPr>
          <t xml:space="preserve">
全桥6孔，按照每孔四等分原则，每孔5个断面，每个断面两个测点，全桥约60个测点</t>
        </r>
      </text>
    </comment>
    <comment ref="O70" authorId="1">
      <text>
        <r>
          <rPr>
            <b/>
            <sz val="9"/>
            <rFont val="宋体"/>
            <charset val="134"/>
          </rPr>
          <t>AH:</t>
        </r>
        <r>
          <rPr>
            <sz val="9"/>
            <rFont val="宋体"/>
            <charset val="134"/>
          </rPr>
          <t xml:space="preserve">
大桥按30元/米</t>
        </r>
      </text>
    </comment>
    <comment ref="X70" authorId="1">
      <text>
        <r>
          <rPr>
            <b/>
            <sz val="9"/>
            <rFont val="宋体"/>
            <charset val="134"/>
          </rPr>
          <t>AH:</t>
        </r>
        <r>
          <rPr>
            <sz val="9"/>
            <rFont val="宋体"/>
            <charset val="134"/>
          </rPr>
          <t xml:space="preserve">
全桥25孔，按照每孔四等分原则，每孔5个断面，每个断面两个测点，全桥约250个测点</t>
        </r>
      </text>
    </comment>
    <comment ref="O71" authorId="1">
      <text>
        <r>
          <rPr>
            <b/>
            <sz val="9"/>
            <rFont val="宋体"/>
            <charset val="134"/>
          </rPr>
          <t>AH:</t>
        </r>
        <r>
          <rPr>
            <sz val="9"/>
            <rFont val="宋体"/>
            <charset val="134"/>
          </rPr>
          <t xml:space="preserve">
大桥按30元/米</t>
        </r>
      </text>
    </comment>
    <comment ref="X71" authorId="1">
      <text>
        <r>
          <rPr>
            <b/>
            <sz val="9"/>
            <rFont val="宋体"/>
            <charset val="134"/>
          </rPr>
          <t>AH:</t>
        </r>
        <r>
          <rPr>
            <sz val="9"/>
            <rFont val="宋体"/>
            <charset val="134"/>
          </rPr>
          <t xml:space="preserve">
全桥24孔，按照每孔四等分原则，每孔5个断面，每个断面两个测点，全桥约240个测点</t>
        </r>
      </text>
    </comment>
    <comment ref="O72" authorId="1">
      <text>
        <r>
          <rPr>
            <b/>
            <sz val="9"/>
            <rFont val="宋体"/>
            <charset val="134"/>
          </rPr>
          <t>AH:</t>
        </r>
        <r>
          <rPr>
            <sz val="9"/>
            <rFont val="宋体"/>
            <charset val="134"/>
          </rPr>
          <t xml:space="preserve">
小桥按40元/米</t>
        </r>
      </text>
    </comment>
    <comment ref="X72" authorId="1">
      <text>
        <r>
          <rPr>
            <b/>
            <sz val="9"/>
            <rFont val="宋体"/>
            <charset val="134"/>
          </rPr>
          <t>AH:</t>
        </r>
        <r>
          <rPr>
            <sz val="9"/>
            <rFont val="宋体"/>
            <charset val="134"/>
          </rPr>
          <t xml:space="preserve">
按检测方案中、小桥无需测量纵向高程</t>
        </r>
      </text>
    </comment>
    <comment ref="O73" authorId="1">
      <text>
        <r>
          <rPr>
            <b/>
            <sz val="9"/>
            <rFont val="宋体"/>
            <charset val="134"/>
          </rPr>
          <t>AH:</t>
        </r>
        <r>
          <rPr>
            <sz val="9"/>
            <rFont val="宋体"/>
            <charset val="134"/>
          </rPr>
          <t xml:space="preserve">
小桥按40元/米</t>
        </r>
      </text>
    </comment>
    <comment ref="X73" authorId="1">
      <text>
        <r>
          <rPr>
            <b/>
            <sz val="9"/>
            <rFont val="宋体"/>
            <charset val="134"/>
          </rPr>
          <t>AH:</t>
        </r>
        <r>
          <rPr>
            <sz val="9"/>
            <rFont val="宋体"/>
            <charset val="134"/>
          </rPr>
          <t xml:space="preserve">
按检测方案中、小桥无需测量纵向高程</t>
        </r>
      </text>
    </comment>
    <comment ref="O74" authorId="1">
      <text>
        <r>
          <rPr>
            <b/>
            <sz val="9"/>
            <rFont val="宋体"/>
            <charset val="134"/>
          </rPr>
          <t>AH:</t>
        </r>
        <r>
          <rPr>
            <sz val="9"/>
            <rFont val="宋体"/>
            <charset val="134"/>
          </rPr>
          <t xml:space="preserve">
小桥按40元/米</t>
        </r>
      </text>
    </comment>
    <comment ref="X74" authorId="1">
      <text>
        <r>
          <rPr>
            <b/>
            <sz val="9"/>
            <rFont val="宋体"/>
            <charset val="134"/>
          </rPr>
          <t>AH:</t>
        </r>
        <r>
          <rPr>
            <sz val="9"/>
            <rFont val="宋体"/>
            <charset val="134"/>
          </rPr>
          <t xml:space="preserve">
按检测方案中、小桥无需测量纵向高程</t>
        </r>
      </text>
    </comment>
    <comment ref="O75" authorId="1">
      <text>
        <r>
          <rPr>
            <b/>
            <sz val="9"/>
            <rFont val="宋体"/>
            <charset val="134"/>
          </rPr>
          <t>AH:</t>
        </r>
        <r>
          <rPr>
            <sz val="9"/>
            <rFont val="宋体"/>
            <charset val="134"/>
          </rPr>
          <t xml:space="preserve">
小桥按40元/米</t>
        </r>
      </text>
    </comment>
    <comment ref="X75" authorId="1">
      <text>
        <r>
          <rPr>
            <b/>
            <sz val="9"/>
            <rFont val="宋体"/>
            <charset val="134"/>
          </rPr>
          <t>AH:</t>
        </r>
        <r>
          <rPr>
            <sz val="9"/>
            <rFont val="宋体"/>
            <charset val="134"/>
          </rPr>
          <t xml:space="preserve">
按检测方案中、小桥无需测量纵向高程</t>
        </r>
      </text>
    </comment>
    <comment ref="O76" authorId="1">
      <text>
        <r>
          <rPr>
            <b/>
            <sz val="9"/>
            <rFont val="宋体"/>
            <charset val="134"/>
          </rPr>
          <t>AH:</t>
        </r>
        <r>
          <rPr>
            <sz val="9"/>
            <rFont val="宋体"/>
            <charset val="134"/>
          </rPr>
          <t xml:space="preserve">
小桥按40元/米</t>
        </r>
      </text>
    </comment>
    <comment ref="X76" authorId="1">
      <text>
        <r>
          <rPr>
            <b/>
            <sz val="9"/>
            <rFont val="宋体"/>
            <charset val="134"/>
          </rPr>
          <t>AH:</t>
        </r>
        <r>
          <rPr>
            <sz val="9"/>
            <rFont val="宋体"/>
            <charset val="134"/>
          </rPr>
          <t xml:space="preserve">
按检测方案中、小桥无需测量纵向高程</t>
        </r>
      </text>
    </comment>
    <comment ref="B78" authorId="0">
      <text>
        <r>
          <rPr>
            <b/>
            <sz val="9"/>
            <rFont val="宋体"/>
            <charset val="134"/>
          </rPr>
          <t>Owner:</t>
        </r>
        <r>
          <rPr>
            <sz val="9"/>
            <rFont val="宋体"/>
            <charset val="134"/>
          </rPr>
          <t xml:space="preserve">
单孔跨径106m</t>
        </r>
      </text>
    </comment>
    <comment ref="L78" authorId="2">
      <text>
        <r>
          <rPr>
            <b/>
            <sz val="9"/>
            <rFont val="宋体"/>
            <charset val="134"/>
          </rPr>
          <t>user:</t>
        </r>
        <r>
          <rPr>
            <sz val="9"/>
            <rFont val="宋体"/>
            <charset val="134"/>
          </rPr>
          <t xml:space="preserve">
左右幅</t>
        </r>
      </text>
    </comment>
    <comment ref="O78" authorId="2">
      <text>
        <r>
          <rPr>
            <b/>
            <sz val="9"/>
            <rFont val="宋体"/>
            <charset val="134"/>
          </rPr>
          <t>user:</t>
        </r>
        <r>
          <rPr>
            <sz val="9"/>
            <rFont val="宋体"/>
            <charset val="134"/>
          </rPr>
          <t xml:space="preserve">
大桥按30元/米</t>
        </r>
      </text>
    </comment>
    <comment ref="B79" authorId="0">
      <text>
        <r>
          <rPr>
            <b/>
            <sz val="9"/>
            <rFont val="宋体"/>
            <charset val="134"/>
          </rPr>
          <t>Owner:</t>
        </r>
        <r>
          <rPr>
            <sz val="9"/>
            <rFont val="宋体"/>
            <charset val="134"/>
          </rPr>
          <t xml:space="preserve">
跨高速、单孔跨径165m</t>
        </r>
      </text>
    </comment>
    <comment ref="E82" authorId="1">
      <text>
        <r>
          <rPr>
            <b/>
            <sz val="9"/>
            <rFont val="宋体"/>
            <charset val="134"/>
          </rPr>
          <t>批注:</t>
        </r>
        <r>
          <rPr>
            <sz val="9"/>
            <rFont val="宋体"/>
            <charset val="134"/>
          </rPr>
          <t xml:space="preserve">
AH:
甲方数据n2与n3孔数相反  今年提供数据源n2为5 n3为9
</t>
        </r>
      </text>
    </comment>
    <comment ref="B105" authorId="0">
      <text>
        <r>
          <rPr>
            <b/>
            <sz val="9"/>
            <rFont val="宋体"/>
            <charset val="134"/>
          </rPr>
          <t>Owner:</t>
        </r>
        <r>
          <rPr>
            <sz val="9"/>
            <rFont val="宋体"/>
            <charset val="134"/>
          </rPr>
          <t xml:space="preserve">
系杆拱桥</t>
        </r>
      </text>
    </comment>
    <comment ref="O105" authorId="2">
      <text>
        <r>
          <rPr>
            <b/>
            <sz val="9"/>
            <rFont val="宋体"/>
            <charset val="134"/>
          </rPr>
          <t>批注:</t>
        </r>
        <r>
          <rPr>
            <sz val="9"/>
            <rFont val="宋体"/>
            <charset val="134"/>
          </rPr>
          <t xml:space="preserve">
user:
小桥按40元/米
</t>
        </r>
      </text>
    </comment>
    <comment ref="X105" authorId="2">
      <text>
        <r>
          <rPr>
            <b/>
            <sz val="9"/>
            <rFont val="宋体"/>
            <charset val="134"/>
          </rPr>
          <t>批注:</t>
        </r>
        <r>
          <rPr>
            <sz val="9"/>
            <rFont val="宋体"/>
            <charset val="134"/>
          </rPr>
          <t xml:space="preserve">
user:
按检测方案中、小桥无需测量纵向高程
</t>
        </r>
      </text>
    </comment>
    <comment ref="AB105" authorId="0">
      <text>
        <r>
          <rPr>
            <b/>
            <sz val="9"/>
            <rFont val="宋体"/>
            <charset val="134"/>
          </rPr>
          <t>Owner:</t>
        </r>
        <r>
          <rPr>
            <sz val="9"/>
            <rFont val="宋体"/>
            <charset val="134"/>
          </rPr>
          <t xml:space="preserve">
跨径95m</t>
        </r>
      </text>
    </comment>
    <comment ref="AC105" authorId="0">
      <text>
        <r>
          <rPr>
            <b/>
            <sz val="9"/>
            <rFont val="宋体"/>
            <charset val="134"/>
          </rPr>
          <t>Owner:</t>
        </r>
        <r>
          <rPr>
            <sz val="9"/>
            <rFont val="宋体"/>
            <charset val="134"/>
          </rPr>
          <t xml:space="preserve">
跨径95m</t>
        </r>
      </text>
    </comment>
  </commentList>
</comments>
</file>

<file path=xl/comments2.xml><?xml version="1.0" encoding="utf-8"?>
<comments xmlns="http://schemas.openxmlformats.org/spreadsheetml/2006/main">
  <authors>
    <author>user</author>
    <author>AH</author>
    <author>Owner</author>
  </authors>
  <commentList>
    <comment ref="O4" authorId="0">
      <text>
        <r>
          <rPr>
            <b/>
            <sz val="9"/>
            <rFont val="宋体"/>
            <charset val="134"/>
          </rPr>
          <t>user:</t>
        </r>
        <r>
          <rPr>
            <sz val="9"/>
            <rFont val="宋体"/>
            <charset val="134"/>
          </rPr>
          <t xml:space="preserve">
大桥按30元/米</t>
        </r>
      </text>
    </comment>
    <comment ref="L5" authorId="0">
      <text>
        <r>
          <rPr>
            <b/>
            <sz val="9"/>
            <rFont val="宋体"/>
            <charset val="134"/>
          </rPr>
          <t>user:</t>
        </r>
        <r>
          <rPr>
            <sz val="9"/>
            <rFont val="宋体"/>
            <charset val="134"/>
          </rPr>
          <t xml:space="preserve">
该桥分左右幅及箱室内</t>
        </r>
      </text>
    </comment>
    <comment ref="E24" authorId="1">
      <text>
        <r>
          <rPr>
            <b/>
            <sz val="9"/>
            <rFont val="宋体"/>
            <charset val="134"/>
          </rPr>
          <t>批注:</t>
        </r>
        <r>
          <rPr>
            <sz val="9"/>
            <rFont val="宋体"/>
            <charset val="134"/>
          </rPr>
          <t xml:space="preserve">
AH:
甲方数据n2与n3孔数相反  今年提供数据源n2为5 n3为9
</t>
        </r>
      </text>
    </comment>
    <comment ref="X47" authorId="0">
      <text>
        <r>
          <rPr>
            <b/>
            <sz val="9"/>
            <rFont val="宋体"/>
            <charset val="134"/>
          </rPr>
          <t>批注:</t>
        </r>
        <r>
          <rPr>
            <sz val="9"/>
            <rFont val="宋体"/>
            <charset val="134"/>
          </rPr>
          <t xml:space="preserve">
user:
按检测方案中、小桥无需测量纵向高程
</t>
        </r>
      </text>
    </comment>
    <comment ref="AB47" authorId="2">
      <text>
        <r>
          <rPr>
            <b/>
            <sz val="9"/>
            <rFont val="宋体"/>
            <charset val="134"/>
          </rPr>
          <t>Owner:</t>
        </r>
        <r>
          <rPr>
            <sz val="9"/>
            <rFont val="宋体"/>
            <charset val="134"/>
          </rPr>
          <t xml:space="preserve">
跨径95m</t>
        </r>
      </text>
    </comment>
    <comment ref="AC47" authorId="2">
      <text>
        <r>
          <rPr>
            <b/>
            <sz val="9"/>
            <rFont val="宋体"/>
            <charset val="134"/>
          </rPr>
          <t>Owner:</t>
        </r>
        <r>
          <rPr>
            <sz val="9"/>
            <rFont val="宋体"/>
            <charset val="134"/>
          </rPr>
          <t xml:space="preserve">
跨径95m</t>
        </r>
      </text>
    </comment>
  </commentList>
</comments>
</file>

<file path=xl/comments3.xml><?xml version="1.0" encoding="utf-8"?>
<comments xmlns="http://schemas.openxmlformats.org/spreadsheetml/2006/main">
  <authors>
    <author>Owner</author>
    <author>user</author>
  </authors>
  <commentList>
    <comment ref="B4" authorId="0">
      <text>
        <r>
          <rPr>
            <b/>
            <sz val="9"/>
            <rFont val="宋体"/>
            <charset val="134"/>
          </rPr>
          <t>Owner:</t>
        </r>
        <r>
          <rPr>
            <sz val="9"/>
            <rFont val="宋体"/>
            <charset val="134"/>
          </rPr>
          <t xml:space="preserve">
斜拉桥</t>
        </r>
      </text>
    </comment>
    <comment ref="L4" authorId="1">
      <text>
        <r>
          <rPr>
            <b/>
            <sz val="9"/>
            <rFont val="宋体"/>
            <charset val="134"/>
          </rPr>
          <t>user:</t>
        </r>
        <r>
          <rPr>
            <sz val="9"/>
            <rFont val="宋体"/>
            <charset val="134"/>
          </rPr>
          <t xml:space="preserve">
该桥检测内容较多，外观检查+专项检测预计需要8天，荷载试验预计需要6天。</t>
        </r>
      </text>
    </comment>
    <comment ref="O4" authorId="1">
      <text>
        <r>
          <rPr>
            <b/>
            <sz val="9"/>
            <rFont val="宋体"/>
            <charset val="134"/>
          </rPr>
          <t>user:</t>
        </r>
        <r>
          <rPr>
            <sz val="9"/>
            <rFont val="宋体"/>
            <charset val="134"/>
          </rPr>
          <t xml:space="preserve">
特大桥、特殊结构桥按25元/米</t>
        </r>
      </text>
    </comment>
    <comment ref="Z4" authorId="1">
      <text>
        <r>
          <rPr>
            <b/>
            <sz val="9"/>
            <rFont val="宋体"/>
            <charset val="134"/>
          </rPr>
          <t>user:</t>
        </r>
        <r>
          <rPr>
            <sz val="9"/>
            <rFont val="宋体"/>
            <charset val="134"/>
          </rPr>
          <t xml:space="preserve">
该桥需测试索塔偏位，需使用高精度全站仪，全站仪台班参照收费标准第19页为2600元；再综合考虑配套的对中杆及棱镜费用400元，综合考虑3000元</t>
        </r>
      </text>
    </comment>
    <comment ref="AB4" authorId="1">
      <text>
        <r>
          <rPr>
            <b/>
            <sz val="9"/>
            <rFont val="宋体"/>
            <charset val="134"/>
          </rPr>
          <t>user:</t>
        </r>
        <r>
          <rPr>
            <sz val="9"/>
            <rFont val="宋体"/>
            <charset val="134"/>
          </rPr>
          <t xml:space="preserve">
参照收费标准第20页，斜拉桥单孔静载试验费为98000元，主桥为两孔</t>
        </r>
      </text>
    </comment>
    <comment ref="AC4" authorId="1">
      <text>
        <r>
          <rPr>
            <b/>
            <sz val="9"/>
            <rFont val="宋体"/>
            <charset val="134"/>
          </rPr>
          <t>user:</t>
        </r>
        <r>
          <rPr>
            <sz val="9"/>
            <rFont val="宋体"/>
            <charset val="134"/>
          </rPr>
          <t xml:space="preserve">
参照收费标准第20页，斜拉桥单孔动试验费为30000元，主桥为两孔</t>
        </r>
      </text>
    </comment>
    <comment ref="AD4" authorId="1">
      <text>
        <r>
          <rPr>
            <b/>
            <sz val="9"/>
            <rFont val="宋体"/>
            <charset val="134"/>
          </rPr>
          <t>user:</t>
        </r>
        <r>
          <rPr>
            <sz val="9"/>
            <rFont val="宋体"/>
            <charset val="134"/>
          </rPr>
          <t xml:space="preserve">
该桥需要12辆加载车，每辆加载车2000元/台班，另需考虑荷载试验期间的封道措施费36000元。</t>
        </r>
      </text>
    </comment>
    <comment ref="AG4" authorId="1">
      <text>
        <r>
          <rPr>
            <b/>
            <sz val="9"/>
            <rFont val="宋体"/>
            <charset val="134"/>
          </rPr>
          <t>user:</t>
        </r>
        <r>
          <rPr>
            <sz val="9"/>
            <rFont val="宋体"/>
            <charset val="134"/>
          </rPr>
          <t xml:space="preserve">
全桥合计40根拉索</t>
        </r>
      </text>
    </comment>
  </commentList>
</comments>
</file>

<file path=xl/comments4.xml><?xml version="1.0" encoding="utf-8"?>
<comments xmlns="http://schemas.openxmlformats.org/spreadsheetml/2006/main">
  <authors>
    <author>Owner</author>
    <author>user</author>
    <author>AH</author>
  </authors>
  <commentList>
    <comment ref="AY4" authorId="0">
      <text>
        <r>
          <rPr>
            <b/>
            <sz val="9"/>
            <rFont val="宋体"/>
            <charset val="134"/>
          </rPr>
          <t>Owner:</t>
        </r>
        <r>
          <rPr>
            <sz val="9"/>
            <rFont val="宋体"/>
            <charset val="134"/>
          </rPr>
          <t xml:space="preserve">
23年评定等级，以下同</t>
        </r>
      </text>
    </comment>
    <comment ref="AB6" authorId="0">
      <text>
        <r>
          <rPr>
            <b/>
            <sz val="9"/>
            <rFont val="宋体"/>
            <charset val="134"/>
          </rPr>
          <t xml:space="preserve">Owner:
</t>
        </r>
        <r>
          <rPr>
            <sz val="9"/>
            <rFont val="宋体"/>
            <charset val="134"/>
          </rPr>
          <t>跨径132m</t>
        </r>
      </text>
    </comment>
    <comment ref="AC6" authorId="0">
      <text>
        <r>
          <rPr>
            <b/>
            <sz val="9"/>
            <rFont val="宋体"/>
            <charset val="134"/>
          </rPr>
          <t>Owner:</t>
        </r>
        <r>
          <rPr>
            <sz val="9"/>
            <rFont val="宋体"/>
            <charset val="134"/>
          </rPr>
          <t xml:space="preserve">
跨径132m
</t>
        </r>
      </text>
    </comment>
    <comment ref="AD6" authorId="1">
      <text>
        <r>
          <rPr>
            <b/>
            <sz val="9"/>
            <rFont val="宋体"/>
            <charset val="134"/>
          </rPr>
          <t>user:</t>
        </r>
        <r>
          <rPr>
            <sz val="9"/>
            <rFont val="宋体"/>
            <charset val="134"/>
          </rPr>
          <t xml:space="preserve">
该桥需要12辆加载车，每辆加载车2000元/台班，另需考虑荷载试验期间的封道措施费36000元。</t>
        </r>
      </text>
    </comment>
    <comment ref="L7" authorId="1">
      <text>
        <r>
          <rPr>
            <b/>
            <sz val="9"/>
            <rFont val="宋体"/>
            <charset val="134"/>
          </rPr>
          <t>user:</t>
        </r>
        <r>
          <rPr>
            <sz val="9"/>
            <rFont val="宋体"/>
            <charset val="134"/>
          </rPr>
          <t xml:space="preserve">
该桥分左右幅及箱室内</t>
        </r>
      </text>
    </comment>
    <comment ref="O8" authorId="1">
      <text>
        <r>
          <rPr>
            <b/>
            <sz val="9"/>
            <rFont val="宋体"/>
            <charset val="134"/>
          </rPr>
          <t>user:</t>
        </r>
        <r>
          <rPr>
            <sz val="9"/>
            <rFont val="宋体"/>
            <charset val="134"/>
          </rPr>
          <t xml:space="preserve">
特大桥按25元/米</t>
        </r>
      </text>
    </comment>
    <comment ref="O22" authorId="2">
      <text>
        <r>
          <rPr>
            <b/>
            <sz val="9"/>
            <rFont val="宋体"/>
            <charset val="134"/>
          </rPr>
          <t>AH:</t>
        </r>
        <r>
          <rPr>
            <sz val="9"/>
            <rFont val="宋体"/>
            <charset val="134"/>
          </rPr>
          <t xml:space="preserve">
特殊结构和特大桥按25元/米</t>
        </r>
      </text>
    </comment>
    <comment ref="L33" authorId="1">
      <text>
        <r>
          <rPr>
            <b/>
            <sz val="9"/>
            <rFont val="宋体"/>
            <charset val="134"/>
          </rPr>
          <t>user:</t>
        </r>
        <r>
          <rPr>
            <sz val="9"/>
            <rFont val="宋体"/>
            <charset val="134"/>
          </rPr>
          <t xml:space="preserve">
左右幅</t>
        </r>
      </text>
    </comment>
  </commentList>
</comments>
</file>

<file path=xl/comments5.xml><?xml version="1.0" encoding="utf-8"?>
<comments xmlns="http://schemas.openxmlformats.org/spreadsheetml/2006/main">
  <authors>
    <author>Owner</author>
  </authors>
  <commentList>
    <comment ref="D12" authorId="0">
      <text>
        <r>
          <rPr>
            <b/>
            <sz val="9"/>
            <rFont val="宋体"/>
            <charset val="134"/>
          </rPr>
          <t>Owner:</t>
        </r>
        <r>
          <rPr>
            <sz val="9"/>
            <rFont val="宋体"/>
            <charset val="134"/>
          </rPr>
          <t xml:space="preserve">
跨径95m</t>
        </r>
      </text>
    </comment>
    <comment ref="E12" authorId="0">
      <text>
        <r>
          <rPr>
            <b/>
            <sz val="9"/>
            <rFont val="宋体"/>
            <charset val="134"/>
          </rPr>
          <t>Owner:</t>
        </r>
        <r>
          <rPr>
            <sz val="9"/>
            <rFont val="宋体"/>
            <charset val="134"/>
          </rPr>
          <t xml:space="preserve">
跨径95m</t>
        </r>
      </text>
    </comment>
  </commentList>
</comments>
</file>

<file path=xl/sharedStrings.xml><?xml version="1.0" encoding="utf-8"?>
<sst xmlns="http://schemas.openxmlformats.org/spreadsheetml/2006/main" count="1491" uniqueCount="281">
  <si>
    <t>2025年市管桥梁结构定期检测预算清单</t>
  </si>
  <si>
    <r>
      <rPr>
        <sz val="10"/>
        <rFont val="宋体"/>
        <charset val="134"/>
      </rPr>
      <t>序号</t>
    </r>
  </si>
  <si>
    <r>
      <rPr>
        <sz val="10"/>
        <rFont val="宋体"/>
        <charset val="134"/>
      </rPr>
      <t>桥名</t>
    </r>
  </si>
  <si>
    <r>
      <rPr>
        <sz val="10"/>
        <rFont val="宋体"/>
        <charset val="134"/>
      </rPr>
      <t>地点</t>
    </r>
  </si>
  <si>
    <r>
      <rPr>
        <sz val="10"/>
        <rFont val="宋体"/>
        <charset val="134"/>
      </rPr>
      <t>全长（</t>
    </r>
    <r>
      <rPr>
        <sz val="10"/>
        <rFont val="Times New Roman"/>
        <charset val="134"/>
      </rPr>
      <t>m</t>
    </r>
    <r>
      <rPr>
        <sz val="10"/>
        <rFont val="宋体"/>
        <charset val="134"/>
      </rPr>
      <t>）</t>
    </r>
  </si>
  <si>
    <r>
      <rPr>
        <sz val="10"/>
        <rFont val="宋体"/>
        <charset val="134"/>
      </rPr>
      <t>孔数</t>
    </r>
  </si>
  <si>
    <r>
      <rPr>
        <sz val="10"/>
        <rFont val="宋体"/>
        <charset val="134"/>
      </rPr>
      <t>面积（</t>
    </r>
    <r>
      <rPr>
        <sz val="10"/>
        <rFont val="Times New Roman"/>
        <charset val="134"/>
      </rPr>
      <t>m2</t>
    </r>
    <r>
      <rPr>
        <sz val="10"/>
        <rFont val="宋体"/>
        <charset val="134"/>
      </rPr>
      <t>）</t>
    </r>
  </si>
  <si>
    <r>
      <rPr>
        <sz val="10"/>
        <rFont val="宋体"/>
        <charset val="134"/>
      </rPr>
      <t>计算构件数（个）</t>
    </r>
  </si>
  <si>
    <r>
      <rPr>
        <sz val="10"/>
        <rFont val="宋体"/>
        <charset val="134"/>
      </rPr>
      <t>支座</t>
    </r>
  </si>
  <si>
    <r>
      <rPr>
        <sz val="10"/>
        <rFont val="宋体"/>
        <charset val="134"/>
      </rPr>
      <t>伸缩缝（条）</t>
    </r>
  </si>
  <si>
    <t>水下桩基（个）</t>
  </si>
  <si>
    <r>
      <rPr>
        <sz val="10"/>
        <rFont val="宋体"/>
        <charset val="134"/>
      </rPr>
      <t>工期</t>
    </r>
    <r>
      <rPr>
        <sz val="10"/>
        <rFont val="Times New Roman"/>
        <charset val="134"/>
      </rPr>
      <t>(</t>
    </r>
    <r>
      <rPr>
        <sz val="10"/>
        <rFont val="宋体"/>
        <charset val="134"/>
      </rPr>
      <t>天</t>
    </r>
    <r>
      <rPr>
        <sz val="10"/>
        <rFont val="Times New Roman"/>
        <charset val="134"/>
      </rPr>
      <t>)</t>
    </r>
  </si>
  <si>
    <t>机械租赁（台班）包干</t>
  </si>
  <si>
    <r>
      <rPr>
        <sz val="10"/>
        <rFont val="宋体"/>
        <charset val="134"/>
      </rPr>
      <t>桥梁外观检测</t>
    </r>
  </si>
  <si>
    <r>
      <rPr>
        <sz val="10"/>
        <rFont val="宋体"/>
        <charset val="134"/>
      </rPr>
      <t>支座检查</t>
    </r>
  </si>
  <si>
    <r>
      <rPr>
        <sz val="10"/>
        <rFont val="宋体"/>
        <charset val="134"/>
      </rPr>
      <t>材质状态参数（无损检测）</t>
    </r>
  </si>
  <si>
    <r>
      <rPr>
        <sz val="10"/>
        <rFont val="宋体"/>
        <charset val="134"/>
      </rPr>
      <t>裂缝（按每跨</t>
    </r>
    <r>
      <rPr>
        <sz val="10"/>
        <rFont val="Times New Roman"/>
        <charset val="134"/>
      </rPr>
      <t>10</t>
    </r>
    <r>
      <rPr>
        <sz val="10"/>
        <rFont val="宋体"/>
        <charset val="134"/>
      </rPr>
      <t>条预估）</t>
    </r>
  </si>
  <si>
    <r>
      <rPr>
        <sz val="10"/>
        <rFont val="宋体"/>
        <charset val="134"/>
      </rPr>
      <t>线型测量</t>
    </r>
  </si>
  <si>
    <r>
      <rPr>
        <sz val="10"/>
        <rFont val="宋体"/>
        <charset val="134"/>
      </rPr>
      <t>拱肋或索塔偏位</t>
    </r>
  </si>
  <si>
    <r>
      <rPr>
        <sz val="10"/>
        <rFont val="宋体"/>
        <charset val="134"/>
      </rPr>
      <t>结构检算</t>
    </r>
  </si>
  <si>
    <r>
      <rPr>
        <sz val="10"/>
        <rFont val="宋体"/>
        <charset val="134"/>
      </rPr>
      <t>荷载试验</t>
    </r>
  </si>
  <si>
    <r>
      <rPr>
        <sz val="10"/>
        <rFont val="宋体"/>
        <charset val="134"/>
      </rPr>
      <t>大桥自振频率</t>
    </r>
  </si>
  <si>
    <r>
      <rPr>
        <sz val="10"/>
        <rFont val="宋体"/>
        <charset val="134"/>
      </rPr>
      <t>水下桩基破损调查</t>
    </r>
  </si>
  <si>
    <r>
      <rPr>
        <sz val="10"/>
        <rFont val="宋体"/>
        <charset val="134"/>
      </rPr>
      <t>索力检测费</t>
    </r>
  </si>
  <si>
    <r>
      <rPr>
        <sz val="10"/>
        <rFont val="宋体"/>
        <charset val="134"/>
      </rPr>
      <t>吊杆上下锚头检查</t>
    </r>
  </si>
  <si>
    <r>
      <rPr>
        <sz val="10"/>
        <rFont val="宋体"/>
        <charset val="134"/>
      </rPr>
      <t>螺栓扭矩检测</t>
    </r>
  </si>
  <si>
    <r>
      <rPr>
        <sz val="10"/>
        <rFont val="宋体"/>
        <charset val="134"/>
      </rPr>
      <t>焊缝探伤检测</t>
    </r>
  </si>
  <si>
    <r>
      <rPr>
        <sz val="10"/>
        <rFont val="宋体"/>
        <charset val="134"/>
      </rPr>
      <t>结构涂层检测</t>
    </r>
  </si>
  <si>
    <r>
      <rPr>
        <sz val="10"/>
        <rFont val="宋体"/>
        <charset val="134"/>
      </rPr>
      <t>维修后检查费</t>
    </r>
  </si>
  <si>
    <r>
      <rPr>
        <sz val="10"/>
        <rFont val="宋体"/>
        <charset val="134"/>
      </rPr>
      <t>合计</t>
    </r>
  </si>
  <si>
    <t>道路等级</t>
  </si>
  <si>
    <t>划分原则</t>
  </si>
  <si>
    <t>市级</t>
  </si>
  <si>
    <t>梁溪区</t>
  </si>
  <si>
    <t>滨湖区</t>
  </si>
  <si>
    <t>新吴区</t>
  </si>
  <si>
    <t>惠山区</t>
  </si>
  <si>
    <t>经开区</t>
  </si>
  <si>
    <t>锡山区</t>
  </si>
  <si>
    <t>建设年代</t>
  </si>
  <si>
    <t>上一次检测时间</t>
  </si>
  <si>
    <t>加固桥梁上期检测等级</t>
  </si>
  <si>
    <t>桥梁类型</t>
  </si>
  <si>
    <t>养护类别</t>
  </si>
  <si>
    <t>标段</t>
  </si>
  <si>
    <r>
      <rPr>
        <sz val="10"/>
        <rFont val="宋体"/>
        <charset val="134"/>
      </rPr>
      <t>板式橡胶支座（个）</t>
    </r>
  </si>
  <si>
    <r>
      <rPr>
        <sz val="10"/>
        <rFont val="宋体"/>
        <charset val="134"/>
      </rPr>
      <t>盆式橡胶支座（个）</t>
    </r>
  </si>
  <si>
    <r>
      <rPr>
        <sz val="10"/>
        <rFont val="宋体"/>
        <charset val="134"/>
      </rPr>
      <t>桥检车</t>
    </r>
  </si>
  <si>
    <r>
      <rPr>
        <sz val="10"/>
        <rFont val="宋体"/>
        <charset val="134"/>
      </rPr>
      <t>登高车或租船</t>
    </r>
  </si>
  <si>
    <r>
      <rPr>
        <sz val="10"/>
        <rFont val="宋体"/>
        <charset val="134"/>
      </rPr>
      <t>超声回弹测强度</t>
    </r>
  </si>
  <si>
    <r>
      <rPr>
        <sz val="10"/>
        <rFont val="宋体"/>
        <charset val="134"/>
      </rPr>
      <t>碳化深度</t>
    </r>
  </si>
  <si>
    <r>
      <rPr>
        <sz val="10"/>
        <rFont val="宋体"/>
        <charset val="134"/>
      </rPr>
      <t>超宽裂缝深度</t>
    </r>
  </si>
  <si>
    <r>
      <rPr>
        <sz val="10"/>
        <rFont val="宋体"/>
        <charset val="134"/>
      </rPr>
      <t>钢筋锈蚀</t>
    </r>
  </si>
  <si>
    <r>
      <rPr>
        <sz val="10"/>
        <rFont val="宋体"/>
        <charset val="134"/>
      </rPr>
      <t>钢筋保护层厚度</t>
    </r>
  </si>
  <si>
    <r>
      <rPr>
        <sz val="10"/>
        <rFont val="宋体"/>
        <charset val="134"/>
      </rPr>
      <t>宽度</t>
    </r>
  </si>
  <si>
    <r>
      <rPr>
        <sz val="10"/>
        <rFont val="宋体"/>
        <charset val="134"/>
      </rPr>
      <t>长度</t>
    </r>
  </si>
  <si>
    <r>
      <rPr>
        <sz val="10"/>
        <rFont val="宋体"/>
        <charset val="134"/>
      </rPr>
      <t>纵向高程</t>
    </r>
  </si>
  <si>
    <r>
      <rPr>
        <sz val="10"/>
        <rFont val="宋体"/>
        <charset val="134"/>
      </rPr>
      <t>平面</t>
    </r>
  </si>
  <si>
    <r>
      <rPr>
        <sz val="10"/>
        <rFont val="宋体"/>
        <charset val="134"/>
      </rPr>
      <t>静载试验</t>
    </r>
  </si>
  <si>
    <r>
      <rPr>
        <sz val="10"/>
        <rFont val="宋体"/>
        <charset val="134"/>
      </rPr>
      <t>动载试验</t>
    </r>
  </si>
  <si>
    <r>
      <rPr>
        <sz val="10"/>
        <rFont val="宋体"/>
        <charset val="134"/>
      </rPr>
      <t>试验准备（加载车及测试支架搭设）</t>
    </r>
  </si>
  <si>
    <t>宝界桥（新）</t>
  </si>
  <si>
    <t>双虹路</t>
  </si>
  <si>
    <t>二、三级主干路</t>
  </si>
  <si>
    <t>滨湖区100%</t>
  </si>
  <si>
    <t>1994/2016、2021加固</t>
  </si>
  <si>
    <t>2024年</t>
  </si>
  <si>
    <t>B</t>
  </si>
  <si>
    <t>大型</t>
  </si>
  <si>
    <t>Ⅲ类</t>
  </si>
  <si>
    <t>吴桥</t>
  </si>
  <si>
    <t>通惠西路</t>
  </si>
  <si>
    <t>梁溪区100%</t>
  </si>
  <si>
    <t>1994.12.16改建
2009年加固</t>
  </si>
  <si>
    <t>特大型</t>
  </si>
  <si>
    <t>仙蠡桥</t>
  </si>
  <si>
    <t>运河东路</t>
  </si>
  <si>
    <t>一级主干路</t>
  </si>
  <si>
    <t>市级100%</t>
  </si>
  <si>
    <t>1995/2018加固</t>
  </si>
  <si>
    <t>华清大桥</t>
  </si>
  <si>
    <t>华清北路</t>
  </si>
  <si>
    <t>2004/2014年加固</t>
  </si>
  <si>
    <t>2022年</t>
  </si>
  <si>
    <t>合格</t>
  </si>
  <si>
    <t>大型、特殊结构</t>
  </si>
  <si>
    <t>Ⅰ类</t>
  </si>
  <si>
    <t>蓉湖大桥</t>
  </si>
  <si>
    <t>盛岸路</t>
  </si>
  <si>
    <t>2004.6.1
2008年蓉湖大桥慢车道改造</t>
  </si>
  <si>
    <t>特大型、特殊结构</t>
  </si>
  <si>
    <t>蓉湖大桥南北匝道桥</t>
  </si>
  <si>
    <t>2004.1.1</t>
  </si>
  <si>
    <t>凤翔大桥</t>
  </si>
  <si>
    <t>凤翔路</t>
  </si>
  <si>
    <t>快速路</t>
  </si>
  <si>
    <t>市级50%、梁溪50%</t>
  </si>
  <si>
    <t>2008.9.28</t>
  </si>
  <si>
    <t>锡山大桥</t>
  </si>
  <si>
    <t>人民西路</t>
  </si>
  <si>
    <t>次干路</t>
  </si>
  <si>
    <t>梁溪区50%、滨湖区50%</t>
  </si>
  <si>
    <t>1983/2019加固</t>
  </si>
  <si>
    <t>Ⅳ类</t>
  </si>
  <si>
    <t>金城大桥</t>
  </si>
  <si>
    <t>金城路</t>
  </si>
  <si>
    <r>
      <rPr>
        <sz val="8"/>
        <rFont val="宋体"/>
        <charset val="134"/>
      </rPr>
      <t>2004/2016</t>
    </r>
    <r>
      <rPr>
        <i/>
        <sz val="8"/>
        <rFont val="宋体"/>
        <charset val="134"/>
      </rPr>
      <t>加固</t>
    </r>
  </si>
  <si>
    <t>金城路立交金城路主线桥</t>
  </si>
  <si>
    <t>2005.4.30</t>
  </si>
  <si>
    <r>
      <rPr>
        <sz val="8"/>
        <rFont val="宋体"/>
        <charset val="134"/>
      </rPr>
      <t>2019</t>
    </r>
    <r>
      <rPr>
        <sz val="8"/>
        <rFont val="宋体"/>
        <charset val="134"/>
      </rPr>
      <t>年</t>
    </r>
  </si>
  <si>
    <t>高架、立交</t>
  </si>
  <si>
    <t>Ⅱ类</t>
  </si>
  <si>
    <t>金城路立交兴源路主线桥</t>
  </si>
  <si>
    <t xml:space="preserve">金城路立交A匝道桥 </t>
  </si>
  <si>
    <t xml:space="preserve">金城路立交B匝道桥 </t>
  </si>
  <si>
    <t xml:space="preserve">金城路立交C匝道桥 </t>
  </si>
  <si>
    <t xml:space="preserve">金城路立交D匝道桥 </t>
  </si>
  <si>
    <t xml:space="preserve">金城路立交E匝道桥 </t>
  </si>
  <si>
    <t xml:space="preserve">金城路立交F匝道桥 </t>
  </si>
  <si>
    <t xml:space="preserve">金城路立交G匝道桥 </t>
  </si>
  <si>
    <t xml:space="preserve">金城路立交H匝道桥 </t>
  </si>
  <si>
    <t xml:space="preserve">金城路立交I匝道桥 </t>
  </si>
  <si>
    <t>景云立交主线桥</t>
  </si>
  <si>
    <r>
      <rPr>
        <sz val="10"/>
        <rFont val="宋体"/>
        <charset val="134"/>
      </rPr>
      <t>金城东路</t>
    </r>
  </si>
  <si>
    <t>新吴区100%</t>
  </si>
  <si>
    <r>
      <rPr>
        <sz val="10"/>
        <rFont val="宋体"/>
        <charset val="134"/>
      </rPr>
      <t>景云立交</t>
    </r>
    <r>
      <rPr>
        <sz val="10"/>
        <rFont val="Times New Roman"/>
        <charset val="134"/>
      </rPr>
      <t>G</t>
    </r>
    <r>
      <rPr>
        <sz val="10"/>
        <rFont val="宋体"/>
        <charset val="134"/>
      </rPr>
      <t>匝道桥</t>
    </r>
  </si>
  <si>
    <r>
      <rPr>
        <sz val="10"/>
        <rFont val="宋体"/>
        <charset val="134"/>
      </rPr>
      <t>景云立交</t>
    </r>
    <r>
      <rPr>
        <sz val="10"/>
        <rFont val="Times New Roman"/>
        <charset val="134"/>
      </rPr>
      <t>I</t>
    </r>
    <r>
      <rPr>
        <sz val="10"/>
        <rFont val="宋体"/>
        <charset val="134"/>
      </rPr>
      <t>匝道桥</t>
    </r>
  </si>
  <si>
    <r>
      <rPr>
        <sz val="10"/>
        <rFont val="宋体"/>
        <charset val="134"/>
      </rPr>
      <t>景云立交</t>
    </r>
    <r>
      <rPr>
        <sz val="10"/>
        <rFont val="Times New Roman"/>
        <charset val="134"/>
      </rPr>
      <t>J</t>
    </r>
    <r>
      <rPr>
        <sz val="10"/>
        <rFont val="宋体"/>
        <charset val="134"/>
      </rPr>
      <t>匝道桥</t>
    </r>
  </si>
  <si>
    <r>
      <rPr>
        <sz val="10"/>
        <rFont val="宋体"/>
        <charset val="134"/>
      </rPr>
      <t>景云立交</t>
    </r>
    <r>
      <rPr>
        <sz val="10"/>
        <rFont val="Times New Roman"/>
        <charset val="134"/>
      </rPr>
      <t>K</t>
    </r>
    <r>
      <rPr>
        <sz val="10"/>
        <rFont val="宋体"/>
        <charset val="134"/>
      </rPr>
      <t>匝道桥</t>
    </r>
  </si>
  <si>
    <t>景渎立交金城路高架桥</t>
  </si>
  <si>
    <r>
      <rPr>
        <sz val="10"/>
        <rFont val="宋体"/>
        <charset val="134"/>
      </rPr>
      <t>景渎立交江海路高架桥</t>
    </r>
  </si>
  <si>
    <r>
      <rPr>
        <sz val="10"/>
        <rFont val="宋体"/>
        <charset val="134"/>
      </rPr>
      <t>景渎立交</t>
    </r>
    <r>
      <rPr>
        <sz val="10"/>
        <rFont val="Times New Roman"/>
        <charset val="134"/>
      </rPr>
      <t>A</t>
    </r>
    <r>
      <rPr>
        <sz val="10"/>
        <rFont val="宋体"/>
        <charset val="134"/>
      </rPr>
      <t>匝道桥</t>
    </r>
  </si>
  <si>
    <r>
      <rPr>
        <sz val="10"/>
        <rFont val="宋体"/>
        <charset val="134"/>
      </rPr>
      <t>景渎立交</t>
    </r>
    <r>
      <rPr>
        <sz val="10"/>
        <rFont val="Times New Roman"/>
        <charset val="134"/>
      </rPr>
      <t>B</t>
    </r>
    <r>
      <rPr>
        <sz val="10"/>
        <rFont val="宋体"/>
        <charset val="134"/>
      </rPr>
      <t>匝道桥</t>
    </r>
  </si>
  <si>
    <r>
      <rPr>
        <sz val="10"/>
        <rFont val="宋体"/>
        <charset val="134"/>
      </rPr>
      <t>景渎立交</t>
    </r>
    <r>
      <rPr>
        <sz val="10"/>
        <rFont val="Times New Roman"/>
        <charset val="134"/>
      </rPr>
      <t>C</t>
    </r>
    <r>
      <rPr>
        <sz val="10"/>
        <rFont val="宋体"/>
        <charset val="134"/>
      </rPr>
      <t>匝道桥</t>
    </r>
  </si>
  <si>
    <r>
      <rPr>
        <sz val="10"/>
        <rFont val="宋体"/>
        <charset val="134"/>
      </rPr>
      <t>景渎立交</t>
    </r>
    <r>
      <rPr>
        <sz val="10"/>
        <rFont val="Times New Roman"/>
        <charset val="134"/>
      </rPr>
      <t>E</t>
    </r>
    <r>
      <rPr>
        <sz val="10"/>
        <rFont val="宋体"/>
        <charset val="134"/>
      </rPr>
      <t>匝道桥</t>
    </r>
  </si>
  <si>
    <r>
      <rPr>
        <sz val="10"/>
        <rFont val="宋体"/>
        <charset val="134"/>
      </rPr>
      <t>景渎立交</t>
    </r>
    <r>
      <rPr>
        <sz val="10"/>
        <rFont val="Times New Roman"/>
        <charset val="134"/>
      </rPr>
      <t>F</t>
    </r>
    <r>
      <rPr>
        <sz val="10"/>
        <rFont val="宋体"/>
        <charset val="134"/>
      </rPr>
      <t>匝道桥</t>
    </r>
  </si>
  <si>
    <t>瞻江立交（江海路高架桥）</t>
  </si>
  <si>
    <r>
      <rPr>
        <sz val="10"/>
        <rFont val="宋体"/>
        <charset val="134"/>
      </rPr>
      <t>江海东路</t>
    </r>
  </si>
  <si>
    <r>
      <rPr>
        <sz val="10"/>
        <rFont val="宋体"/>
        <charset val="134"/>
      </rPr>
      <t>瞻江立交</t>
    </r>
    <r>
      <rPr>
        <sz val="10"/>
        <rFont val="Times New Roman"/>
        <charset val="134"/>
      </rPr>
      <t>A</t>
    </r>
    <r>
      <rPr>
        <sz val="10"/>
        <rFont val="宋体"/>
        <charset val="134"/>
      </rPr>
      <t>匝道桥</t>
    </r>
  </si>
  <si>
    <r>
      <rPr>
        <sz val="10"/>
        <rFont val="宋体"/>
        <charset val="134"/>
      </rPr>
      <t>瞻江立交</t>
    </r>
    <r>
      <rPr>
        <sz val="10"/>
        <rFont val="Times New Roman"/>
        <charset val="134"/>
      </rPr>
      <t>B</t>
    </r>
    <r>
      <rPr>
        <sz val="10"/>
        <rFont val="宋体"/>
        <charset val="134"/>
      </rPr>
      <t>匝道桥</t>
    </r>
  </si>
  <si>
    <r>
      <rPr>
        <sz val="10"/>
        <rFont val="宋体"/>
        <charset val="134"/>
      </rPr>
      <t>江海路高架</t>
    </r>
    <r>
      <rPr>
        <sz val="10"/>
        <rFont val="Times New Roman"/>
        <charset val="134"/>
      </rPr>
      <t>D1</t>
    </r>
    <r>
      <rPr>
        <sz val="10"/>
        <rFont val="宋体"/>
        <charset val="134"/>
      </rPr>
      <t>匝道桥</t>
    </r>
  </si>
  <si>
    <r>
      <rPr>
        <sz val="10"/>
        <rFont val="宋体"/>
        <charset val="134"/>
      </rPr>
      <t>江海路高架</t>
    </r>
    <r>
      <rPr>
        <sz val="10"/>
        <rFont val="Times New Roman"/>
        <charset val="134"/>
      </rPr>
      <t>D2</t>
    </r>
    <r>
      <rPr>
        <sz val="10"/>
        <rFont val="宋体"/>
        <charset val="134"/>
      </rPr>
      <t>匝道桥</t>
    </r>
  </si>
  <si>
    <r>
      <rPr>
        <sz val="10"/>
        <rFont val="宋体"/>
        <charset val="134"/>
      </rPr>
      <t>江海路高架</t>
    </r>
    <r>
      <rPr>
        <sz val="10"/>
        <rFont val="Times New Roman"/>
        <charset val="134"/>
      </rPr>
      <t>D3</t>
    </r>
    <r>
      <rPr>
        <sz val="10"/>
        <rFont val="宋体"/>
        <charset val="134"/>
      </rPr>
      <t>匝道桥</t>
    </r>
  </si>
  <si>
    <r>
      <rPr>
        <sz val="10"/>
        <rFont val="宋体"/>
        <charset val="134"/>
      </rPr>
      <t>江海路高架</t>
    </r>
    <r>
      <rPr>
        <sz val="10"/>
        <rFont val="Times New Roman"/>
        <charset val="134"/>
      </rPr>
      <t>D4</t>
    </r>
    <r>
      <rPr>
        <sz val="10"/>
        <rFont val="宋体"/>
        <charset val="134"/>
      </rPr>
      <t>匝道桥</t>
    </r>
  </si>
  <si>
    <r>
      <rPr>
        <sz val="10"/>
        <rFont val="宋体"/>
        <charset val="134"/>
      </rPr>
      <t>江海路高架</t>
    </r>
    <r>
      <rPr>
        <sz val="10"/>
        <rFont val="Times New Roman"/>
        <charset val="134"/>
      </rPr>
      <t>D5</t>
    </r>
    <r>
      <rPr>
        <sz val="10"/>
        <rFont val="宋体"/>
        <charset val="134"/>
      </rPr>
      <t>匝道桥</t>
    </r>
  </si>
  <si>
    <r>
      <rPr>
        <sz val="10"/>
        <rFont val="宋体"/>
        <charset val="134"/>
      </rPr>
      <t>江海路高架</t>
    </r>
    <r>
      <rPr>
        <sz val="10"/>
        <rFont val="Times New Roman"/>
        <charset val="134"/>
      </rPr>
      <t>U1</t>
    </r>
    <r>
      <rPr>
        <sz val="10"/>
        <rFont val="宋体"/>
        <charset val="134"/>
      </rPr>
      <t>匝道桥</t>
    </r>
  </si>
  <si>
    <r>
      <rPr>
        <sz val="10"/>
        <rFont val="宋体"/>
        <charset val="134"/>
      </rPr>
      <t>江海路高架</t>
    </r>
    <r>
      <rPr>
        <sz val="10"/>
        <rFont val="Times New Roman"/>
        <charset val="134"/>
      </rPr>
      <t>U2</t>
    </r>
    <r>
      <rPr>
        <sz val="10"/>
        <rFont val="宋体"/>
        <charset val="134"/>
      </rPr>
      <t>匝道桥</t>
    </r>
  </si>
  <si>
    <r>
      <rPr>
        <sz val="10"/>
        <rFont val="宋体"/>
        <charset val="134"/>
      </rPr>
      <t>江海路高架</t>
    </r>
    <r>
      <rPr>
        <sz val="10"/>
        <rFont val="Times New Roman"/>
        <charset val="134"/>
      </rPr>
      <t>U3</t>
    </r>
    <r>
      <rPr>
        <sz val="10"/>
        <rFont val="宋体"/>
        <charset val="134"/>
      </rPr>
      <t>匝道桥</t>
    </r>
  </si>
  <si>
    <r>
      <rPr>
        <sz val="10"/>
        <rFont val="宋体"/>
        <charset val="134"/>
      </rPr>
      <t>江海路高架</t>
    </r>
    <r>
      <rPr>
        <sz val="10"/>
        <rFont val="Times New Roman"/>
        <charset val="134"/>
      </rPr>
      <t>U4</t>
    </r>
    <r>
      <rPr>
        <sz val="10"/>
        <rFont val="宋体"/>
        <charset val="134"/>
      </rPr>
      <t>匝道桥</t>
    </r>
  </si>
  <si>
    <r>
      <rPr>
        <sz val="10"/>
        <rFont val="宋体"/>
        <charset val="134"/>
      </rPr>
      <t>江海路高架</t>
    </r>
    <r>
      <rPr>
        <sz val="10"/>
        <rFont val="Times New Roman"/>
        <charset val="134"/>
      </rPr>
      <t>U5</t>
    </r>
    <r>
      <rPr>
        <sz val="10"/>
        <rFont val="宋体"/>
        <charset val="134"/>
      </rPr>
      <t>匝道桥</t>
    </r>
  </si>
  <si>
    <t>江海路高架桥</t>
  </si>
  <si>
    <t>凤翔路高架桥</t>
  </si>
  <si>
    <t>市级5/8、梁溪3/8</t>
  </si>
  <si>
    <t>凤翔路高架A匝道桥</t>
  </si>
  <si>
    <t>凤翔路高架B匝道桥</t>
  </si>
  <si>
    <t>凤翔路高架u1匝道桥</t>
  </si>
  <si>
    <t>凤翔路高架d1匝道桥</t>
  </si>
  <si>
    <t>凤翔路高架u2匝道桥</t>
  </si>
  <si>
    <t>凤翔路高架d2匝道桥</t>
  </si>
  <si>
    <t>凤翔路高架u3匝道</t>
  </si>
  <si>
    <t>凤翔路高架d3匝道</t>
  </si>
  <si>
    <t>凤翔路高架u4匝道桥</t>
  </si>
  <si>
    <t>凤翔路高架d4匝道桥</t>
  </si>
  <si>
    <t>永旺大桥</t>
  </si>
  <si>
    <t>旺庄路</t>
  </si>
  <si>
    <t>梁溪区2/3、经开区1/3</t>
  </si>
  <si>
    <t>2010.4.30</t>
  </si>
  <si>
    <t>永旺大桥A匝道桥</t>
  </si>
  <si>
    <t>永旺大桥B匝道桥</t>
  </si>
  <si>
    <t>金城路立交慢行系统</t>
  </si>
  <si>
    <t>2011.4.28</t>
  </si>
  <si>
    <t>惠农桥</t>
  </si>
  <si>
    <t>兴源北路</t>
  </si>
  <si>
    <t>2247 </t>
  </si>
  <si>
    <r>
      <rPr>
        <sz val="8"/>
        <rFont val="宋体"/>
        <charset val="134"/>
      </rPr>
      <t>1988/2018</t>
    </r>
    <r>
      <rPr>
        <i/>
        <sz val="8"/>
        <rFont val="宋体"/>
        <charset val="134"/>
      </rPr>
      <t>加固</t>
    </r>
  </si>
  <si>
    <t>中型</t>
  </si>
  <si>
    <t>枕溪桥</t>
  </si>
  <si>
    <t>西环线</t>
  </si>
  <si>
    <t>惠山区100%</t>
  </si>
  <si>
    <r>
      <rPr>
        <sz val="8"/>
        <rFont val="宋体"/>
        <charset val="134"/>
      </rPr>
      <t>2008/2016~2022</t>
    </r>
    <r>
      <rPr>
        <i/>
        <sz val="8"/>
        <rFont val="宋体"/>
        <charset val="134"/>
      </rPr>
      <t>多次维修加固</t>
    </r>
  </si>
  <si>
    <t>广南立交
太湖大道跨线桥</t>
  </si>
  <si>
    <t>广南立交匝道</t>
  </si>
  <si>
    <t>广南立交
Z1匝道桥</t>
  </si>
  <si>
    <t>广南立交
Z2匝道桥</t>
  </si>
  <si>
    <t>广南立交
Z4匝道桥</t>
  </si>
  <si>
    <t>广南立交
Z8匝道桥</t>
  </si>
  <si>
    <t>广南立交Z3H1通道桥</t>
  </si>
  <si>
    <t>广南立交Z5H1通道桥</t>
  </si>
  <si>
    <t>广南立交Z6H1通道桥</t>
  </si>
  <si>
    <t>广南立交Z7H1通道桥</t>
  </si>
  <si>
    <t>广南立交Z7H2通道桥</t>
  </si>
  <si>
    <t>泓溪桥</t>
  </si>
  <si>
    <t>运河西路</t>
  </si>
  <si>
    <t>梁溪区50%、经开区50%</t>
  </si>
  <si>
    <r>
      <rPr>
        <sz val="8"/>
        <rFont val="宋体"/>
        <charset val="134"/>
      </rPr>
      <t>2009/2014</t>
    </r>
    <r>
      <rPr>
        <i/>
        <sz val="8"/>
        <rFont val="宋体"/>
        <charset val="134"/>
      </rPr>
      <t>加固</t>
    </r>
  </si>
  <si>
    <t>高桥</t>
  </si>
  <si>
    <t>钱皋路</t>
  </si>
  <si>
    <t>沪宁高速桥</t>
  </si>
  <si>
    <t>凤翔北路</t>
  </si>
  <si>
    <t>首检</t>
  </si>
  <si>
    <t>凤翔北路高架01标</t>
  </si>
  <si>
    <t>W2匝道</t>
  </si>
  <si>
    <t>E2匝道</t>
  </si>
  <si>
    <t>W3匝道</t>
  </si>
  <si>
    <t>E3匝道</t>
  </si>
  <si>
    <t>W4匝道</t>
  </si>
  <si>
    <t>E4匝道</t>
  </si>
  <si>
    <t>W5匝道</t>
  </si>
  <si>
    <t>E5匝道</t>
  </si>
  <si>
    <t>1-NW匝道</t>
  </si>
  <si>
    <t>1-NE匝道</t>
  </si>
  <si>
    <t>2-SW匝道</t>
  </si>
  <si>
    <t>2-WS匝道</t>
  </si>
  <si>
    <t>凤翔北路高架02标</t>
  </si>
  <si>
    <t>W6匝道</t>
  </si>
  <si>
    <t>E6匝道</t>
  </si>
  <si>
    <t>凤翔北路高架03标</t>
  </si>
  <si>
    <t>W7匝道</t>
  </si>
  <si>
    <t>E7匝道</t>
  </si>
  <si>
    <t>W8匝道</t>
  </si>
  <si>
    <t>E8匝道</t>
  </si>
  <si>
    <t>W9匝道</t>
  </si>
  <si>
    <t>E9匝道</t>
  </si>
  <si>
    <t>W10匝道</t>
  </si>
  <si>
    <t>E10匝道</t>
  </si>
  <si>
    <t>开源大桥（荷载试验）</t>
  </si>
  <si>
    <r>
      <rPr>
        <sz val="10"/>
        <rFont val="宋体"/>
        <charset val="134"/>
      </rPr>
      <t>备注：</t>
    </r>
    <r>
      <rPr>
        <sz val="10"/>
        <rFont val="Times New Roman"/>
        <charset val="134"/>
      </rPr>
      <t>1</t>
    </r>
    <r>
      <rPr>
        <sz val="10"/>
        <rFont val="宋体"/>
        <charset val="134"/>
      </rPr>
      <t>、价格依据交质公（</t>
    </r>
    <r>
      <rPr>
        <sz val="10"/>
        <rFont val="Times New Roman"/>
        <charset val="134"/>
      </rPr>
      <t>2016</t>
    </r>
    <r>
      <rPr>
        <sz val="10"/>
        <rFont val="宋体"/>
        <charset val="134"/>
      </rPr>
      <t>）</t>
    </r>
    <r>
      <rPr>
        <sz val="10"/>
        <rFont val="Times New Roman"/>
        <charset val="134"/>
      </rPr>
      <t>8</t>
    </r>
    <r>
      <rPr>
        <sz val="10"/>
        <rFont val="宋体"/>
        <charset val="134"/>
      </rPr>
      <t>号附件《江苏省交通建设工程试验检测参考价格》；</t>
    </r>
  </si>
  <si>
    <r>
      <rPr>
        <sz val="10"/>
        <color theme="1"/>
        <rFont val="Times New Roman"/>
        <charset val="134"/>
      </rPr>
      <t>3</t>
    </r>
    <r>
      <rPr>
        <sz val="10"/>
        <color indexed="8"/>
        <rFont val="宋体"/>
        <charset val="134"/>
      </rPr>
      <t>、桥梁检测车、登高车或检测船只租赁的检测辅助平台选择及预估台班数量主要根据桥梁的结构类型和桥梁的总长，结合以往实施情况进行测算；桥梁检测车收费建议目录里建议单价为</t>
    </r>
    <r>
      <rPr>
        <sz val="10"/>
        <color theme="1"/>
        <rFont val="Times New Roman"/>
        <charset val="134"/>
      </rPr>
      <t>8500</t>
    </r>
    <r>
      <rPr>
        <sz val="10"/>
        <color indexed="8"/>
        <rFont val="宋体"/>
        <charset val="134"/>
      </rPr>
      <t>元</t>
    </r>
    <r>
      <rPr>
        <sz val="10"/>
        <color theme="1"/>
        <rFont val="Times New Roman"/>
        <charset val="134"/>
      </rPr>
      <t>/</t>
    </r>
    <r>
      <rPr>
        <sz val="10"/>
        <color indexed="8"/>
        <rFont val="宋体"/>
        <charset val="134"/>
      </rPr>
      <t>台班，登高车、检测船只租赁没在收费建议目录里，按照市场价分别为</t>
    </r>
    <r>
      <rPr>
        <sz val="10"/>
        <color theme="1"/>
        <rFont val="Times New Roman"/>
        <charset val="134"/>
      </rPr>
      <t>1800</t>
    </r>
    <r>
      <rPr>
        <sz val="10"/>
        <color indexed="8"/>
        <rFont val="宋体"/>
        <charset val="134"/>
      </rPr>
      <t>元</t>
    </r>
    <r>
      <rPr>
        <sz val="10"/>
        <color theme="1"/>
        <rFont val="Times New Roman"/>
        <charset val="134"/>
      </rPr>
      <t>/</t>
    </r>
    <r>
      <rPr>
        <sz val="10"/>
        <color indexed="8"/>
        <rFont val="宋体"/>
        <charset val="134"/>
      </rPr>
      <t>台班、</t>
    </r>
    <r>
      <rPr>
        <sz val="10"/>
        <color theme="1"/>
        <rFont val="Times New Roman"/>
        <charset val="134"/>
      </rPr>
      <t>2000</t>
    </r>
    <r>
      <rPr>
        <sz val="10"/>
        <color indexed="8"/>
        <rFont val="宋体"/>
        <charset val="134"/>
      </rPr>
      <t>元</t>
    </r>
    <r>
      <rPr>
        <sz val="10"/>
        <color theme="1"/>
        <rFont val="Times New Roman"/>
        <charset val="134"/>
      </rPr>
      <t>/</t>
    </r>
    <r>
      <rPr>
        <sz val="10"/>
        <color indexed="8"/>
        <rFont val="宋体"/>
        <charset val="134"/>
      </rPr>
      <t>台班；</t>
    </r>
  </si>
  <si>
    <r>
      <rPr>
        <sz val="10"/>
        <rFont val="Times New Roman"/>
        <charset val="134"/>
      </rPr>
      <t>4</t>
    </r>
    <r>
      <rPr>
        <sz val="10"/>
        <rFont val="宋体"/>
        <charset val="134"/>
      </rPr>
      <t>、外观检测按《城市桥梁设计规范》结合桥梁结构形式及桥梁总长进行划分，特殊结构和特大桥（桥梁总长＞</t>
    </r>
    <r>
      <rPr>
        <sz val="10"/>
        <rFont val="Times New Roman"/>
        <charset val="134"/>
      </rPr>
      <t>1000m</t>
    </r>
    <r>
      <rPr>
        <sz val="10"/>
        <rFont val="宋体"/>
        <charset val="134"/>
      </rPr>
      <t>），单价</t>
    </r>
    <r>
      <rPr>
        <sz val="10"/>
        <rFont val="Times New Roman"/>
        <charset val="134"/>
      </rPr>
      <t>25</t>
    </r>
    <r>
      <rPr>
        <sz val="10"/>
        <rFont val="宋体"/>
        <charset val="134"/>
      </rPr>
      <t>元</t>
    </r>
    <r>
      <rPr>
        <sz val="10"/>
        <rFont val="Times New Roman"/>
        <charset val="134"/>
      </rPr>
      <t>/m</t>
    </r>
    <r>
      <rPr>
        <sz val="10"/>
        <rFont val="宋体"/>
        <charset val="134"/>
      </rPr>
      <t>；大桥（</t>
    </r>
    <r>
      <rPr>
        <sz val="10"/>
        <rFont val="Times New Roman"/>
        <charset val="134"/>
      </rPr>
      <t>1000m</t>
    </r>
    <r>
      <rPr>
        <sz val="10"/>
        <rFont val="宋体"/>
        <charset val="134"/>
      </rPr>
      <t>≥桥梁总长≥</t>
    </r>
    <r>
      <rPr>
        <sz val="10"/>
        <rFont val="Times New Roman"/>
        <charset val="134"/>
      </rPr>
      <t>100m</t>
    </r>
    <r>
      <rPr>
        <sz val="10"/>
        <rFont val="宋体"/>
        <charset val="134"/>
      </rPr>
      <t>），单价</t>
    </r>
    <r>
      <rPr>
        <sz val="10"/>
        <rFont val="Times New Roman"/>
        <charset val="134"/>
      </rPr>
      <t>30</t>
    </r>
    <r>
      <rPr>
        <sz val="10"/>
        <rFont val="宋体"/>
        <charset val="134"/>
      </rPr>
      <t>元</t>
    </r>
    <r>
      <rPr>
        <sz val="10"/>
        <rFont val="Times New Roman"/>
        <charset val="134"/>
      </rPr>
      <t>/m</t>
    </r>
    <r>
      <rPr>
        <sz val="10"/>
        <rFont val="宋体"/>
        <charset val="134"/>
      </rPr>
      <t>；中桥（</t>
    </r>
    <r>
      <rPr>
        <sz val="10"/>
        <rFont val="Times New Roman"/>
        <charset val="134"/>
      </rPr>
      <t>100m</t>
    </r>
    <r>
      <rPr>
        <sz val="10"/>
        <rFont val="宋体"/>
        <charset val="134"/>
      </rPr>
      <t>＞桥梁总长＞</t>
    </r>
    <r>
      <rPr>
        <sz val="10"/>
        <rFont val="Times New Roman"/>
        <charset val="134"/>
      </rPr>
      <t>30m</t>
    </r>
    <r>
      <rPr>
        <sz val="10"/>
        <rFont val="宋体"/>
        <charset val="134"/>
      </rPr>
      <t>），单价</t>
    </r>
    <r>
      <rPr>
        <sz val="10"/>
        <rFont val="Times New Roman"/>
        <charset val="134"/>
      </rPr>
      <t>35</t>
    </r>
    <r>
      <rPr>
        <sz val="10"/>
        <rFont val="宋体"/>
        <charset val="134"/>
      </rPr>
      <t>元</t>
    </r>
    <r>
      <rPr>
        <sz val="10"/>
        <rFont val="Times New Roman"/>
        <charset val="134"/>
      </rPr>
      <t>/m</t>
    </r>
    <r>
      <rPr>
        <sz val="10"/>
        <rFont val="宋体"/>
        <charset val="134"/>
      </rPr>
      <t>；小桥（</t>
    </r>
    <r>
      <rPr>
        <sz val="10"/>
        <rFont val="Times New Roman"/>
        <charset val="134"/>
      </rPr>
      <t>30m</t>
    </r>
    <r>
      <rPr>
        <sz val="10"/>
        <rFont val="宋体"/>
        <charset val="134"/>
      </rPr>
      <t>≥桥梁总长≥</t>
    </r>
    <r>
      <rPr>
        <sz val="10"/>
        <rFont val="Times New Roman"/>
        <charset val="134"/>
      </rPr>
      <t>8m</t>
    </r>
    <r>
      <rPr>
        <sz val="10"/>
        <rFont val="宋体"/>
        <charset val="134"/>
      </rPr>
      <t>）或涵洞，单价</t>
    </r>
    <r>
      <rPr>
        <sz val="10"/>
        <rFont val="Times New Roman"/>
        <charset val="134"/>
      </rPr>
      <t>40</t>
    </r>
    <r>
      <rPr>
        <sz val="10"/>
        <rFont val="宋体"/>
        <charset val="134"/>
      </rPr>
      <t>元</t>
    </r>
    <r>
      <rPr>
        <sz val="10"/>
        <rFont val="Times New Roman"/>
        <charset val="134"/>
      </rPr>
      <t>/m</t>
    </r>
    <r>
      <rPr>
        <sz val="10"/>
        <rFont val="宋体"/>
        <charset val="134"/>
      </rPr>
      <t>；</t>
    </r>
  </si>
  <si>
    <r>
      <rPr>
        <sz val="10"/>
        <rFont val="Times New Roman"/>
        <charset val="134"/>
      </rPr>
      <t>5</t>
    </r>
    <r>
      <rPr>
        <sz val="10"/>
        <rFont val="宋体"/>
        <charset val="134"/>
      </rPr>
      <t>、盆式橡胶支座检查按每个</t>
    </r>
    <r>
      <rPr>
        <sz val="10"/>
        <rFont val="Times New Roman"/>
        <charset val="134"/>
      </rPr>
      <t>50</t>
    </r>
    <r>
      <rPr>
        <sz val="10"/>
        <rFont val="宋体"/>
        <charset val="134"/>
      </rPr>
      <t>元，板式橡胶支座检查费按每个</t>
    </r>
    <r>
      <rPr>
        <sz val="10"/>
        <rFont val="Times New Roman"/>
        <charset val="134"/>
      </rPr>
      <t>20</t>
    </r>
    <r>
      <rPr>
        <sz val="10"/>
        <rFont val="宋体"/>
        <charset val="134"/>
      </rPr>
      <t>元；</t>
    </r>
  </si>
  <si>
    <r>
      <rPr>
        <b/>
        <sz val="10"/>
        <rFont val="Times New Roman"/>
        <charset val="134"/>
      </rPr>
      <t>6</t>
    </r>
    <r>
      <rPr>
        <b/>
        <sz val="10"/>
        <rFont val="宋体"/>
        <charset val="134"/>
      </rPr>
      <t xml:space="preserve">、中小桥梁、简支梁无损检测：
</t>
    </r>
    <r>
      <rPr>
        <sz val="10"/>
        <rFont val="Times New Roman"/>
        <charset val="134"/>
      </rPr>
      <t>1</t>
    </r>
    <r>
      <rPr>
        <sz val="10"/>
        <rFont val="宋体"/>
        <charset val="134"/>
      </rPr>
      <t>）混凝土强度检测</t>
    </r>
    <r>
      <rPr>
        <b/>
        <sz val="10"/>
        <rFont val="宋体"/>
        <charset val="134"/>
      </rPr>
      <t>（抽检频率：每跨抽取</t>
    </r>
    <r>
      <rPr>
        <b/>
        <sz val="10"/>
        <rFont val="Times New Roman"/>
        <charset val="134"/>
      </rPr>
      <t>30%</t>
    </r>
    <r>
      <rPr>
        <b/>
        <sz val="10"/>
        <rFont val="宋体"/>
        <charset val="134"/>
      </rPr>
      <t>的构件（若小于</t>
    </r>
    <r>
      <rPr>
        <b/>
        <sz val="10"/>
        <rFont val="Times New Roman"/>
        <charset val="134"/>
      </rPr>
      <t>3</t>
    </r>
    <r>
      <rPr>
        <b/>
        <sz val="10"/>
        <rFont val="宋体"/>
        <charset val="134"/>
      </rPr>
      <t>个按</t>
    </r>
    <r>
      <rPr>
        <b/>
        <sz val="10"/>
        <rFont val="Times New Roman"/>
        <charset val="134"/>
      </rPr>
      <t>3</t>
    </r>
    <r>
      <rPr>
        <b/>
        <sz val="10"/>
        <rFont val="宋体"/>
        <charset val="134"/>
      </rPr>
      <t>个计）进行检测，每个构件</t>
    </r>
    <r>
      <rPr>
        <b/>
        <sz val="10"/>
        <rFont val="Times New Roman"/>
        <charset val="134"/>
      </rPr>
      <t>10</t>
    </r>
    <r>
      <rPr>
        <b/>
        <sz val="10"/>
        <rFont val="宋体"/>
        <charset val="134"/>
      </rPr>
      <t>个测区，每个测区</t>
    </r>
    <r>
      <rPr>
        <b/>
        <sz val="10"/>
        <rFont val="Times New Roman"/>
        <charset val="134"/>
      </rPr>
      <t>16</t>
    </r>
    <r>
      <rPr>
        <b/>
        <sz val="10"/>
        <rFont val="宋体"/>
        <charset val="134"/>
      </rPr>
      <t>个测点）</t>
    </r>
    <r>
      <rPr>
        <sz val="10"/>
        <rFont val="宋体"/>
        <charset val="134"/>
      </rPr>
      <t>，单价</t>
    </r>
    <r>
      <rPr>
        <sz val="10"/>
        <rFont val="Times New Roman"/>
        <charset val="134"/>
      </rPr>
      <t>90</t>
    </r>
    <r>
      <rPr>
        <sz val="10"/>
        <rFont val="宋体"/>
        <charset val="134"/>
      </rPr>
      <t>元</t>
    </r>
    <r>
      <rPr>
        <sz val="10"/>
        <rFont val="Times New Roman"/>
        <charset val="134"/>
      </rPr>
      <t>/</t>
    </r>
    <r>
      <rPr>
        <sz val="10"/>
        <rFont val="宋体"/>
        <charset val="134"/>
      </rPr>
      <t xml:space="preserve">测区；
</t>
    </r>
    <r>
      <rPr>
        <sz val="10"/>
        <rFont val="Times New Roman"/>
        <charset val="134"/>
      </rPr>
      <t>2</t>
    </r>
    <r>
      <rPr>
        <sz val="10"/>
        <rFont val="宋体"/>
        <charset val="134"/>
      </rPr>
      <t>）混凝土碳化深度检测</t>
    </r>
    <r>
      <rPr>
        <b/>
        <sz val="10"/>
        <rFont val="宋体"/>
        <charset val="134"/>
      </rPr>
      <t>（抽检频率：每跨抽取</t>
    </r>
    <r>
      <rPr>
        <b/>
        <sz val="10"/>
        <rFont val="Times New Roman"/>
        <charset val="134"/>
      </rPr>
      <t>30%</t>
    </r>
    <r>
      <rPr>
        <b/>
        <sz val="10"/>
        <rFont val="宋体"/>
        <charset val="134"/>
      </rPr>
      <t>的构件（若小于</t>
    </r>
    <r>
      <rPr>
        <b/>
        <sz val="10"/>
        <rFont val="Times New Roman"/>
        <charset val="134"/>
      </rPr>
      <t>3</t>
    </r>
    <r>
      <rPr>
        <b/>
        <sz val="10"/>
        <rFont val="宋体"/>
        <charset val="134"/>
      </rPr>
      <t>个按</t>
    </r>
    <r>
      <rPr>
        <b/>
        <sz val="10"/>
        <rFont val="Times New Roman"/>
        <charset val="134"/>
      </rPr>
      <t>3</t>
    </r>
    <r>
      <rPr>
        <b/>
        <sz val="10"/>
        <rFont val="宋体"/>
        <charset val="134"/>
      </rPr>
      <t>个计）进行检测，每个构件</t>
    </r>
    <r>
      <rPr>
        <b/>
        <sz val="10"/>
        <rFont val="Times New Roman"/>
        <charset val="134"/>
      </rPr>
      <t>3</t>
    </r>
    <r>
      <rPr>
        <b/>
        <sz val="10"/>
        <rFont val="宋体"/>
        <charset val="134"/>
      </rPr>
      <t>个测区，每个测区</t>
    </r>
    <r>
      <rPr>
        <b/>
        <sz val="10"/>
        <rFont val="Times New Roman"/>
        <charset val="134"/>
      </rPr>
      <t>3</t>
    </r>
    <r>
      <rPr>
        <b/>
        <sz val="10"/>
        <rFont val="宋体"/>
        <charset val="134"/>
      </rPr>
      <t>个测点）</t>
    </r>
    <r>
      <rPr>
        <sz val="10"/>
        <rFont val="宋体"/>
        <charset val="134"/>
      </rPr>
      <t>，单价</t>
    </r>
    <r>
      <rPr>
        <sz val="10"/>
        <rFont val="Times New Roman"/>
        <charset val="134"/>
      </rPr>
      <t>30</t>
    </r>
    <r>
      <rPr>
        <sz val="10"/>
        <rFont val="宋体"/>
        <charset val="134"/>
      </rPr>
      <t>元</t>
    </r>
    <r>
      <rPr>
        <sz val="10"/>
        <rFont val="Times New Roman"/>
        <charset val="134"/>
      </rPr>
      <t>/</t>
    </r>
    <r>
      <rPr>
        <sz val="10"/>
        <rFont val="宋体"/>
        <charset val="134"/>
      </rPr>
      <t xml:space="preserve">点；
</t>
    </r>
    <r>
      <rPr>
        <sz val="10"/>
        <rFont val="Times New Roman"/>
        <charset val="134"/>
      </rPr>
      <t>3</t>
    </r>
    <r>
      <rPr>
        <sz val="10"/>
        <rFont val="宋体"/>
        <charset val="134"/>
      </rPr>
      <t>）对裂缝宽度超限的典型结构性裂缝，需测量裂缝深度，并绘制典型裂缝分布示意图；</t>
    </r>
    <r>
      <rPr>
        <b/>
        <sz val="10"/>
        <rFont val="宋体"/>
        <charset val="134"/>
      </rPr>
      <t>按每跨</t>
    </r>
    <r>
      <rPr>
        <b/>
        <sz val="10"/>
        <rFont val="Times New Roman"/>
        <charset val="134"/>
      </rPr>
      <t>1</t>
    </r>
    <r>
      <rPr>
        <b/>
        <sz val="10"/>
        <rFont val="宋体"/>
        <charset val="134"/>
      </rPr>
      <t>条预估</t>
    </r>
    <r>
      <rPr>
        <sz val="10"/>
        <rFont val="宋体"/>
        <charset val="134"/>
      </rPr>
      <t>，单价</t>
    </r>
    <r>
      <rPr>
        <sz val="10"/>
        <rFont val="Times New Roman"/>
        <charset val="134"/>
      </rPr>
      <t>130</t>
    </r>
    <r>
      <rPr>
        <sz val="10"/>
        <rFont val="宋体"/>
        <charset val="134"/>
      </rPr>
      <t>元</t>
    </r>
    <r>
      <rPr>
        <sz val="10"/>
        <rFont val="Times New Roman"/>
        <charset val="134"/>
      </rPr>
      <t>/</t>
    </r>
    <r>
      <rPr>
        <sz val="10"/>
        <rFont val="宋体"/>
        <charset val="134"/>
      </rPr>
      <t>处；</t>
    </r>
    <r>
      <rPr>
        <sz val="10"/>
        <rFont val="Times New Roman"/>
        <charset val="134"/>
      </rPr>
      <t xml:space="preserve">
4</t>
    </r>
    <r>
      <rPr>
        <sz val="10"/>
        <rFont val="宋体"/>
        <charset val="134"/>
      </rPr>
      <t>）钢筋锈蚀状况检测</t>
    </r>
    <r>
      <rPr>
        <b/>
        <sz val="10"/>
        <rFont val="宋体"/>
        <charset val="134"/>
      </rPr>
      <t>（抽检频率：每跨抽取</t>
    </r>
    <r>
      <rPr>
        <b/>
        <sz val="10"/>
        <rFont val="Times New Roman"/>
        <charset val="134"/>
      </rPr>
      <t>30%</t>
    </r>
    <r>
      <rPr>
        <b/>
        <sz val="10"/>
        <rFont val="宋体"/>
        <charset val="134"/>
      </rPr>
      <t>的构件（若小于</t>
    </r>
    <r>
      <rPr>
        <b/>
        <sz val="10"/>
        <rFont val="Times New Roman"/>
        <charset val="134"/>
      </rPr>
      <t>3</t>
    </r>
    <r>
      <rPr>
        <b/>
        <sz val="10"/>
        <rFont val="宋体"/>
        <charset val="134"/>
      </rPr>
      <t>个按</t>
    </r>
    <r>
      <rPr>
        <b/>
        <sz val="10"/>
        <rFont val="Times New Roman"/>
        <charset val="134"/>
      </rPr>
      <t>3</t>
    </r>
    <r>
      <rPr>
        <b/>
        <sz val="10"/>
        <rFont val="宋体"/>
        <charset val="134"/>
      </rPr>
      <t>个计）进行检测</t>
    </r>
    <r>
      <rPr>
        <sz val="10"/>
        <rFont val="宋体"/>
        <charset val="134"/>
      </rPr>
      <t>，每个构件</t>
    </r>
    <r>
      <rPr>
        <sz val="10"/>
        <rFont val="Times New Roman"/>
        <charset val="134"/>
      </rPr>
      <t>1</t>
    </r>
    <r>
      <rPr>
        <sz val="10"/>
        <rFont val="宋体"/>
        <charset val="134"/>
      </rPr>
      <t>个测区，每个测区</t>
    </r>
    <r>
      <rPr>
        <sz val="10"/>
        <rFont val="Times New Roman"/>
        <charset val="134"/>
      </rPr>
      <t>30</t>
    </r>
    <r>
      <rPr>
        <sz val="10"/>
        <rFont val="宋体"/>
        <charset val="134"/>
      </rPr>
      <t>个测点），单价</t>
    </r>
    <r>
      <rPr>
        <sz val="10"/>
        <rFont val="Times New Roman"/>
        <charset val="134"/>
      </rPr>
      <t>45</t>
    </r>
    <r>
      <rPr>
        <sz val="10"/>
        <rFont val="宋体"/>
        <charset val="134"/>
      </rPr>
      <t>元</t>
    </r>
    <r>
      <rPr>
        <sz val="10"/>
        <rFont val="Times New Roman"/>
        <charset val="134"/>
      </rPr>
      <t>/</t>
    </r>
    <r>
      <rPr>
        <sz val="10"/>
        <rFont val="宋体"/>
        <charset val="134"/>
      </rPr>
      <t xml:space="preserve">点；
</t>
    </r>
    <r>
      <rPr>
        <sz val="10"/>
        <rFont val="Times New Roman"/>
        <charset val="134"/>
      </rPr>
      <t>5</t>
    </r>
    <r>
      <rPr>
        <sz val="10"/>
        <rFont val="宋体"/>
        <charset val="134"/>
      </rPr>
      <t>）钢筋保护层厚度检测</t>
    </r>
    <r>
      <rPr>
        <b/>
        <sz val="10"/>
        <rFont val="宋体"/>
        <charset val="134"/>
      </rPr>
      <t>（抽检频率：每跨抽取</t>
    </r>
    <r>
      <rPr>
        <b/>
        <sz val="10"/>
        <rFont val="Times New Roman"/>
        <charset val="134"/>
      </rPr>
      <t>30%</t>
    </r>
    <r>
      <rPr>
        <b/>
        <sz val="10"/>
        <rFont val="宋体"/>
        <charset val="134"/>
      </rPr>
      <t>的构件（若小于</t>
    </r>
    <r>
      <rPr>
        <b/>
        <sz val="10"/>
        <rFont val="Times New Roman"/>
        <charset val="134"/>
      </rPr>
      <t>3</t>
    </r>
    <r>
      <rPr>
        <b/>
        <sz val="10"/>
        <rFont val="宋体"/>
        <charset val="134"/>
      </rPr>
      <t>个按</t>
    </r>
    <r>
      <rPr>
        <b/>
        <sz val="10"/>
        <rFont val="Times New Roman"/>
        <charset val="134"/>
      </rPr>
      <t>3</t>
    </r>
    <r>
      <rPr>
        <b/>
        <sz val="10"/>
        <rFont val="宋体"/>
        <charset val="134"/>
      </rPr>
      <t>个计）</t>
    </r>
    <r>
      <rPr>
        <sz val="10"/>
        <rFont val="宋体"/>
        <charset val="134"/>
      </rPr>
      <t>进行检测，每个构件</t>
    </r>
    <r>
      <rPr>
        <sz val="10"/>
        <rFont val="Times New Roman"/>
        <charset val="134"/>
      </rPr>
      <t>10</t>
    </r>
    <r>
      <rPr>
        <sz val="10"/>
        <rFont val="宋体"/>
        <charset val="134"/>
      </rPr>
      <t>个测点，单价</t>
    </r>
    <r>
      <rPr>
        <sz val="10"/>
        <rFont val="Times New Roman"/>
        <charset val="134"/>
      </rPr>
      <t>15</t>
    </r>
    <r>
      <rPr>
        <sz val="10"/>
        <rFont val="宋体"/>
        <charset val="134"/>
      </rPr>
      <t>元</t>
    </r>
    <r>
      <rPr>
        <sz val="10"/>
        <rFont val="Times New Roman"/>
        <charset val="134"/>
      </rPr>
      <t>/</t>
    </r>
    <r>
      <rPr>
        <sz val="10"/>
        <rFont val="宋体"/>
        <charset val="134"/>
      </rPr>
      <t>点；</t>
    </r>
  </si>
  <si>
    <r>
      <rPr>
        <b/>
        <sz val="10"/>
        <rFont val="Times New Roman"/>
        <charset val="134"/>
      </rPr>
      <t>7</t>
    </r>
    <r>
      <rPr>
        <b/>
        <sz val="10"/>
        <rFont val="宋体"/>
        <charset val="134"/>
      </rPr>
      <t>、高架桥、现浇连续梁桥梁无损检测：</t>
    </r>
    <r>
      <rPr>
        <sz val="10"/>
        <rFont val="Times New Roman"/>
        <charset val="134"/>
      </rPr>
      <t xml:space="preserve">
1</t>
    </r>
    <r>
      <rPr>
        <sz val="10"/>
        <rFont val="宋体"/>
        <charset val="134"/>
      </rPr>
      <t>）混凝土强度检测</t>
    </r>
    <r>
      <rPr>
        <b/>
        <sz val="10"/>
        <rFont val="宋体"/>
        <charset val="134"/>
      </rPr>
      <t>（抽检频率：每跨抽取</t>
    </r>
    <r>
      <rPr>
        <b/>
        <sz val="10"/>
        <rFont val="Times New Roman"/>
        <charset val="134"/>
      </rPr>
      <t>30%</t>
    </r>
    <r>
      <rPr>
        <b/>
        <sz val="10"/>
        <rFont val="宋体"/>
        <charset val="134"/>
      </rPr>
      <t>的构件进行检测（若小于</t>
    </r>
    <r>
      <rPr>
        <b/>
        <sz val="10"/>
        <rFont val="Times New Roman"/>
        <charset val="134"/>
      </rPr>
      <t>3</t>
    </r>
    <r>
      <rPr>
        <b/>
        <sz val="10"/>
        <rFont val="宋体"/>
        <charset val="134"/>
      </rPr>
      <t>个按</t>
    </r>
    <r>
      <rPr>
        <b/>
        <sz val="10"/>
        <rFont val="Times New Roman"/>
        <charset val="134"/>
      </rPr>
      <t>3</t>
    </r>
    <r>
      <rPr>
        <b/>
        <sz val="10"/>
        <rFont val="宋体"/>
        <charset val="134"/>
      </rPr>
      <t>个计），每个构件</t>
    </r>
    <r>
      <rPr>
        <b/>
        <sz val="10"/>
        <rFont val="Times New Roman"/>
        <charset val="134"/>
      </rPr>
      <t>10</t>
    </r>
    <r>
      <rPr>
        <b/>
        <sz val="10"/>
        <rFont val="宋体"/>
        <charset val="134"/>
      </rPr>
      <t>个测区，每个测区</t>
    </r>
    <r>
      <rPr>
        <b/>
        <sz val="10"/>
        <rFont val="Times New Roman"/>
        <charset val="134"/>
      </rPr>
      <t>16</t>
    </r>
    <r>
      <rPr>
        <b/>
        <sz val="10"/>
        <rFont val="宋体"/>
        <charset val="134"/>
      </rPr>
      <t>个测点），单价</t>
    </r>
    <r>
      <rPr>
        <b/>
        <sz val="10"/>
        <rFont val="Times New Roman"/>
        <charset val="134"/>
      </rPr>
      <t>90</t>
    </r>
    <r>
      <rPr>
        <b/>
        <sz val="10"/>
        <rFont val="宋体"/>
        <charset val="134"/>
      </rPr>
      <t>元</t>
    </r>
    <r>
      <rPr>
        <b/>
        <sz val="10"/>
        <rFont val="Times New Roman"/>
        <charset val="134"/>
      </rPr>
      <t>/</t>
    </r>
    <r>
      <rPr>
        <b/>
        <sz val="10"/>
        <rFont val="宋体"/>
        <charset val="134"/>
      </rPr>
      <t>测区；</t>
    </r>
    <r>
      <rPr>
        <b/>
        <sz val="10"/>
        <rFont val="Times New Roman"/>
        <charset val="134"/>
      </rPr>
      <t xml:space="preserve">
2</t>
    </r>
    <r>
      <rPr>
        <b/>
        <sz val="10"/>
        <rFont val="宋体"/>
        <charset val="134"/>
      </rPr>
      <t>）混凝土碳化深度检测（抽检频率：每跨抽取</t>
    </r>
    <r>
      <rPr>
        <b/>
        <sz val="10"/>
        <rFont val="Times New Roman"/>
        <charset val="134"/>
      </rPr>
      <t>30%</t>
    </r>
    <r>
      <rPr>
        <b/>
        <sz val="10"/>
        <rFont val="宋体"/>
        <charset val="134"/>
      </rPr>
      <t>的构件进行检测（若小于</t>
    </r>
    <r>
      <rPr>
        <b/>
        <sz val="10"/>
        <rFont val="Times New Roman"/>
        <charset val="134"/>
      </rPr>
      <t>3</t>
    </r>
    <r>
      <rPr>
        <b/>
        <sz val="10"/>
        <rFont val="宋体"/>
        <charset val="134"/>
      </rPr>
      <t>个按</t>
    </r>
    <r>
      <rPr>
        <b/>
        <sz val="10"/>
        <rFont val="Times New Roman"/>
        <charset val="134"/>
      </rPr>
      <t>3</t>
    </r>
    <r>
      <rPr>
        <b/>
        <sz val="10"/>
        <rFont val="宋体"/>
        <charset val="134"/>
      </rPr>
      <t>个计），每个构件</t>
    </r>
    <r>
      <rPr>
        <b/>
        <sz val="10"/>
        <rFont val="Times New Roman"/>
        <charset val="134"/>
      </rPr>
      <t>3</t>
    </r>
    <r>
      <rPr>
        <b/>
        <sz val="10"/>
        <rFont val="宋体"/>
        <charset val="134"/>
      </rPr>
      <t>个测区，每个测区</t>
    </r>
    <r>
      <rPr>
        <b/>
        <sz val="10"/>
        <rFont val="Times New Roman"/>
        <charset val="134"/>
      </rPr>
      <t>3</t>
    </r>
    <r>
      <rPr>
        <b/>
        <sz val="10"/>
        <rFont val="宋体"/>
        <charset val="134"/>
      </rPr>
      <t>个测点），单价</t>
    </r>
    <r>
      <rPr>
        <b/>
        <sz val="10"/>
        <rFont val="Times New Roman"/>
        <charset val="134"/>
      </rPr>
      <t>30</t>
    </r>
    <r>
      <rPr>
        <b/>
        <sz val="10"/>
        <rFont val="宋体"/>
        <charset val="134"/>
      </rPr>
      <t>元</t>
    </r>
    <r>
      <rPr>
        <b/>
        <sz val="10"/>
        <rFont val="Times New Roman"/>
        <charset val="134"/>
      </rPr>
      <t>/</t>
    </r>
    <r>
      <rPr>
        <b/>
        <sz val="10"/>
        <rFont val="宋体"/>
        <charset val="134"/>
      </rPr>
      <t>点；</t>
    </r>
    <r>
      <rPr>
        <b/>
        <sz val="10"/>
        <rFont val="Times New Roman"/>
        <charset val="134"/>
      </rPr>
      <t xml:space="preserve">
3</t>
    </r>
    <r>
      <rPr>
        <b/>
        <sz val="10"/>
        <rFont val="宋体"/>
        <charset val="134"/>
      </rPr>
      <t>）对裂缝宽度超限的典型结构性裂缝，需测量裂缝深度，按每跨</t>
    </r>
    <r>
      <rPr>
        <b/>
        <sz val="10"/>
        <rFont val="Times New Roman"/>
        <charset val="134"/>
      </rPr>
      <t>1</t>
    </r>
    <r>
      <rPr>
        <b/>
        <sz val="10"/>
        <rFont val="宋体"/>
        <charset val="134"/>
      </rPr>
      <t>条预估，单价</t>
    </r>
    <r>
      <rPr>
        <b/>
        <sz val="10"/>
        <rFont val="Times New Roman"/>
        <charset val="134"/>
      </rPr>
      <t>130</t>
    </r>
    <r>
      <rPr>
        <b/>
        <sz val="10"/>
        <rFont val="宋体"/>
        <charset val="134"/>
      </rPr>
      <t>元</t>
    </r>
    <r>
      <rPr>
        <b/>
        <sz val="10"/>
        <rFont val="Times New Roman"/>
        <charset val="134"/>
      </rPr>
      <t>/</t>
    </r>
    <r>
      <rPr>
        <b/>
        <sz val="10"/>
        <rFont val="宋体"/>
        <charset val="134"/>
      </rPr>
      <t>处；</t>
    </r>
    <r>
      <rPr>
        <b/>
        <sz val="10"/>
        <rFont val="Times New Roman"/>
        <charset val="134"/>
      </rPr>
      <t xml:space="preserve">
4</t>
    </r>
    <r>
      <rPr>
        <b/>
        <sz val="10"/>
        <rFont val="宋体"/>
        <charset val="134"/>
      </rPr>
      <t>）钢筋锈蚀状况检测（抽检频率：每跨抽取</t>
    </r>
    <r>
      <rPr>
        <b/>
        <sz val="10"/>
        <rFont val="Times New Roman"/>
        <charset val="134"/>
      </rPr>
      <t>30%</t>
    </r>
    <r>
      <rPr>
        <b/>
        <sz val="10"/>
        <rFont val="宋体"/>
        <charset val="134"/>
      </rPr>
      <t>的构件进行检测（若小于</t>
    </r>
    <r>
      <rPr>
        <b/>
        <sz val="10"/>
        <rFont val="Times New Roman"/>
        <charset val="134"/>
      </rPr>
      <t>3</t>
    </r>
    <r>
      <rPr>
        <b/>
        <sz val="10"/>
        <rFont val="宋体"/>
        <charset val="134"/>
      </rPr>
      <t>个按</t>
    </r>
    <r>
      <rPr>
        <b/>
        <sz val="10"/>
        <rFont val="Times New Roman"/>
        <charset val="134"/>
      </rPr>
      <t>3</t>
    </r>
    <r>
      <rPr>
        <b/>
        <sz val="10"/>
        <rFont val="宋体"/>
        <charset val="134"/>
      </rPr>
      <t>个计），每个构件</t>
    </r>
    <r>
      <rPr>
        <b/>
        <sz val="10"/>
        <rFont val="Times New Roman"/>
        <charset val="134"/>
      </rPr>
      <t>1</t>
    </r>
    <r>
      <rPr>
        <b/>
        <sz val="10"/>
        <rFont val="宋体"/>
        <charset val="134"/>
      </rPr>
      <t>个测区，每个测区</t>
    </r>
    <r>
      <rPr>
        <b/>
        <sz val="10"/>
        <rFont val="Times New Roman"/>
        <charset val="134"/>
      </rPr>
      <t>30</t>
    </r>
    <r>
      <rPr>
        <b/>
        <sz val="10"/>
        <rFont val="宋体"/>
        <charset val="134"/>
      </rPr>
      <t>个测点），单价</t>
    </r>
    <r>
      <rPr>
        <b/>
        <sz val="10"/>
        <rFont val="Times New Roman"/>
        <charset val="134"/>
      </rPr>
      <t>45</t>
    </r>
    <r>
      <rPr>
        <b/>
        <sz val="10"/>
        <rFont val="宋体"/>
        <charset val="134"/>
      </rPr>
      <t>元</t>
    </r>
    <r>
      <rPr>
        <b/>
        <sz val="10"/>
        <rFont val="Times New Roman"/>
        <charset val="134"/>
      </rPr>
      <t>/</t>
    </r>
    <r>
      <rPr>
        <b/>
        <sz val="10"/>
        <rFont val="宋体"/>
        <charset val="134"/>
      </rPr>
      <t>点；</t>
    </r>
    <r>
      <rPr>
        <b/>
        <sz val="10"/>
        <rFont val="Times New Roman"/>
        <charset val="134"/>
      </rPr>
      <t xml:space="preserve">
5</t>
    </r>
    <r>
      <rPr>
        <b/>
        <sz val="10"/>
        <rFont val="宋体"/>
        <charset val="134"/>
      </rPr>
      <t>）钢筋保护层厚度检测（抽检频率：每跨抽取</t>
    </r>
    <r>
      <rPr>
        <b/>
        <sz val="10"/>
        <rFont val="Times New Roman"/>
        <charset val="134"/>
      </rPr>
      <t>30%</t>
    </r>
    <r>
      <rPr>
        <b/>
        <sz val="10"/>
        <rFont val="宋体"/>
        <charset val="134"/>
      </rPr>
      <t>的构件进行检测（若小于</t>
    </r>
    <r>
      <rPr>
        <b/>
        <sz val="10"/>
        <rFont val="Times New Roman"/>
        <charset val="134"/>
      </rPr>
      <t>3</t>
    </r>
    <r>
      <rPr>
        <b/>
        <sz val="10"/>
        <rFont val="宋体"/>
        <charset val="134"/>
      </rPr>
      <t>个按</t>
    </r>
    <r>
      <rPr>
        <b/>
        <sz val="10"/>
        <rFont val="Times New Roman"/>
        <charset val="134"/>
      </rPr>
      <t>3</t>
    </r>
    <r>
      <rPr>
        <b/>
        <sz val="10"/>
        <rFont val="宋体"/>
        <charset val="134"/>
      </rPr>
      <t>个计），每个构件</t>
    </r>
    <r>
      <rPr>
        <b/>
        <sz val="10"/>
        <rFont val="Times New Roman"/>
        <charset val="134"/>
      </rPr>
      <t>10</t>
    </r>
    <r>
      <rPr>
        <b/>
        <sz val="10"/>
        <rFont val="宋体"/>
        <charset val="134"/>
      </rPr>
      <t>个测点），单价</t>
    </r>
    <r>
      <rPr>
        <b/>
        <sz val="10"/>
        <rFont val="Times New Roman"/>
        <charset val="134"/>
      </rPr>
      <t>15</t>
    </r>
    <r>
      <rPr>
        <b/>
        <sz val="10"/>
        <rFont val="宋体"/>
        <charset val="134"/>
      </rPr>
      <t>元</t>
    </r>
    <r>
      <rPr>
        <b/>
        <sz val="10"/>
        <rFont val="Times New Roman"/>
        <charset val="134"/>
      </rPr>
      <t>/</t>
    </r>
    <r>
      <rPr>
        <b/>
        <sz val="10"/>
        <rFont val="宋体"/>
        <charset val="134"/>
      </rPr>
      <t>点；</t>
    </r>
  </si>
  <si>
    <r>
      <rPr>
        <sz val="10"/>
        <rFont val="Times New Roman"/>
        <charset val="134"/>
      </rPr>
      <t>8</t>
    </r>
    <r>
      <rPr>
        <sz val="10"/>
        <rFont val="宋体"/>
        <charset val="134"/>
      </rPr>
      <t>、裂缝检测数量按每跨</t>
    </r>
    <r>
      <rPr>
        <sz val="10"/>
        <rFont val="Times New Roman"/>
        <charset val="134"/>
      </rPr>
      <t>10</t>
    </r>
    <r>
      <rPr>
        <sz val="10"/>
        <rFont val="宋体"/>
        <charset val="134"/>
      </rPr>
      <t>条裂缝预估，标注长度和宽度，单价分别为</t>
    </r>
    <r>
      <rPr>
        <sz val="10"/>
        <rFont val="Times New Roman"/>
        <charset val="134"/>
      </rPr>
      <t>30</t>
    </r>
    <r>
      <rPr>
        <sz val="10"/>
        <rFont val="宋体"/>
        <charset val="134"/>
      </rPr>
      <t>元</t>
    </r>
    <r>
      <rPr>
        <sz val="10"/>
        <rFont val="Times New Roman"/>
        <charset val="134"/>
      </rPr>
      <t>/</t>
    </r>
    <r>
      <rPr>
        <sz val="10"/>
        <rFont val="宋体"/>
        <charset val="134"/>
      </rPr>
      <t>处和</t>
    </r>
    <r>
      <rPr>
        <sz val="10"/>
        <rFont val="Times New Roman"/>
        <charset val="134"/>
      </rPr>
      <t>45</t>
    </r>
    <r>
      <rPr>
        <sz val="10"/>
        <rFont val="宋体"/>
        <charset val="134"/>
      </rPr>
      <t>元</t>
    </r>
    <r>
      <rPr>
        <sz val="10"/>
        <rFont val="Times New Roman"/>
        <charset val="134"/>
      </rPr>
      <t>/</t>
    </r>
    <r>
      <rPr>
        <sz val="10"/>
        <rFont val="宋体"/>
        <charset val="134"/>
      </rPr>
      <t>处；</t>
    </r>
  </si>
  <si>
    <r>
      <rPr>
        <sz val="10"/>
        <rFont val="Times New Roman"/>
        <charset val="134"/>
      </rPr>
      <t>9</t>
    </r>
    <r>
      <rPr>
        <sz val="10"/>
        <rFont val="宋体"/>
        <charset val="134"/>
      </rPr>
      <t>、桥面线形测量：按照《城市桥梁检测与评定技术规范》（</t>
    </r>
    <r>
      <rPr>
        <sz val="10"/>
        <rFont val="Times New Roman"/>
        <charset val="134"/>
      </rPr>
      <t>CJJ/T 233-2015</t>
    </r>
    <r>
      <rPr>
        <sz val="10"/>
        <rFont val="宋体"/>
        <charset val="134"/>
      </rPr>
      <t>）</t>
    </r>
    <r>
      <rPr>
        <sz val="10"/>
        <rFont val="Times New Roman"/>
        <charset val="134"/>
      </rPr>
      <t>4.3.1</t>
    </r>
    <r>
      <rPr>
        <sz val="10"/>
        <rFont val="宋体"/>
        <charset val="134"/>
      </rPr>
      <t>第</t>
    </r>
    <r>
      <rPr>
        <sz val="10"/>
        <rFont val="Times New Roman"/>
        <charset val="134"/>
      </rPr>
      <t>2</t>
    </r>
    <r>
      <rPr>
        <sz val="10"/>
        <rFont val="宋体"/>
        <charset val="134"/>
      </rPr>
      <t>条，测点在车行道上、下游边缘线上（分左右幅的桥梁需分别布设）；高架桥及大型特大型特殊结构桥梁引桥部分桥面纵向线形每跨采用四等分，大型特大型特殊结构桥梁主桥桥部分桥面纵向线形主跨采用八等分，边跨采用四等分，单价参照</t>
    </r>
    <r>
      <rPr>
        <sz val="10"/>
        <rFont val="Times New Roman"/>
        <charset val="134"/>
      </rPr>
      <t>30</t>
    </r>
    <r>
      <rPr>
        <sz val="10"/>
        <rFont val="宋体"/>
        <charset val="134"/>
      </rPr>
      <t>元</t>
    </r>
    <r>
      <rPr>
        <sz val="10"/>
        <rFont val="Times New Roman"/>
        <charset val="134"/>
      </rPr>
      <t>/</t>
    </r>
    <r>
      <rPr>
        <sz val="10"/>
        <rFont val="宋体"/>
        <charset val="134"/>
      </rPr>
      <t>点；</t>
    </r>
  </si>
  <si>
    <r>
      <rPr>
        <sz val="10"/>
        <rFont val="Times New Roman"/>
        <charset val="134"/>
      </rPr>
      <t>10</t>
    </r>
    <r>
      <rPr>
        <sz val="10"/>
        <rFont val="宋体"/>
        <charset val="134"/>
      </rPr>
      <t>、对于高架桥检算，选取结构状况指数</t>
    </r>
    <r>
      <rPr>
        <sz val="10"/>
        <rFont val="Times New Roman"/>
        <charset val="134"/>
      </rPr>
      <t>BSI</t>
    </r>
    <r>
      <rPr>
        <sz val="10"/>
        <rFont val="宋体"/>
        <charset val="134"/>
      </rPr>
      <t>最差一联进行检算，主线桥、匝道桥均按照一联三跨考虑（主线桥每跨</t>
    </r>
    <r>
      <rPr>
        <sz val="10"/>
        <rFont val="Times New Roman"/>
        <charset val="134"/>
      </rPr>
      <t>10000</t>
    </r>
    <r>
      <rPr>
        <sz val="10"/>
        <rFont val="宋体"/>
        <charset val="134"/>
      </rPr>
      <t>元、匝道桥每跨</t>
    </r>
    <r>
      <rPr>
        <sz val="10"/>
        <rFont val="Times New Roman"/>
        <charset val="134"/>
      </rPr>
      <t>5000</t>
    </r>
    <r>
      <rPr>
        <sz val="10"/>
        <rFont val="宋体"/>
        <charset val="134"/>
      </rPr>
      <t>元）；其余特大桥按每座</t>
    </r>
    <r>
      <rPr>
        <sz val="10"/>
        <rFont val="Times New Roman"/>
        <charset val="134"/>
      </rPr>
      <t>50000</t>
    </r>
    <r>
      <rPr>
        <sz val="10"/>
        <rFont val="宋体"/>
        <charset val="134"/>
      </rPr>
      <t>元，大桥按每座</t>
    </r>
    <r>
      <rPr>
        <sz val="10"/>
        <rFont val="Times New Roman"/>
        <charset val="134"/>
      </rPr>
      <t>30000</t>
    </r>
    <r>
      <rPr>
        <sz val="10"/>
        <rFont val="宋体"/>
        <charset val="134"/>
      </rPr>
      <t>元，中桥按每座</t>
    </r>
    <r>
      <rPr>
        <sz val="10"/>
        <rFont val="Times New Roman"/>
        <charset val="134"/>
      </rPr>
      <t>10000</t>
    </r>
    <r>
      <rPr>
        <sz val="10"/>
        <rFont val="宋体"/>
        <charset val="134"/>
      </rPr>
      <t>元，小桥和涵洞按每座</t>
    </r>
    <r>
      <rPr>
        <sz val="10"/>
        <rFont val="Times New Roman"/>
        <charset val="134"/>
      </rPr>
      <t>5000</t>
    </r>
    <r>
      <rPr>
        <sz val="10"/>
        <rFont val="宋体"/>
        <charset val="134"/>
      </rPr>
      <t>元；另外特殊结构桥梁按照不同桥型考虑，</t>
    </r>
    <r>
      <rPr>
        <sz val="10"/>
        <rFont val="Times New Roman"/>
        <charset val="134"/>
      </rPr>
      <t>T</t>
    </r>
    <r>
      <rPr>
        <sz val="10"/>
        <rFont val="宋体"/>
        <charset val="134"/>
      </rPr>
      <t>构</t>
    </r>
    <r>
      <rPr>
        <sz val="10"/>
        <rFont val="Times New Roman"/>
        <charset val="134"/>
      </rPr>
      <t>+</t>
    </r>
    <r>
      <rPr>
        <sz val="10"/>
        <rFont val="宋体"/>
        <charset val="134"/>
      </rPr>
      <t>挂梁、斜腿钢构桥、钢混组合桥按照每座</t>
    </r>
    <r>
      <rPr>
        <sz val="10"/>
        <rFont val="Times New Roman"/>
        <charset val="134"/>
      </rPr>
      <t>50000</t>
    </r>
    <r>
      <rPr>
        <sz val="10"/>
        <rFont val="宋体"/>
        <charset val="134"/>
      </rPr>
      <t>元，系杆拱桥、悬索桥、斜拉桥及组合形式的桥梁按每座</t>
    </r>
    <r>
      <rPr>
        <sz val="10"/>
        <rFont val="Times New Roman"/>
        <charset val="134"/>
      </rPr>
      <t>150000</t>
    </r>
    <r>
      <rPr>
        <sz val="10"/>
        <rFont val="宋体"/>
        <charset val="134"/>
      </rPr>
      <t>元。</t>
    </r>
  </si>
  <si>
    <r>
      <rPr>
        <sz val="10"/>
        <rFont val="Times New Roman"/>
        <charset val="134"/>
      </rPr>
      <t>11</t>
    </r>
    <r>
      <rPr>
        <sz val="10"/>
        <rFont val="宋体"/>
        <charset val="134"/>
      </rPr>
      <t>、对于桥梁的自振频率测试，按照</t>
    </r>
    <r>
      <rPr>
        <sz val="10"/>
        <rFont val="Times New Roman"/>
        <charset val="134"/>
      </rPr>
      <t>1200</t>
    </r>
    <r>
      <rPr>
        <sz val="10"/>
        <rFont val="宋体"/>
        <charset val="134"/>
      </rPr>
      <t>元</t>
    </r>
    <r>
      <rPr>
        <sz val="10"/>
        <rFont val="Times New Roman"/>
        <charset val="134"/>
      </rPr>
      <t>/</t>
    </r>
    <r>
      <rPr>
        <sz val="10"/>
        <rFont val="宋体"/>
        <charset val="134"/>
      </rPr>
      <t>点，特殊结构桥梁按</t>
    </r>
    <r>
      <rPr>
        <sz val="10"/>
        <rFont val="Times New Roman"/>
        <charset val="134"/>
      </rPr>
      <t>8</t>
    </r>
    <r>
      <rPr>
        <sz val="10"/>
        <rFont val="宋体"/>
        <charset val="134"/>
      </rPr>
      <t>个点计，特大桥、高架桥、大桥按</t>
    </r>
    <r>
      <rPr>
        <sz val="10"/>
        <rFont val="Times New Roman"/>
        <charset val="134"/>
      </rPr>
      <t>6</t>
    </r>
    <r>
      <rPr>
        <sz val="10"/>
        <rFont val="宋体"/>
        <charset val="134"/>
      </rPr>
      <t>个点计，匝道桥、中小桥按</t>
    </r>
    <r>
      <rPr>
        <sz val="10"/>
        <rFont val="Times New Roman"/>
        <charset val="134"/>
      </rPr>
      <t>4</t>
    </r>
    <r>
      <rPr>
        <sz val="10"/>
        <rFont val="宋体"/>
        <charset val="134"/>
      </rPr>
      <t>个点计，涵洞按</t>
    </r>
    <r>
      <rPr>
        <sz val="10"/>
        <rFont val="Times New Roman"/>
        <charset val="134"/>
      </rPr>
      <t>2</t>
    </r>
    <r>
      <rPr>
        <sz val="10"/>
        <rFont val="宋体"/>
        <charset val="134"/>
      </rPr>
      <t>个点计；</t>
    </r>
  </si>
  <si>
    <r>
      <rPr>
        <sz val="10"/>
        <rFont val="Times New Roman"/>
        <charset val="134"/>
      </rPr>
      <t>12</t>
    </r>
    <r>
      <rPr>
        <sz val="10"/>
        <rFont val="宋体"/>
        <charset val="134"/>
      </rPr>
      <t>、索力检测按照</t>
    </r>
    <r>
      <rPr>
        <sz val="10"/>
        <rFont val="Times New Roman"/>
        <charset val="134"/>
      </rPr>
      <t>530</t>
    </r>
    <r>
      <rPr>
        <sz val="10"/>
        <rFont val="宋体"/>
        <charset val="134"/>
      </rPr>
      <t>元</t>
    </r>
    <r>
      <rPr>
        <sz val="10"/>
        <rFont val="Times New Roman"/>
        <charset val="134"/>
      </rPr>
      <t>/</t>
    </r>
    <r>
      <rPr>
        <sz val="10"/>
        <rFont val="宋体"/>
        <charset val="134"/>
      </rPr>
      <t>根；索承体系桥梁上下锚头开锚检查，市场价</t>
    </r>
    <r>
      <rPr>
        <sz val="10"/>
        <rFont val="Times New Roman"/>
        <charset val="134"/>
      </rPr>
      <t>800</t>
    </r>
    <r>
      <rPr>
        <sz val="10"/>
        <rFont val="宋体"/>
        <charset val="134"/>
      </rPr>
      <t>元</t>
    </r>
    <r>
      <rPr>
        <sz val="10"/>
        <rFont val="Times New Roman"/>
        <charset val="134"/>
      </rPr>
      <t>/</t>
    </r>
    <r>
      <rPr>
        <sz val="10"/>
        <rFont val="宋体"/>
        <charset val="134"/>
      </rPr>
      <t>个；</t>
    </r>
  </si>
  <si>
    <r>
      <rPr>
        <sz val="10"/>
        <rFont val="Times New Roman"/>
        <charset val="134"/>
      </rPr>
      <t>13</t>
    </r>
    <r>
      <rPr>
        <sz val="10"/>
        <rFont val="宋体"/>
        <charset val="134"/>
      </rPr>
      <t>、需进行钢结构螺栓扭矩、焊缝探伤、结构涂层厚度检测的；结合近几年钢结构病害的情况，综合考虑结构涂层检测选取</t>
    </r>
    <r>
      <rPr>
        <sz val="10"/>
        <rFont val="Times New Roman"/>
        <charset val="134"/>
      </rPr>
      <t>6</t>
    </r>
    <r>
      <rPr>
        <sz val="10"/>
        <rFont val="宋体"/>
        <charset val="134"/>
      </rPr>
      <t>个测区，每个测区</t>
    </r>
    <r>
      <rPr>
        <sz val="10"/>
        <rFont val="Times New Roman"/>
        <charset val="134"/>
      </rPr>
      <t>15</t>
    </r>
    <r>
      <rPr>
        <sz val="10"/>
        <rFont val="宋体"/>
        <charset val="134"/>
      </rPr>
      <t>个测点，单价</t>
    </r>
    <r>
      <rPr>
        <sz val="10"/>
        <rFont val="Times New Roman"/>
        <charset val="134"/>
      </rPr>
      <t>30</t>
    </r>
    <r>
      <rPr>
        <sz val="10"/>
        <rFont val="宋体"/>
        <charset val="134"/>
      </rPr>
      <t>元</t>
    </r>
    <r>
      <rPr>
        <sz val="10"/>
        <rFont val="Times New Roman"/>
        <charset val="134"/>
      </rPr>
      <t>/</t>
    </r>
    <r>
      <rPr>
        <sz val="10"/>
        <rFont val="宋体"/>
        <charset val="134"/>
      </rPr>
      <t>测点；焊缝探伤选取</t>
    </r>
    <r>
      <rPr>
        <sz val="10"/>
        <rFont val="Times New Roman"/>
        <charset val="134"/>
      </rPr>
      <t>8</t>
    </r>
    <r>
      <rPr>
        <sz val="10"/>
        <rFont val="宋体"/>
        <charset val="134"/>
      </rPr>
      <t>条具有代表性的焊缝，长度按＞</t>
    </r>
    <r>
      <rPr>
        <sz val="10"/>
        <rFont val="Times New Roman"/>
        <charset val="134"/>
      </rPr>
      <t>40mm</t>
    </r>
    <r>
      <rPr>
        <sz val="10"/>
        <rFont val="宋体"/>
        <charset val="134"/>
      </rPr>
      <t>计，单价</t>
    </r>
    <r>
      <rPr>
        <sz val="10"/>
        <rFont val="Times New Roman"/>
        <charset val="134"/>
      </rPr>
      <t>100</t>
    </r>
    <r>
      <rPr>
        <sz val="10"/>
        <rFont val="宋体"/>
        <charset val="134"/>
      </rPr>
      <t>元</t>
    </r>
    <r>
      <rPr>
        <sz val="10"/>
        <rFont val="Times New Roman"/>
        <charset val="134"/>
      </rPr>
      <t>/</t>
    </r>
    <r>
      <rPr>
        <sz val="10"/>
        <rFont val="宋体"/>
        <charset val="134"/>
      </rPr>
      <t>米；需进行螺栓扭矩检测的选取</t>
    </r>
    <r>
      <rPr>
        <sz val="10"/>
        <rFont val="Times New Roman"/>
        <charset val="134"/>
      </rPr>
      <t>5</t>
    </r>
    <r>
      <rPr>
        <sz val="10"/>
        <rFont val="宋体"/>
        <charset val="134"/>
      </rPr>
      <t>组，每组</t>
    </r>
    <r>
      <rPr>
        <sz val="10"/>
        <rFont val="Times New Roman"/>
        <charset val="134"/>
      </rPr>
      <t>1000/</t>
    </r>
    <r>
      <rPr>
        <sz val="10"/>
        <rFont val="宋体"/>
        <charset val="134"/>
      </rPr>
      <t>元</t>
    </r>
  </si>
  <si>
    <r>
      <rPr>
        <sz val="10"/>
        <rFont val="Times New Roman"/>
        <charset val="134"/>
      </rPr>
      <t>14</t>
    </r>
    <r>
      <rPr>
        <sz val="10"/>
        <rFont val="宋体"/>
        <charset val="134"/>
      </rPr>
      <t>、维修后检测费按实际发生的检测费的</t>
    </r>
    <r>
      <rPr>
        <sz val="10"/>
        <rFont val="Times New Roman"/>
        <charset val="134"/>
      </rPr>
      <t>20%</t>
    </r>
    <r>
      <rPr>
        <sz val="10"/>
        <rFont val="宋体"/>
        <charset val="134"/>
      </rPr>
      <t>计算；</t>
    </r>
  </si>
  <si>
    <t>2025年市管桥梁结构定期检测报价单</t>
  </si>
  <si>
    <t>小计（元）</t>
  </si>
  <si>
    <t>一标段</t>
  </si>
  <si>
    <t>二标段</t>
  </si>
  <si>
    <t>三标段</t>
  </si>
  <si>
    <t>合  计</t>
  </si>
  <si>
    <t>2025年市管桥梁结构定期检测一标段报价清单</t>
  </si>
  <si>
    <t>工期（天)</t>
  </si>
  <si>
    <t>机械租赁（台班）包干（元）</t>
  </si>
  <si>
    <t>桥梁外观检测（元）</t>
  </si>
  <si>
    <t>支座检查（元）</t>
  </si>
  <si>
    <t>材质状态参数（无损检测）（元）</t>
  </si>
  <si>
    <r>
      <rPr>
        <sz val="10"/>
        <rFont val="宋体"/>
        <charset val="134"/>
      </rPr>
      <t>裂缝（按每跨</t>
    </r>
    <r>
      <rPr>
        <sz val="10"/>
        <rFont val="Times New Roman"/>
        <charset val="134"/>
      </rPr>
      <t>10</t>
    </r>
    <r>
      <rPr>
        <sz val="10"/>
        <rFont val="宋体"/>
        <charset val="134"/>
      </rPr>
      <t>条预估）（元）</t>
    </r>
  </si>
  <si>
    <t>线型测量（元）</t>
  </si>
  <si>
    <t>拱肋或索塔偏位（元）</t>
  </si>
  <si>
    <t>结构检算（元）</t>
  </si>
  <si>
    <t>荷载试验（元）</t>
  </si>
  <si>
    <t>大桥自振频率（元）</t>
  </si>
  <si>
    <t>水下桩基破损调查（元）</t>
  </si>
  <si>
    <t>索力检测费（元）</t>
  </si>
  <si>
    <t>吊杆上下锚头检查（元）</t>
  </si>
  <si>
    <t>螺栓扭矩检测（元）</t>
  </si>
  <si>
    <t>焊缝探伤检测（元）</t>
  </si>
  <si>
    <t>结构涂层检测（元）</t>
  </si>
  <si>
    <t>维修后检查费（元）</t>
  </si>
  <si>
    <t>试验准备（加载车及测试支架搭设）</t>
  </si>
  <si>
    <r>
      <rPr>
        <sz val="10"/>
        <rFont val="宋体"/>
        <charset val="134"/>
      </rPr>
      <t>1988/2018</t>
    </r>
    <r>
      <rPr>
        <i/>
        <sz val="10"/>
        <rFont val="宋体"/>
        <charset val="134"/>
      </rPr>
      <t>加固</t>
    </r>
  </si>
  <si>
    <r>
      <rPr>
        <sz val="10"/>
        <rFont val="宋体"/>
        <charset val="134"/>
      </rPr>
      <t>2008/2016~2022</t>
    </r>
    <r>
      <rPr>
        <i/>
        <sz val="10"/>
        <rFont val="宋体"/>
        <charset val="134"/>
      </rPr>
      <t>多次维修加固</t>
    </r>
  </si>
  <si>
    <t>广南立交太湖大道跨线桥</t>
  </si>
  <si>
    <t>2019年</t>
  </si>
  <si>
    <t>广南立交Z1匝道桥</t>
  </si>
  <si>
    <t>广南立交Z2匝道桥</t>
  </si>
  <si>
    <t>广南立交Z4匝道桥</t>
  </si>
  <si>
    <t>广南立交Z8匝道桥</t>
  </si>
  <si>
    <r>
      <rPr>
        <sz val="10"/>
        <rFont val="宋体"/>
        <charset val="134"/>
      </rPr>
      <t>2009/2014</t>
    </r>
    <r>
      <rPr>
        <i/>
        <sz val="10"/>
        <rFont val="宋体"/>
        <charset val="134"/>
      </rPr>
      <t>加固</t>
    </r>
  </si>
  <si>
    <r>
      <rPr>
        <sz val="10"/>
        <rFont val="Times New Roman"/>
        <charset val="134"/>
      </rPr>
      <t xml:space="preserve">
</t>
    </r>
    <r>
      <rPr>
        <sz val="10"/>
        <rFont val="宋体"/>
        <charset val="134"/>
      </rPr>
      <t>注：（</t>
    </r>
    <r>
      <rPr>
        <sz val="10"/>
        <rFont val="Times New Roman"/>
        <charset val="134"/>
      </rPr>
      <t>1</t>
    </r>
    <r>
      <rPr>
        <sz val="10"/>
        <rFont val="宋体"/>
        <charset val="134"/>
      </rPr>
      <t>）可使用A3页面编辑报价表；
（2）投标供应商应当根据</t>
    </r>
    <r>
      <rPr>
        <sz val="10"/>
        <rFont val="Times New Roman"/>
        <charset val="134"/>
      </rPr>
      <t>“</t>
    </r>
    <r>
      <rPr>
        <sz val="10"/>
        <rFont val="宋体"/>
        <charset val="134"/>
      </rPr>
      <t>采购需求</t>
    </r>
    <r>
      <rPr>
        <sz val="10"/>
        <rFont val="Times New Roman"/>
        <charset val="134"/>
      </rPr>
      <t>”</t>
    </r>
    <r>
      <rPr>
        <sz val="10"/>
        <rFont val="宋体"/>
        <charset val="134"/>
      </rPr>
      <t>的内容在上表中详细填写，表格不够可自行延长。
（3）利润、风险、前期手续费等完成该项目的一切费用均包含在上述报价中，检测单位在报价时需充分考虑到其他可能产生的费用。</t>
    </r>
    <r>
      <rPr>
        <sz val="10"/>
        <rFont val="Times New Roman"/>
        <charset val="134"/>
      </rPr>
      <t xml:space="preserve">
</t>
    </r>
    <r>
      <rPr>
        <sz val="10"/>
        <rFont val="宋体"/>
        <charset val="134"/>
      </rPr>
      <t xml:space="preserve">（4）投标供应商必须提供《中小企业声明函》、《残疾人福利性单位声明函》或由省级以上监狱管理局、戒毒管理局（含新疆生产建设兵团）出具的属于监狱企业的证明文件复印件，投标供应商对所报相关数据的真实性负责，采购人有权将相关内容进行公示。
   投标供应商：                （盖章）
   法定代表人或委托代理人：            （签字）
   日期：      年     月     日
</t>
    </r>
  </si>
  <si>
    <t>2025年市管桥梁结构定期检测二标段报价清单</t>
  </si>
  <si>
    <t>2025年市管桥梁结构定期检测三标段报价清单</t>
  </si>
  <si>
    <t xml:space="preserve">
注：（1）可使用A3页面编辑报价表；
（2）投标供应商应当根据“采购需求”的内容在上表中详细填写，表格不够可自行延长。
（3）利润、风险、前期手续费等完成该项目的一切费用均包含在上述报价中，检测单位在报价时需充分考虑到其他可能产生的费用。
（4）投标供应商必须提供《中小企业声明函》、《残疾人福利性单位声明函》或由省级以上监狱管理局、戒毒管理局（含新疆生产建设兵团）出具的属于监狱企业的证明文件复印件，投标供应商对所报相关数据的真实性负责，采购人有权将相关内容进行公示。
   投标供应商：                （盖章）
   法定代表人或委托代理人：            （签字）
   日期：      年     月     日
</t>
  </si>
  <si>
    <t>桥检车5000</t>
  </si>
  <si>
    <t>登高车1200</t>
  </si>
  <si>
    <t>结构验算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</si>
</sst>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Red]\(0.00\)"/>
    <numFmt numFmtId="179" formatCode="0_);[Red]\(0\)"/>
    <numFmt numFmtId="180" formatCode="0.00_ "/>
    <numFmt numFmtId="181" formatCode="0.0"/>
    <numFmt numFmtId="182" formatCode="0.0_);[Red]\(0.0\)"/>
  </numFmts>
  <fonts count="50">
    <font>
      <sz val="12"/>
      <name val="宋体"/>
      <charset val="134"/>
    </font>
    <font>
      <sz val="10"/>
      <name val="Times New Roman"/>
      <charset val="134"/>
    </font>
    <font>
      <i/>
      <sz val="10"/>
      <name val="Times New Roman"/>
      <charset val="134"/>
    </font>
    <font>
      <b/>
      <sz val="20"/>
      <name val="宋体"/>
      <charset val="134"/>
      <scheme val="major"/>
    </font>
    <font>
      <sz val="10"/>
      <name val="宋体"/>
      <charset val="134"/>
    </font>
    <font>
      <sz val="9"/>
      <name val="宋体"/>
      <charset val="134"/>
    </font>
    <font>
      <sz val="9"/>
      <name val="宋体"/>
      <charset val="134"/>
      <scheme val="minor"/>
    </font>
    <font>
      <sz val="10"/>
      <color theme="1"/>
      <name val="Times New Roman"/>
      <charset val="134"/>
    </font>
    <font>
      <sz val="8"/>
      <name val="宋体"/>
      <charset val="134"/>
    </font>
    <font>
      <sz val="8"/>
      <name val="Times New Roman"/>
      <charset val="134"/>
    </font>
    <font>
      <sz val="8"/>
      <name val="宋体"/>
      <charset val="134"/>
      <scheme val="minor"/>
    </font>
    <font>
      <sz val="10"/>
      <color rgb="FF000000"/>
      <name val="Times New Roman"/>
      <charset val="134"/>
    </font>
    <font>
      <sz val="10"/>
      <color indexed="8"/>
      <name val="Times New Roman"/>
      <charset val="134"/>
    </font>
    <font>
      <b/>
      <sz val="10"/>
      <color rgb="FFFF0000"/>
      <name val="Times New Roman"/>
      <charset val="134"/>
    </font>
    <font>
      <sz val="10"/>
      <name val="宋体"/>
      <charset val="134"/>
      <scheme val="minor"/>
    </font>
    <font>
      <i/>
      <sz val="10"/>
      <name val="宋体"/>
      <charset val="134"/>
    </font>
    <font>
      <sz val="11"/>
      <color theme="1"/>
      <name val="宋体"/>
      <charset val="134"/>
      <scheme val="minor"/>
    </font>
    <font>
      <sz val="14"/>
      <color theme="1"/>
      <name val="宋体"/>
      <charset val="134"/>
      <scheme val="minor"/>
    </font>
    <font>
      <b/>
      <sz val="11"/>
      <color theme="1"/>
      <name val="宋体"/>
      <charset val="134"/>
      <scheme val="minor"/>
    </font>
    <font>
      <sz val="10"/>
      <color rgb="FFFF0000"/>
      <name val="宋体"/>
      <charset val="134"/>
    </font>
    <font>
      <sz val="10"/>
      <color rgb="FFFF0000"/>
      <name val="Times New Roman"/>
      <charset val="134"/>
    </font>
    <font>
      <sz val="9"/>
      <name val="Arial"/>
      <charset val="134"/>
    </font>
    <font>
      <b/>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0"/>
      <name val="Arial"/>
      <charset val="134"/>
    </font>
    <font>
      <sz val="11"/>
      <color indexed="17"/>
      <name val="宋体"/>
      <charset val="134"/>
    </font>
    <font>
      <i/>
      <sz val="8"/>
      <name val="宋体"/>
      <charset val="134"/>
    </font>
    <font>
      <b/>
      <sz val="10"/>
      <name val="宋体"/>
      <charset val="134"/>
    </font>
    <font>
      <sz val="10"/>
      <color indexed="8"/>
      <name val="宋体"/>
      <charset val="134"/>
    </font>
    <font>
      <b/>
      <sz val="9"/>
      <name val="宋体"/>
      <charset val="134"/>
    </font>
    <font>
      <sz val="9"/>
      <name val="宋体"/>
      <charset val="134"/>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5"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6" borderId="13" applyNumberFormat="0" applyAlignment="0" applyProtection="0">
      <alignment vertical="center"/>
    </xf>
    <xf numFmtId="0" fontId="32" fillId="7" borderId="14" applyNumberFormat="0" applyAlignment="0" applyProtection="0">
      <alignment vertical="center"/>
    </xf>
    <xf numFmtId="0" fontId="33" fillId="7" borderId="13" applyNumberFormat="0" applyAlignment="0" applyProtection="0">
      <alignment vertical="center"/>
    </xf>
    <xf numFmtId="0" fontId="34" fillId="8"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42" fillId="36" borderId="0" applyNumberFormat="0" applyBorder="0" applyAlignment="0" applyProtection="0">
      <alignment vertical="center"/>
    </xf>
    <xf numFmtId="0" fontId="43" fillId="0" borderId="0"/>
    <xf numFmtId="0" fontId="44" fillId="37" borderId="0" applyNumberFormat="0" applyBorder="0" applyAlignment="0" applyProtection="0">
      <alignment vertical="center"/>
    </xf>
  </cellStyleXfs>
  <cellXfs count="136">
    <xf numFmtId="0" fontId="0" fillId="0" borderId="0" xfId="0"/>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50" applyFont="1" applyBorder="1" applyAlignment="1">
      <alignment horizontal="center" vertical="center" wrapText="1"/>
    </xf>
    <xf numFmtId="0" fontId="5" fillId="0" borderId="1" xfId="50" applyFont="1" applyBorder="1" applyAlignment="1">
      <alignment horizontal="center" vertical="center" wrapText="1"/>
    </xf>
    <xf numFmtId="0" fontId="6" fillId="0" borderId="1" xfId="50" applyFont="1" applyBorder="1" applyAlignment="1">
      <alignment horizontal="center" vertical="center" wrapText="1"/>
    </xf>
    <xf numFmtId="178" fontId="1" fillId="0" borderId="1" xfId="50" applyNumberFormat="1" applyFont="1" applyBorder="1" applyAlignment="1">
      <alignment horizontal="center" vertical="center" shrinkToFit="1"/>
    </xf>
    <xf numFmtId="179" fontId="1" fillId="0" borderId="1" xfId="50" applyNumberFormat="1" applyFont="1" applyBorder="1" applyAlignment="1">
      <alignment horizontal="center" vertical="center" wrapText="1" shrinkToFit="1"/>
    </xf>
    <xf numFmtId="178" fontId="1" fillId="0" borderId="1" xfId="50" applyNumberFormat="1" applyFont="1" applyBorder="1" applyAlignment="1">
      <alignment horizontal="center" vertical="center" wrapText="1" shrinkToFit="1"/>
    </xf>
    <xf numFmtId="1"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80" fontId="4" fillId="0" borderId="1" xfId="0" applyNumberFormat="1" applyFont="1" applyBorder="1" applyAlignment="1">
      <alignment horizontal="center" vertical="center" wrapText="1"/>
    </xf>
    <xf numFmtId="0" fontId="8" fillId="0" borderId="1" xfId="50" applyFont="1" applyBorder="1" applyAlignment="1">
      <alignment horizontal="center" vertical="center" wrapText="1"/>
    </xf>
    <xf numFmtId="0" fontId="8" fillId="0" borderId="1" xfId="50" applyFont="1" applyBorder="1" applyAlignment="1">
      <alignment horizontal="center" vertical="center"/>
    </xf>
    <xf numFmtId="0" fontId="4" fillId="0" borderId="1" xfId="50" applyFont="1" applyBorder="1" applyAlignment="1">
      <alignment horizontal="center" vertical="center" wrapText="1"/>
    </xf>
    <xf numFmtId="179" fontId="9" fillId="0" borderId="1" xfId="50" applyNumberFormat="1" applyFont="1" applyBorder="1" applyAlignment="1">
      <alignment horizontal="center" vertical="center" wrapText="1" shrinkToFit="1"/>
    </xf>
    <xf numFmtId="0" fontId="10" fillId="0" borderId="1" xfId="50" applyFont="1" applyBorder="1" applyAlignment="1">
      <alignment horizontal="center" vertical="center" wrapText="1" shrinkToFit="1"/>
    </xf>
    <xf numFmtId="0" fontId="7"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wrapText="1"/>
    </xf>
    <xf numFmtId="0" fontId="6" fillId="0" borderId="1" xfId="50" applyFont="1" applyBorder="1" applyAlignment="1">
      <alignment horizontal="center" vertical="center" shrinkToFit="1"/>
    </xf>
    <xf numFmtId="0" fontId="9" fillId="0" borderId="1" xfId="0" applyFont="1" applyBorder="1" applyAlignment="1">
      <alignment horizontal="center" vertical="center" wrapText="1"/>
    </xf>
    <xf numFmtId="0" fontId="10" fillId="0" borderId="1" xfId="50" applyFont="1" applyBorder="1" applyAlignment="1">
      <alignment horizontal="center" vertical="center" shrinkToFit="1"/>
    </xf>
    <xf numFmtId="0" fontId="1" fillId="0" borderId="1" xfId="50" applyFont="1" applyBorder="1" applyAlignment="1">
      <alignment horizontal="center" vertical="center" shrinkToFit="1"/>
    </xf>
    <xf numFmtId="179" fontId="1" fillId="0" borderId="1" xfId="50" applyNumberFormat="1" applyFont="1" applyBorder="1" applyAlignment="1">
      <alignment horizontal="center" vertical="center" shrinkToFit="1"/>
    </xf>
    <xf numFmtId="0" fontId="8" fillId="0" borderId="2" xfId="50" applyFont="1" applyBorder="1" applyAlignment="1">
      <alignment horizontal="center" vertical="center" wrapText="1"/>
    </xf>
    <xf numFmtId="181" fontId="1" fillId="0" borderId="1" xfId="0" applyNumberFormat="1" applyFont="1" applyBorder="1" applyAlignment="1">
      <alignment horizontal="center" vertical="center" wrapText="1"/>
    </xf>
    <xf numFmtId="0" fontId="8" fillId="0" borderId="3" xfId="50" applyFont="1" applyBorder="1" applyAlignment="1">
      <alignment horizontal="center" vertical="center" wrapText="1"/>
    </xf>
    <xf numFmtId="0" fontId="8" fillId="0" borderId="4" xfId="50" applyFont="1" applyBorder="1" applyAlignment="1">
      <alignment horizontal="center" vertical="center" wrapText="1"/>
    </xf>
    <xf numFmtId="179" fontId="9"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wrapText="1"/>
    </xf>
    <xf numFmtId="178" fontId="12" fillId="0" borderId="1" xfId="50" applyNumberFormat="1" applyFont="1" applyBorder="1" applyAlignment="1">
      <alignment horizontal="center" vertical="center" wrapText="1" shrinkToFit="1"/>
    </xf>
    <xf numFmtId="179" fontId="12" fillId="0" borderId="1" xfId="50" applyNumberFormat="1" applyFont="1" applyBorder="1" applyAlignment="1">
      <alignment horizontal="center" vertical="center" wrapText="1" shrinkToFit="1"/>
    </xf>
    <xf numFmtId="0" fontId="8" fillId="0" borderId="1" xfId="50" applyFont="1" applyBorder="1" applyAlignment="1">
      <alignment vertical="center" wrapText="1"/>
    </xf>
    <xf numFmtId="0" fontId="1" fillId="0" borderId="0" xfId="0" applyFont="1" applyAlignment="1">
      <alignment horizontal="left" vertical="center" wrapText="1"/>
    </xf>
    <xf numFmtId="176" fontId="1" fillId="0" borderId="0" xfId="0" applyNumberFormat="1" applyFont="1" applyAlignment="1">
      <alignment horizontal="center" vertical="center" wrapText="1"/>
    </xf>
    <xf numFmtId="176" fontId="13" fillId="0" borderId="0" xfId="0" applyNumberFormat="1" applyFont="1" applyAlignment="1">
      <alignment horizontal="center" vertical="center" wrapText="1"/>
    </xf>
    <xf numFmtId="180" fontId="13" fillId="0" borderId="0" xfId="0" applyNumberFormat="1"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1" fillId="0" borderId="0" xfId="0" applyFont="1" applyFill="1" applyAlignment="1">
      <alignment vertical="center" wrapText="1"/>
    </xf>
    <xf numFmtId="10" fontId="1" fillId="2" borderId="0" xfId="0" applyNumberFormat="1" applyFont="1" applyFill="1" applyAlignment="1">
      <alignment vertical="center" wrapText="1"/>
    </xf>
    <xf numFmtId="0" fontId="7" fillId="0" borderId="0" xfId="0" applyFont="1" applyAlignment="1">
      <alignment vertical="center" wrapText="1"/>
    </xf>
    <xf numFmtId="0" fontId="7" fillId="2"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left" vertical="center" wrapText="1"/>
    </xf>
    <xf numFmtId="176" fontId="11" fillId="0" borderId="1" xfId="0" applyNumberFormat="1" applyFont="1" applyBorder="1" applyAlignment="1">
      <alignment horizontal="center" vertical="center" wrapText="1"/>
    </xf>
    <xf numFmtId="0" fontId="4" fillId="0" borderId="2" xfId="50" applyFont="1" applyBorder="1" applyAlignment="1">
      <alignment horizontal="center" vertical="center" wrapText="1"/>
    </xf>
    <xf numFmtId="180" fontId="4" fillId="0" borderId="2" xfId="0" applyNumberFormat="1" applyFont="1" applyBorder="1" applyAlignment="1">
      <alignment horizontal="center" vertical="center" wrapText="1"/>
    </xf>
    <xf numFmtId="0" fontId="4" fillId="0" borderId="4" xfId="50" applyFont="1" applyBorder="1" applyAlignment="1">
      <alignment horizontal="center" vertical="center" wrapText="1"/>
    </xf>
    <xf numFmtId="180" fontId="4" fillId="0" borderId="4" xfId="0" applyNumberFormat="1" applyFont="1" applyBorder="1" applyAlignment="1">
      <alignment horizontal="center" vertical="center" wrapText="1"/>
    </xf>
    <xf numFmtId="0" fontId="5" fillId="0" borderId="1" xfId="50" applyFont="1" applyBorder="1" applyAlignment="1">
      <alignment horizontal="center" vertical="center" wrapText="1" shrinkToFit="1"/>
    </xf>
    <xf numFmtId="0" fontId="6" fillId="0" borderId="1" xfId="50" applyFont="1" applyBorder="1" applyAlignment="1">
      <alignment horizontal="center" vertical="center" wrapText="1" shrinkToFit="1"/>
    </xf>
    <xf numFmtId="0" fontId="6" fillId="0" borderId="1" xfId="0" applyFont="1" applyBorder="1" applyAlignment="1">
      <alignment horizontal="center" vertical="center"/>
    </xf>
    <xf numFmtId="0" fontId="1" fillId="0" borderId="1" xfId="50" applyFont="1" applyBorder="1" applyAlignment="1">
      <alignment horizontal="center" vertical="center"/>
    </xf>
    <xf numFmtId="0" fontId="6" fillId="0" borderId="1" xfId="50" applyFont="1" applyBorder="1" applyAlignment="1">
      <alignment horizontal="center" vertical="center"/>
    </xf>
    <xf numFmtId="0" fontId="14" fillId="0" borderId="1" xfId="50" applyFont="1" applyBorder="1" applyAlignment="1">
      <alignment horizontal="center" vertical="center" wrapText="1"/>
    </xf>
    <xf numFmtId="0" fontId="4" fillId="0" borderId="1" xfId="50" applyFont="1" applyBorder="1" applyAlignment="1">
      <alignment horizontal="center" vertical="center"/>
    </xf>
    <xf numFmtId="0" fontId="14" fillId="0" borderId="1" xfId="50" applyFont="1" applyBorder="1" applyAlignment="1">
      <alignment horizontal="center" vertical="center"/>
    </xf>
    <xf numFmtId="0" fontId="4" fillId="0" borderId="3" xfId="50" applyFont="1" applyBorder="1" applyAlignment="1">
      <alignment horizontal="center" vertical="center" wrapText="1"/>
    </xf>
    <xf numFmtId="180" fontId="4" fillId="0" borderId="3" xfId="0" applyNumberFormat="1" applyFont="1" applyBorder="1" applyAlignment="1">
      <alignment horizontal="center" vertical="center" wrapText="1"/>
    </xf>
    <xf numFmtId="0" fontId="14" fillId="0" borderId="1" xfId="50" applyFont="1" applyBorder="1" applyAlignment="1">
      <alignment horizontal="center" vertical="center" wrapText="1" shrinkToFit="1"/>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 fontId="1" fillId="0" borderId="2" xfId="0" applyNumberFormat="1" applyFont="1" applyBorder="1" applyAlignment="1">
      <alignment horizontal="center" vertical="center" wrapText="1"/>
    </xf>
    <xf numFmtId="0" fontId="4" fillId="0" borderId="1" xfId="50" applyFont="1" applyBorder="1" applyAlignment="1">
      <alignment vertical="center" wrapText="1"/>
    </xf>
    <xf numFmtId="0" fontId="15" fillId="0" borderId="0" xfId="0" applyFont="1" applyAlignment="1">
      <alignment horizontal="center" vertical="center" wrapText="1"/>
    </xf>
    <xf numFmtId="10" fontId="1" fillId="0" borderId="0" xfId="0" applyNumberFormat="1" applyFont="1" applyAlignment="1">
      <alignment vertical="center" wrapText="1"/>
    </xf>
    <xf numFmtId="0" fontId="16" fillId="0" borderId="0" xfId="0" applyFont="1" applyAlignment="1">
      <alignment horizontal="center" vertical="center" wrapText="1"/>
    </xf>
    <xf numFmtId="0" fontId="16" fillId="0" borderId="0" xfId="0" applyFont="1" applyAlignment="1">
      <alignment vertical="center"/>
    </xf>
    <xf numFmtId="0" fontId="17" fillId="0" borderId="0" xfId="0" applyFont="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wrapText="1"/>
    </xf>
    <xf numFmtId="176" fontId="16" fillId="0" borderId="1" xfId="0" applyNumberFormat="1" applyFont="1" applyBorder="1" applyAlignment="1">
      <alignment horizontal="center" vertical="center" wrapText="1"/>
    </xf>
    <xf numFmtId="0" fontId="18" fillId="0" borderId="0" xfId="0" applyFont="1" applyAlignment="1">
      <alignment horizontal="center" vertical="center" wrapText="1"/>
    </xf>
    <xf numFmtId="0" fontId="18" fillId="0" borderId="8" xfId="0" applyFont="1" applyBorder="1" applyAlignment="1">
      <alignment horizontal="center" vertical="center"/>
    </xf>
    <xf numFmtId="176" fontId="18" fillId="0" borderId="9" xfId="0" applyNumberFormat="1"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178" fontId="7" fillId="0" borderId="1" xfId="50" applyNumberFormat="1" applyFont="1" applyBorder="1" applyAlignment="1">
      <alignment horizontal="center" vertical="center" shrinkToFit="1"/>
    </xf>
    <xf numFmtId="2" fontId="1" fillId="0" borderId="1" xfId="0" applyNumberFormat="1" applyFont="1" applyBorder="1" applyAlignment="1">
      <alignment horizontal="center" vertical="center" wrapText="1"/>
    </xf>
    <xf numFmtId="180" fontId="1" fillId="0" borderId="1" xfId="0" applyNumberFormat="1" applyFont="1" applyBorder="1" applyAlignment="1">
      <alignment horizontal="center" vertical="center" wrapText="1"/>
    </xf>
    <xf numFmtId="0" fontId="4" fillId="3" borderId="1" xfId="50" applyFont="1" applyFill="1" applyBorder="1" applyAlignment="1">
      <alignment horizontal="center" vertical="center" wrapText="1"/>
    </xf>
    <xf numFmtId="178" fontId="6" fillId="0" borderId="1" xfId="50" applyNumberFormat="1" applyFont="1" applyBorder="1" applyAlignment="1">
      <alignment horizontal="center" vertical="center" shrinkToFit="1"/>
    </xf>
    <xf numFmtId="178" fontId="9" fillId="0" borderId="1" xfId="50" applyNumberFormat="1" applyFont="1" applyBorder="1" applyAlignment="1">
      <alignment horizontal="center" vertical="center" wrapText="1" shrinkToFit="1"/>
    </xf>
    <xf numFmtId="182" fontId="9" fillId="0" borderId="1" xfId="50" applyNumberFormat="1" applyFont="1" applyBorder="1" applyAlignment="1">
      <alignment horizontal="center" vertical="center" wrapText="1" shrinkToFit="1"/>
    </xf>
    <xf numFmtId="176" fontId="9" fillId="0" borderId="1" xfId="0" applyNumberFormat="1" applyFont="1" applyBorder="1" applyAlignment="1">
      <alignment horizontal="center" vertical="center" wrapText="1"/>
    </xf>
    <xf numFmtId="0" fontId="4" fillId="3" borderId="2" xfId="50" applyFont="1" applyFill="1" applyBorder="1" applyAlignment="1">
      <alignment horizontal="center" vertical="center" wrapText="1"/>
    </xf>
    <xf numFmtId="177" fontId="9" fillId="0" borderId="1" xfId="0" applyNumberFormat="1" applyFont="1" applyBorder="1" applyAlignment="1">
      <alignment horizontal="center" vertical="center" wrapText="1"/>
    </xf>
    <xf numFmtId="0" fontId="4" fillId="3" borderId="4" xfId="50" applyFont="1" applyFill="1" applyBorder="1" applyAlignment="1">
      <alignment horizontal="center" vertical="center" wrapText="1"/>
    </xf>
    <xf numFmtId="180" fontId="4" fillId="2" borderId="1" xfId="0"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80" fontId="9"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4" borderId="1" xfId="50" applyFont="1" applyFill="1" applyBorder="1" applyAlignment="1">
      <alignment horizontal="center" vertical="center" wrapText="1"/>
    </xf>
    <xf numFmtId="180" fontId="9" fillId="0" borderId="2" xfId="0" applyNumberFormat="1" applyFont="1" applyBorder="1" applyAlignment="1">
      <alignment horizontal="center" vertical="center" wrapText="1"/>
    </xf>
    <xf numFmtId="0" fontId="4" fillId="2" borderId="1" xfId="50" applyFont="1" applyFill="1" applyBorder="1" applyAlignment="1">
      <alignment horizontal="center" vertical="center" wrapText="1"/>
    </xf>
    <xf numFmtId="0" fontId="5" fillId="0" borderId="1" xfId="50" applyFont="1" applyBorder="1" applyAlignment="1">
      <alignment horizontal="center" vertical="center" shrinkToFit="1"/>
    </xf>
    <xf numFmtId="0" fontId="21" fillId="0" borderId="1" xfId="50" applyFont="1" applyBorder="1" applyAlignment="1">
      <alignment horizontal="center" vertical="center" wrapText="1"/>
    </xf>
    <xf numFmtId="178" fontId="6" fillId="0" borderId="1" xfId="50" applyNumberFormat="1" applyFont="1" applyBorder="1" applyAlignment="1">
      <alignment horizontal="center" vertical="center"/>
    </xf>
    <xf numFmtId="0" fontId="10" fillId="0" borderId="1" xfId="50" applyFont="1" applyBorder="1" applyAlignment="1">
      <alignment horizontal="center" vertical="center"/>
    </xf>
    <xf numFmtId="0" fontId="21" fillId="0" borderId="1" xfId="50" applyFont="1" applyBorder="1" applyAlignment="1">
      <alignment horizontal="center" vertical="center"/>
    </xf>
    <xf numFmtId="181" fontId="11" fillId="0" borderId="1" xfId="0" applyNumberFormat="1" applyFont="1" applyBorder="1" applyAlignment="1">
      <alignment horizontal="center" vertical="center" wrapText="1"/>
    </xf>
    <xf numFmtId="181" fontId="1" fillId="0" borderId="1" xfId="50" applyNumberFormat="1" applyFont="1" applyBorder="1" applyAlignment="1">
      <alignment horizontal="center" vertical="center" wrapText="1" shrinkToFit="1"/>
    </xf>
    <xf numFmtId="0" fontId="6" fillId="0" borderId="1" xfId="0" applyFont="1" applyBorder="1" applyAlignment="1">
      <alignment horizontal="center" vertical="center" wrapText="1"/>
    </xf>
    <xf numFmtId="178" fontId="6"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178" fontId="6" fillId="0" borderId="1" xfId="5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50" applyFont="1" applyFill="1" applyBorder="1" applyAlignment="1">
      <alignment horizontal="center" vertical="center"/>
    </xf>
    <xf numFmtId="0" fontId="10" fillId="0" borderId="3" xfId="0" applyFont="1" applyBorder="1" applyAlignment="1">
      <alignment horizontal="center" vertical="center" wrapText="1"/>
    </xf>
    <xf numFmtId="181"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9" fillId="0" borderId="1" xfId="50" applyFont="1" applyBorder="1" applyAlignment="1">
      <alignment horizontal="center" vertical="center" wrapText="1"/>
    </xf>
    <xf numFmtId="1" fontId="9" fillId="0" borderId="2"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2" fillId="0" borderId="0" xfId="0" applyFont="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2011的设施量" xfId="49"/>
    <cellStyle name="常规_09桥梁设施总量（市管桥梁设施总公司）" xfId="50"/>
    <cellStyle name="好_2011的设施量" xfId="51"/>
  </cellStyles>
  <tableStyles count="0" defaultTableStyle="TableStyleMedium9" defaultPivotStyle="PivotStyleLight16"/>
  <colors>
    <mruColors>
      <color rgb="00FFC000"/>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B130"/>
  <sheetViews>
    <sheetView zoomScale="85" zoomScaleNormal="85" workbookViewId="0">
      <pane xSplit="6" ySplit="3" topLeftCell="AE88" activePane="bottomRight" state="frozen"/>
      <selection/>
      <selection pane="topRight"/>
      <selection pane="bottomLeft"/>
      <selection pane="bottomRight" activeCell="A113" sqref="A113:AM113"/>
    </sheetView>
  </sheetViews>
  <sheetFormatPr defaultColWidth="9" defaultRowHeight="14.25"/>
  <cols>
    <col min="1" max="1" width="4" style="4" customWidth="1"/>
    <col min="2" max="2" width="24.2" style="4" customWidth="1"/>
    <col min="3" max="3" width="12.9" style="4" customWidth="1"/>
    <col min="4" max="4" width="8.9" style="4" customWidth="1"/>
    <col min="5" max="5" width="7.9" style="4" customWidth="1"/>
    <col min="6" max="6" width="7.7" style="4" customWidth="1"/>
    <col min="7" max="10" width="6.1" style="4" customWidth="1"/>
    <col min="11" max="11" width="5.3" style="4" customWidth="1"/>
    <col min="12" max="12" width="6.1" style="4" customWidth="1"/>
    <col min="13" max="13" width="6.4" style="4" customWidth="1"/>
    <col min="14" max="14" width="6" style="4" customWidth="1"/>
    <col min="15" max="15" width="9.6" style="4" customWidth="1"/>
    <col min="16" max="16" width="6.5" style="4" customWidth="1"/>
    <col min="17" max="17" width="6.9" style="4" customWidth="1"/>
    <col min="18" max="18" width="7.6" style="4" customWidth="1"/>
    <col min="19" max="19" width="5.9" style="4" customWidth="1"/>
    <col min="20" max="20" width="7.5" style="4" customWidth="1"/>
    <col min="21" max="21" width="5.5" style="4" customWidth="1"/>
    <col min="22" max="22" width="5.7" style="4" customWidth="1"/>
    <col min="23" max="23" width="5.4" style="4" customWidth="1"/>
    <col min="24" max="24" width="9.2" style="4" customWidth="1"/>
    <col min="25" max="25" width="5.6" style="4" customWidth="1"/>
    <col min="26" max="26" width="5.7" style="4" customWidth="1"/>
    <col min="27" max="27" width="6.7" style="4" customWidth="1"/>
    <col min="28" max="28" width="5.6" style="4" customWidth="1"/>
    <col min="29" max="29" width="5.2" style="4" customWidth="1"/>
    <col min="30" max="30" width="7.5" style="4" customWidth="1"/>
    <col min="31" max="31" width="5.5" style="4" customWidth="1"/>
    <col min="32" max="32" width="5.9" style="4" customWidth="1"/>
    <col min="33" max="33" width="5.9" style="5" customWidth="1"/>
    <col min="34" max="34" width="6.2" style="4" customWidth="1"/>
    <col min="35" max="35" width="5.4" style="4" customWidth="1"/>
    <col min="36" max="36" width="5.6" style="4" customWidth="1"/>
    <col min="37" max="37" width="5.2" style="4" customWidth="1"/>
    <col min="38" max="38" width="8.1" style="4" customWidth="1"/>
    <col min="39" max="40" width="11.3" style="4" customWidth="1"/>
    <col min="41" max="41" width="12.9" style="4" customWidth="1"/>
    <col min="42" max="42" width="11.3" style="4" customWidth="1"/>
    <col min="43" max="43" width="11" customWidth="1"/>
    <col min="44" max="44" width="11.1" customWidth="1"/>
    <col min="45" max="45" width="9.7" customWidth="1"/>
    <col min="46" max="46" width="9.6" customWidth="1"/>
    <col min="47" max="48" width="10.7" customWidth="1"/>
    <col min="49" max="49" width="9.9" style="4" customWidth="1"/>
    <col min="50" max="51" width="9" style="4" customWidth="1"/>
    <col min="52" max="52" width="11.5" style="4"/>
    <col min="53" max="53" width="8.8" style="4" customWidth="1"/>
    <col min="54" max="54" width="11.5" style="4"/>
    <col min="55" max="16384" width="9" style="4"/>
  </cols>
  <sheetData>
    <row r="1" ht="34.95" customHeight="1" spans="1:54">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ht="27" customHeight="1" spans="1:54">
      <c r="A2" s="1" t="s">
        <v>1</v>
      </c>
      <c r="B2" s="1" t="s">
        <v>2</v>
      </c>
      <c r="C2" s="1" t="s">
        <v>3</v>
      </c>
      <c r="D2" s="1" t="s">
        <v>4</v>
      </c>
      <c r="E2" s="1" t="s">
        <v>5</v>
      </c>
      <c r="F2" s="1" t="s">
        <v>6</v>
      </c>
      <c r="G2" s="1" t="s">
        <v>7</v>
      </c>
      <c r="H2" s="1" t="s">
        <v>8</v>
      </c>
      <c r="I2" s="1"/>
      <c r="J2" s="1" t="s">
        <v>9</v>
      </c>
      <c r="K2" s="1" t="s">
        <v>10</v>
      </c>
      <c r="L2" s="1" t="s">
        <v>11</v>
      </c>
      <c r="M2" s="93" t="s">
        <v>12</v>
      </c>
      <c r="N2" s="94"/>
      <c r="O2" s="1" t="s">
        <v>13</v>
      </c>
      <c r="P2" s="1" t="s">
        <v>14</v>
      </c>
      <c r="Q2" s="1" t="s">
        <v>15</v>
      </c>
      <c r="R2" s="1"/>
      <c r="S2" s="1"/>
      <c r="T2" s="1"/>
      <c r="U2" s="1"/>
      <c r="V2" s="1" t="s">
        <v>16</v>
      </c>
      <c r="W2" s="1"/>
      <c r="X2" s="11" t="s">
        <v>17</v>
      </c>
      <c r="Y2" s="1"/>
      <c r="Z2" s="1" t="s">
        <v>18</v>
      </c>
      <c r="AA2" s="1" t="s">
        <v>19</v>
      </c>
      <c r="AB2" s="1" t="s">
        <v>20</v>
      </c>
      <c r="AC2" s="1"/>
      <c r="AD2" s="1"/>
      <c r="AE2" s="1" t="s">
        <v>21</v>
      </c>
      <c r="AF2" s="1" t="s">
        <v>22</v>
      </c>
      <c r="AG2" s="1" t="s">
        <v>23</v>
      </c>
      <c r="AH2" s="1" t="s">
        <v>24</v>
      </c>
      <c r="AI2" s="1" t="s">
        <v>25</v>
      </c>
      <c r="AJ2" s="1" t="s">
        <v>26</v>
      </c>
      <c r="AK2" s="1" t="s">
        <v>27</v>
      </c>
      <c r="AL2" s="1" t="s">
        <v>28</v>
      </c>
      <c r="AM2" s="9" t="s">
        <v>29</v>
      </c>
      <c r="AN2" s="10" t="s">
        <v>30</v>
      </c>
      <c r="AO2" s="10" t="s">
        <v>31</v>
      </c>
      <c r="AP2" s="10" t="s">
        <v>32</v>
      </c>
      <c r="AQ2" s="10" t="s">
        <v>33</v>
      </c>
      <c r="AR2" s="10" t="s">
        <v>34</v>
      </c>
      <c r="AS2" s="10" t="s">
        <v>35</v>
      </c>
      <c r="AT2" s="10" t="s">
        <v>36</v>
      </c>
      <c r="AU2" s="10" t="s">
        <v>37</v>
      </c>
      <c r="AV2" s="10" t="s">
        <v>38</v>
      </c>
      <c r="AW2" s="9" t="s">
        <v>39</v>
      </c>
      <c r="AX2" s="9" t="s">
        <v>40</v>
      </c>
      <c r="AY2" s="10" t="s">
        <v>41</v>
      </c>
      <c r="AZ2" s="10" t="s">
        <v>42</v>
      </c>
      <c r="BA2" s="10" t="s">
        <v>43</v>
      </c>
      <c r="BB2" s="10" t="s">
        <v>44</v>
      </c>
    </row>
    <row r="3" ht="48" customHeight="1" spans="1:54">
      <c r="A3" s="1"/>
      <c r="B3" s="1"/>
      <c r="C3" s="1"/>
      <c r="D3" s="1"/>
      <c r="E3" s="1"/>
      <c r="F3" s="1"/>
      <c r="G3" s="1"/>
      <c r="H3" s="1" t="s">
        <v>45</v>
      </c>
      <c r="I3" s="1" t="s">
        <v>46</v>
      </c>
      <c r="J3" s="1"/>
      <c r="K3" s="1"/>
      <c r="L3" s="1"/>
      <c r="M3" s="1" t="s">
        <v>47</v>
      </c>
      <c r="N3" s="1" t="s">
        <v>48</v>
      </c>
      <c r="O3" s="1"/>
      <c r="P3" s="1"/>
      <c r="Q3" s="1" t="s">
        <v>49</v>
      </c>
      <c r="R3" s="1" t="s">
        <v>50</v>
      </c>
      <c r="S3" s="1" t="s">
        <v>51</v>
      </c>
      <c r="T3" s="1" t="s">
        <v>52</v>
      </c>
      <c r="U3" s="1" t="s">
        <v>53</v>
      </c>
      <c r="V3" s="1" t="s">
        <v>54</v>
      </c>
      <c r="W3" s="1" t="s">
        <v>55</v>
      </c>
      <c r="X3" s="11" t="s">
        <v>56</v>
      </c>
      <c r="Y3" s="1" t="s">
        <v>57</v>
      </c>
      <c r="Z3" s="1"/>
      <c r="AA3" s="1"/>
      <c r="AB3" s="1" t="s">
        <v>58</v>
      </c>
      <c r="AC3" s="1" t="s">
        <v>59</v>
      </c>
      <c r="AD3" s="1" t="s">
        <v>60</v>
      </c>
      <c r="AE3" s="1"/>
      <c r="AF3" s="1"/>
      <c r="AG3" s="1"/>
      <c r="AH3" s="1"/>
      <c r="AI3" s="1"/>
      <c r="AJ3" s="1"/>
      <c r="AK3" s="1"/>
      <c r="AL3" s="1"/>
      <c r="AM3" s="9"/>
      <c r="AN3" s="9"/>
      <c r="AO3" s="9"/>
      <c r="AP3" s="9"/>
      <c r="AQ3" s="9"/>
      <c r="AR3" s="9"/>
      <c r="AS3" s="9"/>
      <c r="AT3" s="9"/>
      <c r="AU3" s="9"/>
      <c r="AV3" s="9"/>
      <c r="AW3" s="9"/>
      <c r="AX3" s="9"/>
      <c r="AY3" s="9"/>
      <c r="AZ3" s="9"/>
      <c r="BA3" s="9"/>
      <c r="BB3" s="9"/>
    </row>
    <row r="4" s="3" customFormat="1" ht="24" spans="1:54">
      <c r="A4" s="13">
        <v>1</v>
      </c>
      <c r="B4" s="13" t="s">
        <v>61</v>
      </c>
      <c r="C4" s="14" t="s">
        <v>62</v>
      </c>
      <c r="D4" s="95">
        <v>390.74</v>
      </c>
      <c r="E4" s="16">
        <v>21</v>
      </c>
      <c r="F4" s="17">
        <v>7228.69</v>
      </c>
      <c r="G4" s="18">
        <v>95</v>
      </c>
      <c r="H4" s="1">
        <v>462</v>
      </c>
      <c r="I4" s="1">
        <v>0</v>
      </c>
      <c r="J4" s="1">
        <v>2</v>
      </c>
      <c r="K4" s="1">
        <v>60</v>
      </c>
      <c r="L4" s="36">
        <v>4</v>
      </c>
      <c r="M4" s="1">
        <f>8500*4</f>
        <v>34000</v>
      </c>
      <c r="N4" s="1"/>
      <c r="O4" s="19">
        <f>D4*30</f>
        <v>11722.2</v>
      </c>
      <c r="P4" s="1">
        <f t="shared" ref="P4:P10" si="0">H4*20+I4*50</f>
        <v>9240</v>
      </c>
      <c r="Q4" s="1">
        <f t="shared" ref="Q4:Q38" si="1">G4*10*90</f>
        <v>85500</v>
      </c>
      <c r="R4" s="1">
        <f t="shared" ref="R4:R38" si="2">G4*9*30</f>
        <v>25650</v>
      </c>
      <c r="S4" s="1">
        <f t="shared" ref="S4:S38" si="3">E4*1*130</f>
        <v>2730</v>
      </c>
      <c r="T4" s="1">
        <f t="shared" ref="T4:T38" si="4">G4*30*45</f>
        <v>128250</v>
      </c>
      <c r="U4" s="1">
        <f t="shared" ref="U4:U38" si="5">G4*10*15</f>
        <v>14250</v>
      </c>
      <c r="V4" s="1">
        <f t="shared" ref="V4:V38" si="6">E4*10*45</f>
        <v>9450</v>
      </c>
      <c r="W4" s="1">
        <f>E4*30*10</f>
        <v>6300</v>
      </c>
      <c r="X4" s="18">
        <f>210*30</f>
        <v>6300</v>
      </c>
      <c r="Y4" s="1"/>
      <c r="Z4" s="1"/>
      <c r="AA4" s="1">
        <v>30000</v>
      </c>
      <c r="AB4" s="1"/>
      <c r="AC4" s="1"/>
      <c r="AD4" s="1"/>
      <c r="AE4" s="1">
        <v>7200</v>
      </c>
      <c r="AF4" s="1"/>
      <c r="AG4" s="1"/>
      <c r="AH4" s="1"/>
      <c r="AI4" s="1"/>
      <c r="AJ4" s="1"/>
      <c r="AK4" s="1"/>
      <c r="AL4" s="96">
        <f t="shared" ref="AL4:AL38" si="7">SUM(M4:AK4)*0.2</f>
        <v>74118.44</v>
      </c>
      <c r="AM4" s="97">
        <f t="shared" ref="AM4:AM38" si="8">SUM(M4:AL4)</f>
        <v>444710.64</v>
      </c>
      <c r="AN4" s="21" t="s">
        <v>63</v>
      </c>
      <c r="AO4" s="21" t="s">
        <v>64</v>
      </c>
      <c r="AP4" s="21"/>
      <c r="AQ4" s="21"/>
      <c r="AR4" s="21">
        <f>AM4</f>
        <v>444710.64</v>
      </c>
      <c r="AS4" s="21"/>
      <c r="AT4" s="21"/>
      <c r="AU4" s="21"/>
      <c r="AV4" s="21"/>
      <c r="AW4" s="22" t="s">
        <v>65</v>
      </c>
      <c r="AX4" s="23" t="s">
        <v>66</v>
      </c>
      <c r="AY4" s="98" t="s">
        <v>67</v>
      </c>
      <c r="AZ4" s="22" t="s">
        <v>68</v>
      </c>
      <c r="BA4" s="21" t="s">
        <v>69</v>
      </c>
      <c r="BB4" s="3">
        <v>3</v>
      </c>
    </row>
    <row r="5" s="3" customFormat="1" ht="31.5" spans="1:54">
      <c r="A5" s="13">
        <f>A4+1</f>
        <v>2</v>
      </c>
      <c r="B5" s="13" t="s">
        <v>70</v>
      </c>
      <c r="C5" s="14" t="s">
        <v>71</v>
      </c>
      <c r="D5" s="99">
        <v>1133.95</v>
      </c>
      <c r="E5" s="25">
        <v>34</v>
      </c>
      <c r="F5" s="100">
        <v>34018.5</v>
      </c>
      <c r="G5" s="18">
        <v>79</v>
      </c>
      <c r="H5" s="1">
        <v>58</v>
      </c>
      <c r="I5" s="1">
        <v>24</v>
      </c>
      <c r="J5" s="1">
        <v>18</v>
      </c>
      <c r="K5" s="1">
        <v>2</v>
      </c>
      <c r="L5" s="36">
        <v>6</v>
      </c>
      <c r="M5" s="1">
        <v>8500</v>
      </c>
      <c r="N5" s="1">
        <f>1800*5</f>
        <v>9000</v>
      </c>
      <c r="O5" s="19">
        <f>D5*25</f>
        <v>28348.75</v>
      </c>
      <c r="P5" s="1">
        <f t="shared" si="0"/>
        <v>2360</v>
      </c>
      <c r="Q5" s="1">
        <f t="shared" si="1"/>
        <v>71100</v>
      </c>
      <c r="R5" s="1">
        <f t="shared" si="2"/>
        <v>21330</v>
      </c>
      <c r="S5" s="1">
        <f t="shared" si="3"/>
        <v>4420</v>
      </c>
      <c r="T5" s="1">
        <f t="shared" si="4"/>
        <v>106650</v>
      </c>
      <c r="U5" s="1">
        <f t="shared" si="5"/>
        <v>11850</v>
      </c>
      <c r="V5" s="1">
        <f t="shared" si="6"/>
        <v>15300</v>
      </c>
      <c r="W5" s="1">
        <f>E5*30*10</f>
        <v>10200</v>
      </c>
      <c r="X5" s="18">
        <f>696*30</f>
        <v>20880</v>
      </c>
      <c r="Y5" s="1"/>
      <c r="Z5" s="1"/>
      <c r="AA5" s="1">
        <v>30000</v>
      </c>
      <c r="AB5" s="1"/>
      <c r="AC5" s="1"/>
      <c r="AD5" s="1"/>
      <c r="AE5" s="1">
        <v>7200</v>
      </c>
      <c r="AF5" s="1"/>
      <c r="AG5" s="1"/>
      <c r="AH5" s="1"/>
      <c r="AI5" s="1"/>
      <c r="AJ5" s="1"/>
      <c r="AK5" s="1"/>
      <c r="AL5" s="96">
        <f t="shared" si="7"/>
        <v>69427.75</v>
      </c>
      <c r="AM5" s="97">
        <f t="shared" si="8"/>
        <v>416566.5</v>
      </c>
      <c r="AN5" s="21" t="s">
        <v>63</v>
      </c>
      <c r="AO5" s="21" t="s">
        <v>72</v>
      </c>
      <c r="AP5" s="21"/>
      <c r="AQ5" s="21">
        <f>AM5</f>
        <v>416566.5</v>
      </c>
      <c r="AR5" s="21"/>
      <c r="AS5" s="21"/>
      <c r="AT5" s="21"/>
      <c r="AU5" s="21"/>
      <c r="AV5" s="21"/>
      <c r="AW5" s="26" t="s">
        <v>73</v>
      </c>
      <c r="AX5" s="23" t="s">
        <v>66</v>
      </c>
      <c r="AY5" s="98" t="s">
        <v>67</v>
      </c>
      <c r="AZ5" s="22" t="s">
        <v>74</v>
      </c>
      <c r="BA5" s="21" t="s">
        <v>69</v>
      </c>
      <c r="BB5" s="3">
        <v>3</v>
      </c>
    </row>
    <row r="6" s="3" customFormat="1" ht="21" spans="1:54">
      <c r="A6" s="13">
        <f>A5+1</f>
        <v>3</v>
      </c>
      <c r="B6" s="13" t="s">
        <v>75</v>
      </c>
      <c r="C6" s="14" t="s">
        <v>76</v>
      </c>
      <c r="D6" s="99">
        <v>162.74</v>
      </c>
      <c r="E6" s="16">
        <v>3</v>
      </c>
      <c r="F6" s="17">
        <v>4341.9032</v>
      </c>
      <c r="G6" s="31">
        <v>5</v>
      </c>
      <c r="H6" s="31">
        <v>12</v>
      </c>
      <c r="I6" s="31">
        <v>0</v>
      </c>
      <c r="J6" s="31">
        <v>2</v>
      </c>
      <c r="K6" s="31">
        <v>4</v>
      </c>
      <c r="L6" s="31">
        <v>1</v>
      </c>
      <c r="M6" s="31"/>
      <c r="N6" s="1">
        <f>1800*L6</f>
        <v>1800</v>
      </c>
      <c r="O6" s="19">
        <f t="shared" ref="O6:O10" si="9">D6*30</f>
        <v>4882.2</v>
      </c>
      <c r="P6" s="1">
        <f t="shared" si="0"/>
        <v>240</v>
      </c>
      <c r="Q6" s="1">
        <f t="shared" si="1"/>
        <v>4500</v>
      </c>
      <c r="R6" s="1">
        <f t="shared" si="2"/>
        <v>1350</v>
      </c>
      <c r="S6" s="1">
        <f t="shared" si="3"/>
        <v>390</v>
      </c>
      <c r="T6" s="1">
        <f t="shared" si="4"/>
        <v>6750</v>
      </c>
      <c r="U6" s="1">
        <f t="shared" si="5"/>
        <v>750</v>
      </c>
      <c r="V6" s="1">
        <f t="shared" si="6"/>
        <v>1350</v>
      </c>
      <c r="W6" s="1">
        <f>E6*30*10</f>
        <v>900</v>
      </c>
      <c r="X6" s="20">
        <f>100*30</f>
        <v>3000</v>
      </c>
      <c r="Y6" s="1"/>
      <c r="Z6" s="1"/>
      <c r="AA6" s="1">
        <v>30000</v>
      </c>
      <c r="AB6" s="1"/>
      <c r="AC6" s="1"/>
      <c r="AD6" s="1"/>
      <c r="AE6" s="1">
        <v>7200</v>
      </c>
      <c r="AF6" s="1"/>
      <c r="AG6" s="1"/>
      <c r="AH6" s="1"/>
      <c r="AI6" s="1"/>
      <c r="AJ6" s="1"/>
      <c r="AK6" s="1"/>
      <c r="AL6" s="96">
        <f t="shared" si="7"/>
        <v>12622.44</v>
      </c>
      <c r="AM6" s="97">
        <f t="shared" si="8"/>
        <v>75734.64</v>
      </c>
      <c r="AN6" s="21" t="s">
        <v>77</v>
      </c>
      <c r="AO6" s="21" t="s">
        <v>78</v>
      </c>
      <c r="AP6" s="21">
        <f>AM6</f>
        <v>75734.64</v>
      </c>
      <c r="AQ6" s="21"/>
      <c r="AR6" s="21"/>
      <c r="AS6" s="21"/>
      <c r="AT6" s="21"/>
      <c r="AU6" s="21"/>
      <c r="AV6" s="21"/>
      <c r="AW6" s="22" t="s">
        <v>79</v>
      </c>
      <c r="AX6" s="23" t="s">
        <v>66</v>
      </c>
      <c r="AY6" s="98" t="s">
        <v>67</v>
      </c>
      <c r="AZ6" s="22" t="s">
        <v>68</v>
      </c>
      <c r="BA6" s="21" t="s">
        <v>69</v>
      </c>
      <c r="BB6" s="3">
        <v>1</v>
      </c>
    </row>
    <row r="7" s="3" customFormat="1" ht="24" spans="1:54">
      <c r="A7" s="13">
        <f>A6+1</f>
        <v>4</v>
      </c>
      <c r="B7" s="13" t="s">
        <v>80</v>
      </c>
      <c r="C7" s="14" t="s">
        <v>81</v>
      </c>
      <c r="D7" s="99">
        <v>481.325</v>
      </c>
      <c r="E7" s="16">
        <v>12</v>
      </c>
      <c r="F7" s="17">
        <v>19253</v>
      </c>
      <c r="G7" s="18">
        <v>61</v>
      </c>
      <c r="H7" s="1">
        <v>0</v>
      </c>
      <c r="I7" s="1">
        <v>52</v>
      </c>
      <c r="J7" s="1">
        <v>5</v>
      </c>
      <c r="K7" s="1"/>
      <c r="L7" s="36">
        <v>6</v>
      </c>
      <c r="M7" s="1">
        <v>8500</v>
      </c>
      <c r="N7" s="1">
        <f>1800*5</f>
        <v>9000</v>
      </c>
      <c r="O7" s="19">
        <f>D7*25</f>
        <v>12033.125</v>
      </c>
      <c r="P7" s="1">
        <f t="shared" si="0"/>
        <v>2600</v>
      </c>
      <c r="Q7" s="1">
        <f t="shared" si="1"/>
        <v>54900</v>
      </c>
      <c r="R7" s="1">
        <f t="shared" si="2"/>
        <v>16470</v>
      </c>
      <c r="S7" s="1">
        <f t="shared" si="3"/>
        <v>1560</v>
      </c>
      <c r="T7" s="1">
        <f t="shared" si="4"/>
        <v>82350</v>
      </c>
      <c r="U7" s="1">
        <f t="shared" si="5"/>
        <v>9150</v>
      </c>
      <c r="V7" s="1">
        <f t="shared" si="6"/>
        <v>5400</v>
      </c>
      <c r="W7" s="1">
        <f>E7*30*10</f>
        <v>3600</v>
      </c>
      <c r="X7" s="18">
        <f>128*30</f>
        <v>3840</v>
      </c>
      <c r="Y7" s="1"/>
      <c r="Z7" s="27">
        <v>6000</v>
      </c>
      <c r="AA7" s="1">
        <v>150000</v>
      </c>
      <c r="AB7" s="28"/>
      <c r="AC7" s="28"/>
      <c r="AD7" s="28"/>
      <c r="AE7" s="1">
        <v>9600</v>
      </c>
      <c r="AF7" s="1"/>
      <c r="AG7" s="27">
        <f>530*52</f>
        <v>27560</v>
      </c>
      <c r="AH7" s="27">
        <v>6400</v>
      </c>
      <c r="AI7" s="27">
        <v>5000</v>
      </c>
      <c r="AJ7" s="27">
        <v>8000</v>
      </c>
      <c r="AK7" s="27">
        <v>2700</v>
      </c>
      <c r="AL7" s="96">
        <f t="shared" si="7"/>
        <v>84932.625</v>
      </c>
      <c r="AM7" s="97">
        <f t="shared" si="8"/>
        <v>509595.75</v>
      </c>
      <c r="AN7" s="21" t="s">
        <v>63</v>
      </c>
      <c r="AO7" s="21" t="s">
        <v>72</v>
      </c>
      <c r="AP7" s="21"/>
      <c r="AQ7" s="21">
        <f>AM7</f>
        <v>509595.75</v>
      </c>
      <c r="AR7" s="21"/>
      <c r="AS7" s="21"/>
      <c r="AT7" s="21"/>
      <c r="AU7" s="21"/>
      <c r="AV7" s="21"/>
      <c r="AW7" s="22" t="s">
        <v>82</v>
      </c>
      <c r="AX7" s="23" t="s">
        <v>83</v>
      </c>
      <c r="AY7" s="98" t="s">
        <v>84</v>
      </c>
      <c r="AZ7" s="22" t="s">
        <v>85</v>
      </c>
      <c r="BA7" s="21" t="s">
        <v>86</v>
      </c>
      <c r="BB7" s="3">
        <v>3</v>
      </c>
    </row>
    <row r="8" s="3" customFormat="1" ht="31.5" spans="1:54">
      <c r="A8" s="13">
        <f>A7+1</f>
        <v>5</v>
      </c>
      <c r="B8" s="13" t="s">
        <v>87</v>
      </c>
      <c r="C8" s="14" t="s">
        <v>88</v>
      </c>
      <c r="D8" s="99">
        <v>1056.5</v>
      </c>
      <c r="E8" s="16">
        <v>36</v>
      </c>
      <c r="F8" s="17">
        <v>34864.5</v>
      </c>
      <c r="G8" s="25">
        <v>36</v>
      </c>
      <c r="H8" s="25">
        <v>0</v>
      </c>
      <c r="I8" s="25">
        <v>106</v>
      </c>
      <c r="J8" s="25">
        <v>9</v>
      </c>
      <c r="K8" s="25"/>
      <c r="L8" s="101">
        <v>14</v>
      </c>
      <c r="M8" s="31">
        <f>8500*2</f>
        <v>17000</v>
      </c>
      <c r="N8" s="31">
        <f>1800*12</f>
        <v>21600</v>
      </c>
      <c r="O8" s="39">
        <f>D8*25</f>
        <v>26412.5</v>
      </c>
      <c r="P8" s="31">
        <f t="shared" si="0"/>
        <v>5300</v>
      </c>
      <c r="Q8" s="31">
        <f t="shared" si="1"/>
        <v>32400</v>
      </c>
      <c r="R8" s="31">
        <f t="shared" si="2"/>
        <v>9720</v>
      </c>
      <c r="S8" s="31">
        <f t="shared" si="3"/>
        <v>4680</v>
      </c>
      <c r="T8" s="31">
        <f t="shared" si="4"/>
        <v>48600</v>
      </c>
      <c r="U8" s="31">
        <f t="shared" si="5"/>
        <v>5400</v>
      </c>
      <c r="V8" s="31">
        <f t="shared" si="6"/>
        <v>16200</v>
      </c>
      <c r="W8" s="31">
        <f t="shared" ref="W8:W10" si="10">E8*10*30</f>
        <v>10800</v>
      </c>
      <c r="X8" s="102">
        <f>356*30</f>
        <v>10680</v>
      </c>
      <c r="Y8" s="31"/>
      <c r="Z8" s="31">
        <v>3000</v>
      </c>
      <c r="AA8" s="1">
        <v>150000</v>
      </c>
      <c r="AB8" s="28"/>
      <c r="AC8" s="28"/>
      <c r="AD8" s="28"/>
      <c r="AE8" s="31">
        <f>1200*8</f>
        <v>9600</v>
      </c>
      <c r="AF8" s="31"/>
      <c r="AG8" s="31">
        <f>530*40</f>
        <v>21200</v>
      </c>
      <c r="AH8" s="31">
        <v>6400</v>
      </c>
      <c r="AI8" s="31">
        <v>5000</v>
      </c>
      <c r="AJ8" s="31">
        <v>8000</v>
      </c>
      <c r="AK8" s="31">
        <v>2700</v>
      </c>
      <c r="AL8" s="31">
        <f t="shared" si="7"/>
        <v>82938.5</v>
      </c>
      <c r="AM8" s="97">
        <f t="shared" si="8"/>
        <v>497631</v>
      </c>
      <c r="AN8" s="21" t="s">
        <v>63</v>
      </c>
      <c r="AO8" s="21" t="s">
        <v>72</v>
      </c>
      <c r="AP8" s="21"/>
      <c r="AQ8" s="21">
        <f>AM8</f>
        <v>497631</v>
      </c>
      <c r="AR8" s="21"/>
      <c r="AS8" s="21"/>
      <c r="AT8" s="21"/>
      <c r="AU8" s="21"/>
      <c r="AV8" s="21"/>
      <c r="AW8" s="26" t="s">
        <v>89</v>
      </c>
      <c r="AX8" s="23" t="s">
        <v>83</v>
      </c>
      <c r="AY8" s="103" t="s">
        <v>84</v>
      </c>
      <c r="AZ8" s="35" t="s">
        <v>90</v>
      </c>
      <c r="BA8" s="59" t="s">
        <v>86</v>
      </c>
      <c r="BB8" s="3">
        <v>2</v>
      </c>
    </row>
    <row r="9" s="3" customFormat="1" ht="16.5" customHeight="1" spans="1:54">
      <c r="A9" s="13"/>
      <c r="B9" s="13" t="s">
        <v>91</v>
      </c>
      <c r="C9" s="14"/>
      <c r="D9" s="99">
        <v>133.37</v>
      </c>
      <c r="E9" s="16">
        <v>5</v>
      </c>
      <c r="F9" s="17">
        <v>2400.66</v>
      </c>
      <c r="G9" s="25">
        <v>10</v>
      </c>
      <c r="H9" s="25">
        <v>0</v>
      </c>
      <c r="I9" s="25">
        <v>30</v>
      </c>
      <c r="J9" s="25">
        <v>2</v>
      </c>
      <c r="K9" s="25"/>
      <c r="L9" s="101">
        <v>4</v>
      </c>
      <c r="M9" s="31"/>
      <c r="N9" s="31">
        <f>1800*4</f>
        <v>7200</v>
      </c>
      <c r="O9" s="39">
        <f t="shared" si="9"/>
        <v>4001.1</v>
      </c>
      <c r="P9" s="31">
        <f t="shared" si="0"/>
        <v>1500</v>
      </c>
      <c r="Q9" s="31">
        <f t="shared" si="1"/>
        <v>9000</v>
      </c>
      <c r="R9" s="31">
        <f t="shared" si="2"/>
        <v>2700</v>
      </c>
      <c r="S9" s="31">
        <f t="shared" si="3"/>
        <v>650</v>
      </c>
      <c r="T9" s="31">
        <f t="shared" si="4"/>
        <v>13500</v>
      </c>
      <c r="U9" s="31">
        <f t="shared" si="5"/>
        <v>1500</v>
      </c>
      <c r="V9" s="31">
        <f t="shared" si="6"/>
        <v>2250</v>
      </c>
      <c r="W9" s="31">
        <f t="shared" si="10"/>
        <v>1500</v>
      </c>
      <c r="X9" s="102">
        <f>100*30</f>
        <v>3000</v>
      </c>
      <c r="Y9" s="31"/>
      <c r="Z9" s="31"/>
      <c r="AA9" s="31">
        <v>15000</v>
      </c>
      <c r="AB9" s="31"/>
      <c r="AC9" s="31"/>
      <c r="AD9" s="31"/>
      <c r="AE9" s="31">
        <v>7200</v>
      </c>
      <c r="AF9" s="31"/>
      <c r="AG9" s="31"/>
      <c r="AH9" s="31"/>
      <c r="AI9" s="31"/>
      <c r="AJ9" s="31"/>
      <c r="AK9" s="31"/>
      <c r="AL9" s="31">
        <f t="shared" si="7"/>
        <v>13800.22</v>
      </c>
      <c r="AM9" s="104">
        <f t="shared" si="8"/>
        <v>82801.32</v>
      </c>
      <c r="AN9" s="21" t="s">
        <v>63</v>
      </c>
      <c r="AO9" s="21" t="s">
        <v>72</v>
      </c>
      <c r="AP9" s="21"/>
      <c r="AQ9" s="21">
        <f>AM9</f>
        <v>82801.32</v>
      </c>
      <c r="AR9" s="21"/>
      <c r="AS9" s="21"/>
      <c r="AT9" s="21"/>
      <c r="AU9" s="21"/>
      <c r="AV9" s="21"/>
      <c r="AW9" s="32" t="s">
        <v>92</v>
      </c>
      <c r="AX9" s="23" t="s">
        <v>83</v>
      </c>
      <c r="AY9" s="105"/>
      <c r="AZ9" s="38"/>
      <c r="BA9" s="61"/>
      <c r="BB9" s="3">
        <v>2</v>
      </c>
    </row>
    <row r="10" s="3" customFormat="1" ht="24" spans="1:54">
      <c r="A10" s="13">
        <f>A8+1</f>
        <v>6</v>
      </c>
      <c r="B10" s="13" t="s">
        <v>93</v>
      </c>
      <c r="C10" s="30" t="s">
        <v>94</v>
      </c>
      <c r="D10" s="99">
        <v>237</v>
      </c>
      <c r="E10" s="16">
        <v>3</v>
      </c>
      <c r="F10" s="17">
        <v>10665</v>
      </c>
      <c r="G10" s="25">
        <v>7</v>
      </c>
      <c r="H10" s="25">
        <v>0</v>
      </c>
      <c r="I10" s="25">
        <v>16</v>
      </c>
      <c r="J10" s="25">
        <v>2</v>
      </c>
      <c r="K10" s="25"/>
      <c r="L10" s="101">
        <v>4</v>
      </c>
      <c r="M10" s="31">
        <f>8500*2</f>
        <v>17000</v>
      </c>
      <c r="N10" s="31">
        <f>1800*2</f>
        <v>3600</v>
      </c>
      <c r="O10" s="39">
        <f t="shared" si="9"/>
        <v>7110</v>
      </c>
      <c r="P10" s="31">
        <f t="shared" si="0"/>
        <v>800</v>
      </c>
      <c r="Q10" s="31">
        <f t="shared" si="1"/>
        <v>6300</v>
      </c>
      <c r="R10" s="31">
        <f t="shared" si="2"/>
        <v>1890</v>
      </c>
      <c r="S10" s="31">
        <f t="shared" si="3"/>
        <v>390</v>
      </c>
      <c r="T10" s="31">
        <f t="shared" si="4"/>
        <v>9450</v>
      </c>
      <c r="U10" s="31">
        <f t="shared" si="5"/>
        <v>1050</v>
      </c>
      <c r="V10" s="31">
        <f t="shared" si="6"/>
        <v>1350</v>
      </c>
      <c r="W10" s="31">
        <f t="shared" si="10"/>
        <v>900</v>
      </c>
      <c r="X10" s="102">
        <f>68*30</f>
        <v>2040</v>
      </c>
      <c r="Y10" s="31"/>
      <c r="Z10" s="31"/>
      <c r="AA10" s="31">
        <v>60000</v>
      </c>
      <c r="AB10" s="31"/>
      <c r="AC10" s="31"/>
      <c r="AD10" s="31"/>
      <c r="AE10" s="31">
        <v>7200</v>
      </c>
      <c r="AF10" s="31"/>
      <c r="AG10" s="31"/>
      <c r="AH10" s="31"/>
      <c r="AI10" s="31"/>
      <c r="AJ10" s="31"/>
      <c r="AK10" s="31"/>
      <c r="AL10" s="31">
        <f t="shared" si="7"/>
        <v>23816</v>
      </c>
      <c r="AM10" s="104">
        <f t="shared" si="8"/>
        <v>142896</v>
      </c>
      <c r="AN10" s="21" t="s">
        <v>95</v>
      </c>
      <c r="AO10" s="106" t="s">
        <v>96</v>
      </c>
      <c r="AP10" s="21">
        <f>AM10*0.5</f>
        <v>71448</v>
      </c>
      <c r="AQ10" s="21">
        <f>AM10*0.5</f>
        <v>71448</v>
      </c>
      <c r="AR10" s="21"/>
      <c r="AS10" s="21"/>
      <c r="AT10" s="21"/>
      <c r="AU10" s="21"/>
      <c r="AV10" s="21"/>
      <c r="AW10" s="32" t="s">
        <v>97</v>
      </c>
      <c r="AX10" s="23" t="s">
        <v>83</v>
      </c>
      <c r="AY10" s="24"/>
      <c r="AZ10" s="22" t="s">
        <v>68</v>
      </c>
      <c r="BA10" s="21" t="s">
        <v>86</v>
      </c>
      <c r="BB10" s="3">
        <v>3</v>
      </c>
    </row>
    <row r="11" s="3" customFormat="1" ht="24" spans="1:54">
      <c r="A11" s="13">
        <f>A10+1</f>
        <v>7</v>
      </c>
      <c r="B11" s="13" t="s">
        <v>98</v>
      </c>
      <c r="C11" s="30" t="s">
        <v>99</v>
      </c>
      <c r="D11" s="99">
        <v>221.24</v>
      </c>
      <c r="E11" s="34">
        <v>8</v>
      </c>
      <c r="F11" s="15">
        <v>5442.504</v>
      </c>
      <c r="G11" s="107">
        <v>31</v>
      </c>
      <c r="H11" s="31">
        <v>120</v>
      </c>
      <c r="I11" s="31">
        <v>0</v>
      </c>
      <c r="J11" s="31">
        <v>20</v>
      </c>
      <c r="K11" s="31">
        <v>4</v>
      </c>
      <c r="L11" s="31">
        <v>4</v>
      </c>
      <c r="M11" s="31">
        <v>8500</v>
      </c>
      <c r="N11" s="31">
        <f>1800*3</f>
        <v>5400</v>
      </c>
      <c r="O11" s="39">
        <v>12847.2</v>
      </c>
      <c r="P11" s="31">
        <f t="shared" ref="P11:P57" si="11">H11*20+I11*50</f>
        <v>2400</v>
      </c>
      <c r="Q11" s="31">
        <f t="shared" si="1"/>
        <v>27900</v>
      </c>
      <c r="R11" s="31">
        <f t="shared" si="2"/>
        <v>8370</v>
      </c>
      <c r="S11" s="31">
        <f t="shared" si="3"/>
        <v>1040</v>
      </c>
      <c r="T11" s="31">
        <f t="shared" si="4"/>
        <v>41850</v>
      </c>
      <c r="U11" s="31">
        <f t="shared" si="5"/>
        <v>4650</v>
      </c>
      <c r="V11" s="31">
        <f t="shared" si="6"/>
        <v>3600</v>
      </c>
      <c r="W11" s="31">
        <f t="shared" ref="W11:W23" si="12">E11*30*10</f>
        <v>2400</v>
      </c>
      <c r="X11" s="107">
        <f>128*30</f>
        <v>3840</v>
      </c>
      <c r="Y11" s="31"/>
      <c r="Z11" s="31"/>
      <c r="AA11" s="31">
        <v>50000</v>
      </c>
      <c r="AB11" s="31"/>
      <c r="AC11" s="31"/>
      <c r="AD11" s="31"/>
      <c r="AE11" s="31">
        <v>7200</v>
      </c>
      <c r="AF11" s="31"/>
      <c r="AG11" s="31"/>
      <c r="AH11" s="31"/>
      <c r="AI11" s="31"/>
      <c r="AJ11" s="31"/>
      <c r="AK11" s="31"/>
      <c r="AL11" s="108">
        <f t="shared" si="7"/>
        <v>35999.44</v>
      </c>
      <c r="AM11" s="109">
        <f t="shared" si="8"/>
        <v>215996.64</v>
      </c>
      <c r="AN11" s="21" t="s">
        <v>100</v>
      </c>
      <c r="AO11" s="21" t="s">
        <v>101</v>
      </c>
      <c r="AP11" s="21"/>
      <c r="AQ11" s="21">
        <f>AM11/2</f>
        <v>107998.32</v>
      </c>
      <c r="AR11" s="21">
        <f>AM11/2</f>
        <v>107998.32</v>
      </c>
      <c r="AS11" s="21"/>
      <c r="AT11" s="21"/>
      <c r="AU11" s="21"/>
      <c r="AV11" s="21"/>
      <c r="AW11" s="22" t="s">
        <v>102</v>
      </c>
      <c r="AX11" s="23" t="s">
        <v>66</v>
      </c>
      <c r="AY11" s="98" t="s">
        <v>67</v>
      </c>
      <c r="AZ11" s="22" t="s">
        <v>68</v>
      </c>
      <c r="BA11" s="21" t="s">
        <v>103</v>
      </c>
      <c r="BB11" s="3">
        <v>2</v>
      </c>
    </row>
    <row r="12" s="3" customFormat="1" ht="16.5" customHeight="1" spans="1:54">
      <c r="A12" s="13">
        <f>A11+1</f>
        <v>8</v>
      </c>
      <c r="B12" s="62" t="s">
        <v>104</v>
      </c>
      <c r="C12" s="63" t="s">
        <v>105</v>
      </c>
      <c r="D12" s="99">
        <v>540</v>
      </c>
      <c r="E12" s="34">
        <v>17</v>
      </c>
      <c r="F12" s="15">
        <v>21600</v>
      </c>
      <c r="G12" s="18">
        <v>175</v>
      </c>
      <c r="H12" s="1">
        <v>1156</v>
      </c>
      <c r="I12" s="1">
        <v>16</v>
      </c>
      <c r="J12" s="1">
        <v>12</v>
      </c>
      <c r="K12" s="1">
        <v>8</v>
      </c>
      <c r="L12" s="36">
        <v>8</v>
      </c>
      <c r="M12" s="1">
        <f>8500*2</f>
        <v>17000</v>
      </c>
      <c r="N12" s="1">
        <f>1800*6</f>
        <v>10800</v>
      </c>
      <c r="O12" s="19">
        <f t="shared" ref="O12:O23" si="13">D12*30</f>
        <v>16200</v>
      </c>
      <c r="P12" s="1">
        <f t="shared" si="11"/>
        <v>23920</v>
      </c>
      <c r="Q12" s="1">
        <f t="shared" si="1"/>
        <v>157500</v>
      </c>
      <c r="R12" s="1">
        <f t="shared" si="2"/>
        <v>47250</v>
      </c>
      <c r="S12" s="1">
        <f t="shared" si="3"/>
        <v>2210</v>
      </c>
      <c r="T12" s="1">
        <f t="shared" si="4"/>
        <v>236250</v>
      </c>
      <c r="U12" s="1">
        <f t="shared" si="5"/>
        <v>26250</v>
      </c>
      <c r="V12" s="1">
        <f t="shared" si="6"/>
        <v>7650</v>
      </c>
      <c r="W12" s="1">
        <f t="shared" si="12"/>
        <v>5100</v>
      </c>
      <c r="X12" s="18">
        <f>356*30</f>
        <v>10680</v>
      </c>
      <c r="Y12" s="1"/>
      <c r="Z12" s="1"/>
      <c r="AA12" s="1">
        <v>50000</v>
      </c>
      <c r="AB12" s="1"/>
      <c r="AC12" s="1"/>
      <c r="AD12" s="1"/>
      <c r="AE12" s="1">
        <v>7200</v>
      </c>
      <c r="AF12" s="1"/>
      <c r="AG12" s="1"/>
      <c r="AH12" s="1"/>
      <c r="AI12" s="1"/>
      <c r="AJ12" s="1"/>
      <c r="AK12" s="1"/>
      <c r="AL12" s="96">
        <f t="shared" si="7"/>
        <v>123602</v>
      </c>
      <c r="AM12" s="97">
        <f t="shared" si="8"/>
        <v>741612</v>
      </c>
      <c r="AN12" s="21" t="s">
        <v>95</v>
      </c>
      <c r="AO12" s="21" t="s">
        <v>78</v>
      </c>
      <c r="AP12" s="21">
        <f t="shared" ref="AP12:AP23" si="14">AM12</f>
        <v>741612</v>
      </c>
      <c r="AQ12" s="21"/>
      <c r="AR12" s="21"/>
      <c r="AS12" s="21"/>
      <c r="AT12" s="21"/>
      <c r="AU12" s="21"/>
      <c r="AV12" s="21"/>
      <c r="AW12" s="22" t="s">
        <v>106</v>
      </c>
      <c r="AX12" s="23" t="s">
        <v>66</v>
      </c>
      <c r="AY12" s="98" t="s">
        <v>84</v>
      </c>
      <c r="AZ12" s="22" t="s">
        <v>68</v>
      </c>
      <c r="BA12" s="21" t="s">
        <v>86</v>
      </c>
      <c r="BB12" s="3">
        <v>2</v>
      </c>
    </row>
    <row r="13" s="3" customFormat="1" ht="16.5" customHeight="1" spans="1:54">
      <c r="A13" s="110">
        <f>A12+1</f>
        <v>9</v>
      </c>
      <c r="B13" s="111" t="s">
        <v>107</v>
      </c>
      <c r="C13" s="64" t="s">
        <v>105</v>
      </c>
      <c r="D13" s="99">
        <f>503.9+1082.12+458.2</f>
        <v>2044.22</v>
      </c>
      <c r="E13" s="34">
        <v>68</v>
      </c>
      <c r="F13" s="15">
        <v>50083.39</v>
      </c>
      <c r="G13" s="107">
        <v>43</v>
      </c>
      <c r="H13" s="31">
        <v>1536</v>
      </c>
      <c r="I13" s="31">
        <v>0</v>
      </c>
      <c r="J13" s="31">
        <v>13</v>
      </c>
      <c r="K13" s="31"/>
      <c r="L13" s="31">
        <v>5</v>
      </c>
      <c r="M13" s="31"/>
      <c r="N13" s="31">
        <f t="shared" ref="N13:N23" si="15">1800*L13</f>
        <v>9000</v>
      </c>
      <c r="O13" s="39">
        <f>D13*25</f>
        <v>51105.5</v>
      </c>
      <c r="P13" s="31">
        <f t="shared" si="11"/>
        <v>30720</v>
      </c>
      <c r="Q13" s="31">
        <f t="shared" si="1"/>
        <v>38700</v>
      </c>
      <c r="R13" s="31">
        <f t="shared" si="2"/>
        <v>11610</v>
      </c>
      <c r="S13" s="31">
        <f t="shared" si="3"/>
        <v>8840</v>
      </c>
      <c r="T13" s="31">
        <f t="shared" si="4"/>
        <v>58050</v>
      </c>
      <c r="U13" s="31">
        <f t="shared" si="5"/>
        <v>6450</v>
      </c>
      <c r="V13" s="31">
        <f t="shared" si="6"/>
        <v>30600</v>
      </c>
      <c r="W13" s="31">
        <f t="shared" si="12"/>
        <v>20400</v>
      </c>
      <c r="X13" s="31">
        <f>680*30</f>
        <v>20400</v>
      </c>
      <c r="Y13" s="31"/>
      <c r="Z13" s="31"/>
      <c r="AA13" s="31">
        <v>30000</v>
      </c>
      <c r="AB13" s="31"/>
      <c r="AC13" s="31"/>
      <c r="AD13" s="31"/>
      <c r="AE13" s="31">
        <f t="shared" ref="AE13:AE23" si="16">6*1200</f>
        <v>7200</v>
      </c>
      <c r="AF13" s="31"/>
      <c r="AG13" s="31"/>
      <c r="AH13" s="31"/>
      <c r="AI13" s="31"/>
      <c r="AJ13" s="31"/>
      <c r="AK13" s="31"/>
      <c r="AL13" s="108">
        <f t="shared" si="7"/>
        <v>64615.1</v>
      </c>
      <c r="AM13" s="112">
        <f t="shared" si="8"/>
        <v>387690.6</v>
      </c>
      <c r="AN13" s="21" t="s">
        <v>95</v>
      </c>
      <c r="AO13" s="21" t="s">
        <v>78</v>
      </c>
      <c r="AP13" s="21">
        <f t="shared" si="14"/>
        <v>387690.6</v>
      </c>
      <c r="AQ13" s="21"/>
      <c r="AR13" s="21"/>
      <c r="AS13" s="21"/>
      <c r="AT13" s="21"/>
      <c r="AU13" s="21"/>
      <c r="AV13" s="21"/>
      <c r="AW13" s="32" t="s">
        <v>108</v>
      </c>
      <c r="AX13" s="23" t="s">
        <v>109</v>
      </c>
      <c r="AY13" s="24"/>
      <c r="AZ13" s="35" t="s">
        <v>110</v>
      </c>
      <c r="BA13" s="21" t="s">
        <v>111</v>
      </c>
      <c r="BB13" s="3">
        <v>2</v>
      </c>
    </row>
    <row r="14" s="3" customFormat="1" ht="16.5" customHeight="1" spans="1:54">
      <c r="A14" s="110"/>
      <c r="B14" s="13" t="s">
        <v>112</v>
      </c>
      <c r="C14" s="64"/>
      <c r="D14" s="99">
        <f>958.45+734.6</f>
        <v>1693.05</v>
      </c>
      <c r="E14" s="34">
        <v>57</v>
      </c>
      <c r="F14" s="15">
        <v>41479.725</v>
      </c>
      <c r="G14" s="107">
        <v>38</v>
      </c>
      <c r="H14" s="31">
        <v>1344</v>
      </c>
      <c r="I14" s="31">
        <v>0</v>
      </c>
      <c r="J14" s="31">
        <v>14</v>
      </c>
      <c r="K14" s="31"/>
      <c r="L14" s="31">
        <v>4</v>
      </c>
      <c r="M14" s="31"/>
      <c r="N14" s="31">
        <f t="shared" si="15"/>
        <v>7200</v>
      </c>
      <c r="O14" s="39">
        <f>D14*25</f>
        <v>42326.25</v>
      </c>
      <c r="P14" s="31">
        <f t="shared" si="11"/>
        <v>26880</v>
      </c>
      <c r="Q14" s="31">
        <f t="shared" si="1"/>
        <v>34200</v>
      </c>
      <c r="R14" s="31">
        <f t="shared" si="2"/>
        <v>10260</v>
      </c>
      <c r="S14" s="31">
        <f t="shared" si="3"/>
        <v>7410</v>
      </c>
      <c r="T14" s="31">
        <f t="shared" si="4"/>
        <v>51300</v>
      </c>
      <c r="U14" s="31">
        <f t="shared" si="5"/>
        <v>5700</v>
      </c>
      <c r="V14" s="31">
        <f t="shared" si="6"/>
        <v>25650</v>
      </c>
      <c r="W14" s="31">
        <f t="shared" si="12"/>
        <v>17100</v>
      </c>
      <c r="X14" s="31">
        <f>570*30</f>
        <v>17100</v>
      </c>
      <c r="Y14" s="31"/>
      <c r="Z14" s="31"/>
      <c r="AA14" s="31">
        <v>30000</v>
      </c>
      <c r="AB14" s="31"/>
      <c r="AC14" s="31"/>
      <c r="AD14" s="31"/>
      <c r="AE14" s="31">
        <f t="shared" si="16"/>
        <v>7200</v>
      </c>
      <c r="AF14" s="31"/>
      <c r="AG14" s="31"/>
      <c r="AH14" s="31"/>
      <c r="AI14" s="31"/>
      <c r="AJ14" s="31"/>
      <c r="AK14" s="31"/>
      <c r="AL14" s="108">
        <f t="shared" si="7"/>
        <v>56465.25</v>
      </c>
      <c r="AM14" s="112">
        <f t="shared" si="8"/>
        <v>338791.5</v>
      </c>
      <c r="AN14" s="21" t="s">
        <v>95</v>
      </c>
      <c r="AO14" s="21" t="s">
        <v>78</v>
      </c>
      <c r="AP14" s="21">
        <f t="shared" si="14"/>
        <v>338791.5</v>
      </c>
      <c r="AQ14" s="21"/>
      <c r="AR14" s="21"/>
      <c r="AS14" s="21"/>
      <c r="AT14" s="21"/>
      <c r="AU14" s="21"/>
      <c r="AV14" s="21"/>
      <c r="AW14" s="32" t="s">
        <v>108</v>
      </c>
      <c r="AX14" s="23" t="s">
        <v>109</v>
      </c>
      <c r="AY14" s="24"/>
      <c r="AZ14" s="37"/>
      <c r="BA14" s="21" t="s">
        <v>111</v>
      </c>
      <c r="BB14" s="3">
        <v>2</v>
      </c>
    </row>
    <row r="15" s="3" customFormat="1" ht="16.5" customHeight="1" spans="1:54">
      <c r="A15" s="110"/>
      <c r="B15" s="13" t="s">
        <v>113</v>
      </c>
      <c r="C15" s="64"/>
      <c r="D15" s="99">
        <v>533.6</v>
      </c>
      <c r="E15" s="34">
        <v>20</v>
      </c>
      <c r="F15" s="15">
        <v>4535.6</v>
      </c>
      <c r="G15" s="107">
        <v>16</v>
      </c>
      <c r="H15" s="31">
        <v>0</v>
      </c>
      <c r="I15" s="31">
        <v>52</v>
      </c>
      <c r="J15" s="31">
        <v>7</v>
      </c>
      <c r="K15" s="31"/>
      <c r="L15" s="31">
        <v>1</v>
      </c>
      <c r="M15" s="31"/>
      <c r="N15" s="31">
        <f t="shared" si="15"/>
        <v>1800</v>
      </c>
      <c r="O15" s="39">
        <f t="shared" si="13"/>
        <v>16008</v>
      </c>
      <c r="P15" s="31">
        <f t="shared" si="11"/>
        <v>2600</v>
      </c>
      <c r="Q15" s="31">
        <f t="shared" si="1"/>
        <v>14400</v>
      </c>
      <c r="R15" s="31">
        <f t="shared" si="2"/>
        <v>4320</v>
      </c>
      <c r="S15" s="31">
        <f t="shared" si="3"/>
        <v>2600</v>
      </c>
      <c r="T15" s="31">
        <f t="shared" si="4"/>
        <v>21600</v>
      </c>
      <c r="U15" s="31">
        <f t="shared" si="5"/>
        <v>2400</v>
      </c>
      <c r="V15" s="31">
        <f t="shared" si="6"/>
        <v>9000</v>
      </c>
      <c r="W15" s="31">
        <f t="shared" si="12"/>
        <v>6000</v>
      </c>
      <c r="X15" s="31">
        <f>200*30</f>
        <v>6000</v>
      </c>
      <c r="Y15" s="31"/>
      <c r="Z15" s="31"/>
      <c r="AA15" s="31">
        <v>15000</v>
      </c>
      <c r="AB15" s="31"/>
      <c r="AC15" s="31"/>
      <c r="AD15" s="31"/>
      <c r="AE15" s="31">
        <f t="shared" si="16"/>
        <v>7200</v>
      </c>
      <c r="AF15" s="31"/>
      <c r="AG15" s="31"/>
      <c r="AH15" s="31"/>
      <c r="AI15" s="31"/>
      <c r="AJ15" s="31"/>
      <c r="AK15" s="31"/>
      <c r="AL15" s="108">
        <f t="shared" si="7"/>
        <v>21785.6</v>
      </c>
      <c r="AM15" s="112">
        <f t="shared" si="8"/>
        <v>130713.6</v>
      </c>
      <c r="AN15" s="21" t="s">
        <v>95</v>
      </c>
      <c r="AO15" s="21" t="s">
        <v>78</v>
      </c>
      <c r="AP15" s="21">
        <f t="shared" si="14"/>
        <v>130713.6</v>
      </c>
      <c r="AQ15" s="21"/>
      <c r="AR15" s="21"/>
      <c r="AS15" s="21"/>
      <c r="AT15" s="21"/>
      <c r="AU15" s="21"/>
      <c r="AV15" s="21"/>
      <c r="AW15" s="32" t="s">
        <v>108</v>
      </c>
      <c r="AX15" s="23" t="s">
        <v>109</v>
      </c>
      <c r="AY15" s="24"/>
      <c r="AZ15" s="37"/>
      <c r="BA15" s="21" t="s">
        <v>111</v>
      </c>
      <c r="BB15" s="3">
        <v>2</v>
      </c>
    </row>
    <row r="16" s="3" customFormat="1" ht="16.5" customHeight="1" spans="1:54">
      <c r="A16" s="110"/>
      <c r="B16" s="13" t="s">
        <v>114</v>
      </c>
      <c r="C16" s="64"/>
      <c r="D16" s="99">
        <v>254</v>
      </c>
      <c r="E16" s="34">
        <v>9</v>
      </c>
      <c r="F16" s="15">
        <v>2159</v>
      </c>
      <c r="G16" s="107">
        <v>8</v>
      </c>
      <c r="H16" s="31">
        <v>0</v>
      </c>
      <c r="I16" s="31">
        <v>40</v>
      </c>
      <c r="J16" s="31">
        <v>4</v>
      </c>
      <c r="K16" s="31"/>
      <c r="L16" s="31">
        <v>1</v>
      </c>
      <c r="M16" s="31"/>
      <c r="N16" s="31">
        <f t="shared" si="15"/>
        <v>1800</v>
      </c>
      <c r="O16" s="39">
        <f t="shared" si="13"/>
        <v>7620</v>
      </c>
      <c r="P16" s="31">
        <f t="shared" si="11"/>
        <v>2000</v>
      </c>
      <c r="Q16" s="31">
        <f t="shared" si="1"/>
        <v>7200</v>
      </c>
      <c r="R16" s="31">
        <f t="shared" si="2"/>
        <v>2160</v>
      </c>
      <c r="S16" s="31">
        <f t="shared" si="3"/>
        <v>1170</v>
      </c>
      <c r="T16" s="31">
        <f t="shared" si="4"/>
        <v>10800</v>
      </c>
      <c r="U16" s="31">
        <f t="shared" si="5"/>
        <v>1200</v>
      </c>
      <c r="V16" s="31">
        <f t="shared" si="6"/>
        <v>4050</v>
      </c>
      <c r="W16" s="31">
        <f t="shared" si="12"/>
        <v>2700</v>
      </c>
      <c r="X16" s="31">
        <f t="shared" ref="X16:X19" si="17">90*30</f>
        <v>2700</v>
      </c>
      <c r="Y16" s="31"/>
      <c r="Z16" s="31"/>
      <c r="AA16" s="31">
        <v>15000</v>
      </c>
      <c r="AB16" s="31"/>
      <c r="AC16" s="31"/>
      <c r="AD16" s="31"/>
      <c r="AE16" s="31">
        <f t="shared" si="16"/>
        <v>7200</v>
      </c>
      <c r="AF16" s="31"/>
      <c r="AG16" s="31"/>
      <c r="AH16" s="31"/>
      <c r="AI16" s="31"/>
      <c r="AJ16" s="31"/>
      <c r="AK16" s="31"/>
      <c r="AL16" s="108">
        <f t="shared" si="7"/>
        <v>13120</v>
      </c>
      <c r="AM16" s="112">
        <f t="shared" si="8"/>
        <v>78720</v>
      </c>
      <c r="AN16" s="21" t="s">
        <v>95</v>
      </c>
      <c r="AO16" s="21" t="s">
        <v>78</v>
      </c>
      <c r="AP16" s="21">
        <f t="shared" si="14"/>
        <v>78720</v>
      </c>
      <c r="AQ16" s="21"/>
      <c r="AR16" s="21"/>
      <c r="AS16" s="21"/>
      <c r="AT16" s="21"/>
      <c r="AU16" s="21"/>
      <c r="AV16" s="21"/>
      <c r="AW16" s="32" t="s">
        <v>108</v>
      </c>
      <c r="AX16" s="23" t="s">
        <v>109</v>
      </c>
      <c r="AY16" s="24"/>
      <c r="AZ16" s="37"/>
      <c r="BA16" s="21" t="s">
        <v>111</v>
      </c>
      <c r="BB16" s="3">
        <v>2</v>
      </c>
    </row>
    <row r="17" s="3" customFormat="1" ht="16.5" customHeight="1" spans="1:54">
      <c r="A17" s="110"/>
      <c r="B17" s="13" t="s">
        <v>115</v>
      </c>
      <c r="C17" s="64"/>
      <c r="D17" s="99">
        <v>254</v>
      </c>
      <c r="E17" s="34">
        <v>9</v>
      </c>
      <c r="F17" s="15">
        <v>2159</v>
      </c>
      <c r="G17" s="107">
        <v>7</v>
      </c>
      <c r="H17" s="31">
        <v>0</v>
      </c>
      <c r="I17" s="31">
        <v>29</v>
      </c>
      <c r="J17" s="31">
        <v>3</v>
      </c>
      <c r="K17" s="31"/>
      <c r="L17" s="31">
        <v>1</v>
      </c>
      <c r="M17" s="31"/>
      <c r="N17" s="31">
        <f t="shared" si="15"/>
        <v>1800</v>
      </c>
      <c r="O17" s="39">
        <f t="shared" si="13"/>
        <v>7620</v>
      </c>
      <c r="P17" s="31">
        <f t="shared" si="11"/>
        <v>1450</v>
      </c>
      <c r="Q17" s="31">
        <f t="shared" si="1"/>
        <v>6300</v>
      </c>
      <c r="R17" s="31">
        <f t="shared" si="2"/>
        <v>1890</v>
      </c>
      <c r="S17" s="31">
        <f t="shared" si="3"/>
        <v>1170</v>
      </c>
      <c r="T17" s="31">
        <f t="shared" si="4"/>
        <v>9450</v>
      </c>
      <c r="U17" s="31">
        <f t="shared" si="5"/>
        <v>1050</v>
      </c>
      <c r="V17" s="31">
        <f t="shared" si="6"/>
        <v>4050</v>
      </c>
      <c r="W17" s="31">
        <f t="shared" si="12"/>
        <v>2700</v>
      </c>
      <c r="X17" s="31">
        <f t="shared" si="17"/>
        <v>2700</v>
      </c>
      <c r="Y17" s="31"/>
      <c r="Z17" s="31"/>
      <c r="AA17" s="31">
        <v>15000</v>
      </c>
      <c r="AB17" s="31"/>
      <c r="AC17" s="31"/>
      <c r="AD17" s="31"/>
      <c r="AE17" s="31">
        <f t="shared" si="16"/>
        <v>7200</v>
      </c>
      <c r="AF17" s="31"/>
      <c r="AG17" s="31"/>
      <c r="AH17" s="31"/>
      <c r="AI17" s="31"/>
      <c r="AJ17" s="31"/>
      <c r="AK17" s="31"/>
      <c r="AL17" s="108">
        <f t="shared" si="7"/>
        <v>12476</v>
      </c>
      <c r="AM17" s="112">
        <f t="shared" si="8"/>
        <v>74856</v>
      </c>
      <c r="AN17" s="21" t="s">
        <v>95</v>
      </c>
      <c r="AO17" s="21" t="s">
        <v>78</v>
      </c>
      <c r="AP17" s="21">
        <f t="shared" si="14"/>
        <v>74856</v>
      </c>
      <c r="AQ17" s="21"/>
      <c r="AR17" s="21"/>
      <c r="AS17" s="21"/>
      <c r="AT17" s="21"/>
      <c r="AU17" s="21"/>
      <c r="AV17" s="21"/>
      <c r="AW17" s="32" t="s">
        <v>108</v>
      </c>
      <c r="AX17" s="23" t="s">
        <v>109</v>
      </c>
      <c r="AY17" s="24"/>
      <c r="AZ17" s="37"/>
      <c r="BA17" s="21" t="s">
        <v>111</v>
      </c>
      <c r="BB17" s="3">
        <v>2</v>
      </c>
    </row>
    <row r="18" s="3" customFormat="1" ht="16.5" customHeight="1" spans="1:54">
      <c r="A18" s="110"/>
      <c r="B18" s="111" t="s">
        <v>116</v>
      </c>
      <c r="C18" s="64"/>
      <c r="D18" s="99">
        <v>258.614</v>
      </c>
      <c r="E18" s="34">
        <v>9</v>
      </c>
      <c r="F18" s="15">
        <v>2198.219</v>
      </c>
      <c r="G18" s="107">
        <v>8</v>
      </c>
      <c r="H18" s="31">
        <v>0</v>
      </c>
      <c r="I18" s="31">
        <v>40</v>
      </c>
      <c r="J18" s="31">
        <v>4</v>
      </c>
      <c r="K18" s="31"/>
      <c r="L18" s="31">
        <v>1</v>
      </c>
      <c r="M18" s="31"/>
      <c r="N18" s="31">
        <f t="shared" si="15"/>
        <v>1800</v>
      </c>
      <c r="O18" s="39">
        <f t="shared" si="13"/>
        <v>7758.42</v>
      </c>
      <c r="P18" s="31">
        <f t="shared" si="11"/>
        <v>2000</v>
      </c>
      <c r="Q18" s="31">
        <f t="shared" si="1"/>
        <v>7200</v>
      </c>
      <c r="R18" s="31">
        <f t="shared" si="2"/>
        <v>2160</v>
      </c>
      <c r="S18" s="31">
        <f t="shared" si="3"/>
        <v>1170</v>
      </c>
      <c r="T18" s="31">
        <f t="shared" si="4"/>
        <v>10800</v>
      </c>
      <c r="U18" s="31">
        <f t="shared" si="5"/>
        <v>1200</v>
      </c>
      <c r="V18" s="31">
        <f t="shared" si="6"/>
        <v>4050</v>
      </c>
      <c r="W18" s="31">
        <f t="shared" si="12"/>
        <v>2700</v>
      </c>
      <c r="X18" s="31">
        <f t="shared" si="17"/>
        <v>2700</v>
      </c>
      <c r="Y18" s="31"/>
      <c r="Z18" s="31"/>
      <c r="AA18" s="31">
        <v>15000</v>
      </c>
      <c r="AB18" s="31"/>
      <c r="AC18" s="31"/>
      <c r="AD18" s="31"/>
      <c r="AE18" s="31">
        <f t="shared" si="16"/>
        <v>7200</v>
      </c>
      <c r="AF18" s="31"/>
      <c r="AG18" s="31"/>
      <c r="AH18" s="31"/>
      <c r="AI18" s="31"/>
      <c r="AJ18" s="31"/>
      <c r="AK18" s="31"/>
      <c r="AL18" s="108">
        <f t="shared" si="7"/>
        <v>13147.684</v>
      </c>
      <c r="AM18" s="112">
        <f t="shared" si="8"/>
        <v>78886.104</v>
      </c>
      <c r="AN18" s="21" t="s">
        <v>95</v>
      </c>
      <c r="AO18" s="21" t="s">
        <v>78</v>
      </c>
      <c r="AP18" s="21">
        <f t="shared" si="14"/>
        <v>78886.104</v>
      </c>
      <c r="AQ18" s="21"/>
      <c r="AR18" s="21"/>
      <c r="AS18" s="21"/>
      <c r="AT18" s="21"/>
      <c r="AU18" s="21"/>
      <c r="AV18" s="21"/>
      <c r="AW18" s="32" t="s">
        <v>108</v>
      </c>
      <c r="AX18" s="23" t="s">
        <v>109</v>
      </c>
      <c r="AY18" s="24"/>
      <c r="AZ18" s="37"/>
      <c r="BA18" s="21" t="s">
        <v>111</v>
      </c>
      <c r="BB18" s="3">
        <v>2</v>
      </c>
    </row>
    <row r="19" s="3" customFormat="1" ht="16.5" customHeight="1" spans="1:54">
      <c r="A19" s="110"/>
      <c r="B19" s="13" t="s">
        <v>117</v>
      </c>
      <c r="C19" s="64"/>
      <c r="D19" s="99">
        <v>226.375</v>
      </c>
      <c r="E19" s="34">
        <v>9</v>
      </c>
      <c r="F19" s="15">
        <v>1924.1875</v>
      </c>
      <c r="G19" s="107">
        <v>7</v>
      </c>
      <c r="H19" s="31">
        <v>0</v>
      </c>
      <c r="I19" s="31">
        <v>38</v>
      </c>
      <c r="J19" s="31">
        <v>4</v>
      </c>
      <c r="K19" s="31"/>
      <c r="L19" s="31">
        <v>1</v>
      </c>
      <c r="M19" s="31"/>
      <c r="N19" s="31">
        <f t="shared" si="15"/>
        <v>1800</v>
      </c>
      <c r="O19" s="39">
        <f t="shared" si="13"/>
        <v>6791.25</v>
      </c>
      <c r="P19" s="31">
        <f t="shared" si="11"/>
        <v>1900</v>
      </c>
      <c r="Q19" s="31">
        <f t="shared" si="1"/>
        <v>6300</v>
      </c>
      <c r="R19" s="31">
        <f t="shared" si="2"/>
        <v>1890</v>
      </c>
      <c r="S19" s="31">
        <f t="shared" si="3"/>
        <v>1170</v>
      </c>
      <c r="T19" s="31">
        <f t="shared" si="4"/>
        <v>9450</v>
      </c>
      <c r="U19" s="31">
        <f t="shared" si="5"/>
        <v>1050</v>
      </c>
      <c r="V19" s="31">
        <f t="shared" si="6"/>
        <v>4050</v>
      </c>
      <c r="W19" s="31">
        <f t="shared" si="12"/>
        <v>2700</v>
      </c>
      <c r="X19" s="31">
        <f t="shared" si="17"/>
        <v>2700</v>
      </c>
      <c r="Y19" s="31"/>
      <c r="Z19" s="31"/>
      <c r="AA19" s="31">
        <v>15000</v>
      </c>
      <c r="AB19" s="31"/>
      <c r="AC19" s="31"/>
      <c r="AD19" s="31"/>
      <c r="AE19" s="31">
        <f t="shared" si="16"/>
        <v>7200</v>
      </c>
      <c r="AF19" s="31"/>
      <c r="AG19" s="31"/>
      <c r="AH19" s="31"/>
      <c r="AI19" s="31"/>
      <c r="AJ19" s="31"/>
      <c r="AK19" s="31"/>
      <c r="AL19" s="108">
        <f t="shared" si="7"/>
        <v>12400.25</v>
      </c>
      <c r="AM19" s="112">
        <f t="shared" si="8"/>
        <v>74401.5</v>
      </c>
      <c r="AN19" s="21" t="s">
        <v>95</v>
      </c>
      <c r="AO19" s="21" t="s">
        <v>78</v>
      </c>
      <c r="AP19" s="21">
        <f t="shared" si="14"/>
        <v>74401.5</v>
      </c>
      <c r="AQ19" s="21"/>
      <c r="AR19" s="21"/>
      <c r="AS19" s="21"/>
      <c r="AT19" s="21"/>
      <c r="AU19" s="21"/>
      <c r="AV19" s="21"/>
      <c r="AW19" s="32" t="s">
        <v>108</v>
      </c>
      <c r="AX19" s="23" t="s">
        <v>109</v>
      </c>
      <c r="AY19" s="24"/>
      <c r="AZ19" s="37"/>
      <c r="BA19" s="21" t="s">
        <v>111</v>
      </c>
      <c r="BB19" s="3">
        <v>2</v>
      </c>
    </row>
    <row r="20" s="3" customFormat="1" ht="16.5" customHeight="1" spans="1:54">
      <c r="A20" s="110"/>
      <c r="B20" s="13" t="s">
        <v>118</v>
      </c>
      <c r="C20" s="64"/>
      <c r="D20" s="99">
        <v>151.15</v>
      </c>
      <c r="E20" s="34">
        <v>5</v>
      </c>
      <c r="F20" s="15">
        <v>1284.775</v>
      </c>
      <c r="G20" s="107">
        <v>5</v>
      </c>
      <c r="H20" s="31">
        <v>0</v>
      </c>
      <c r="I20" s="31">
        <v>12</v>
      </c>
      <c r="J20" s="31">
        <v>3</v>
      </c>
      <c r="K20" s="31"/>
      <c r="L20" s="31">
        <v>1</v>
      </c>
      <c r="M20" s="31"/>
      <c r="N20" s="31">
        <f t="shared" si="15"/>
        <v>1800</v>
      </c>
      <c r="O20" s="39">
        <f t="shared" si="13"/>
        <v>4534.5</v>
      </c>
      <c r="P20" s="31">
        <f t="shared" si="11"/>
        <v>600</v>
      </c>
      <c r="Q20" s="31">
        <f t="shared" si="1"/>
        <v>4500</v>
      </c>
      <c r="R20" s="31">
        <f t="shared" si="2"/>
        <v>1350</v>
      </c>
      <c r="S20" s="31">
        <f t="shared" si="3"/>
        <v>650</v>
      </c>
      <c r="T20" s="31">
        <f t="shared" si="4"/>
        <v>6750</v>
      </c>
      <c r="U20" s="31">
        <f t="shared" si="5"/>
        <v>750</v>
      </c>
      <c r="V20" s="31">
        <f t="shared" si="6"/>
        <v>2250</v>
      </c>
      <c r="W20" s="31">
        <f t="shared" si="12"/>
        <v>1500</v>
      </c>
      <c r="X20" s="31">
        <f t="shared" ref="X20:X22" si="18">50*30</f>
        <v>1500</v>
      </c>
      <c r="Y20" s="31"/>
      <c r="Z20" s="31"/>
      <c r="AA20" s="31">
        <v>15000</v>
      </c>
      <c r="AB20" s="31"/>
      <c r="AC20" s="31"/>
      <c r="AD20" s="31"/>
      <c r="AE20" s="31">
        <f t="shared" si="16"/>
        <v>7200</v>
      </c>
      <c r="AF20" s="31"/>
      <c r="AG20" s="31"/>
      <c r="AH20" s="31"/>
      <c r="AI20" s="31"/>
      <c r="AJ20" s="31"/>
      <c r="AK20" s="31"/>
      <c r="AL20" s="108">
        <f t="shared" si="7"/>
        <v>9676.9</v>
      </c>
      <c r="AM20" s="112">
        <f t="shared" si="8"/>
        <v>58061.4</v>
      </c>
      <c r="AN20" s="21" t="s">
        <v>95</v>
      </c>
      <c r="AO20" s="21" t="s">
        <v>78</v>
      </c>
      <c r="AP20" s="21">
        <f t="shared" si="14"/>
        <v>58061.4</v>
      </c>
      <c r="AQ20" s="21"/>
      <c r="AR20" s="21"/>
      <c r="AS20" s="21"/>
      <c r="AT20" s="21"/>
      <c r="AU20" s="21"/>
      <c r="AV20" s="21"/>
      <c r="AW20" s="32" t="s">
        <v>108</v>
      </c>
      <c r="AX20" s="23" t="s">
        <v>109</v>
      </c>
      <c r="AY20" s="24"/>
      <c r="AZ20" s="37"/>
      <c r="BA20" s="21" t="s">
        <v>111</v>
      </c>
      <c r="BB20" s="3">
        <v>2</v>
      </c>
    </row>
    <row r="21" s="3" customFormat="1" ht="16.5" customHeight="1" spans="1:54">
      <c r="A21" s="110"/>
      <c r="B21" s="13" t="s">
        <v>119</v>
      </c>
      <c r="C21" s="64"/>
      <c r="D21" s="99">
        <v>151.15</v>
      </c>
      <c r="E21" s="34">
        <v>5</v>
      </c>
      <c r="F21" s="15">
        <v>1284.775</v>
      </c>
      <c r="G21" s="107">
        <v>5</v>
      </c>
      <c r="H21" s="31">
        <v>0</v>
      </c>
      <c r="I21" s="31">
        <v>12</v>
      </c>
      <c r="J21" s="31">
        <v>3</v>
      </c>
      <c r="K21" s="31"/>
      <c r="L21" s="31">
        <v>1</v>
      </c>
      <c r="M21" s="31"/>
      <c r="N21" s="31">
        <f t="shared" si="15"/>
        <v>1800</v>
      </c>
      <c r="O21" s="39">
        <f t="shared" si="13"/>
        <v>4534.5</v>
      </c>
      <c r="P21" s="31">
        <f t="shared" si="11"/>
        <v>600</v>
      </c>
      <c r="Q21" s="31">
        <f t="shared" si="1"/>
        <v>4500</v>
      </c>
      <c r="R21" s="31">
        <f t="shared" si="2"/>
        <v>1350</v>
      </c>
      <c r="S21" s="31">
        <f t="shared" si="3"/>
        <v>650</v>
      </c>
      <c r="T21" s="31">
        <f t="shared" si="4"/>
        <v>6750</v>
      </c>
      <c r="U21" s="31">
        <f t="shared" si="5"/>
        <v>750</v>
      </c>
      <c r="V21" s="31">
        <f t="shared" si="6"/>
        <v>2250</v>
      </c>
      <c r="W21" s="31">
        <f t="shared" si="12"/>
        <v>1500</v>
      </c>
      <c r="X21" s="31">
        <f t="shared" si="18"/>
        <v>1500</v>
      </c>
      <c r="Y21" s="31"/>
      <c r="Z21" s="31"/>
      <c r="AA21" s="31">
        <v>15000</v>
      </c>
      <c r="AB21" s="31"/>
      <c r="AC21" s="31"/>
      <c r="AD21" s="31"/>
      <c r="AE21" s="31">
        <f t="shared" si="16"/>
        <v>7200</v>
      </c>
      <c r="AF21" s="31"/>
      <c r="AG21" s="31"/>
      <c r="AH21" s="31"/>
      <c r="AI21" s="31"/>
      <c r="AJ21" s="31"/>
      <c r="AK21" s="31"/>
      <c r="AL21" s="108">
        <f t="shared" si="7"/>
        <v>9676.9</v>
      </c>
      <c r="AM21" s="112">
        <f t="shared" si="8"/>
        <v>58061.4</v>
      </c>
      <c r="AN21" s="21" t="s">
        <v>95</v>
      </c>
      <c r="AO21" s="21" t="s">
        <v>78</v>
      </c>
      <c r="AP21" s="21">
        <f t="shared" si="14"/>
        <v>58061.4</v>
      </c>
      <c r="AQ21" s="21"/>
      <c r="AR21" s="21"/>
      <c r="AS21" s="21"/>
      <c r="AT21" s="21"/>
      <c r="AU21" s="21"/>
      <c r="AV21" s="21"/>
      <c r="AW21" s="32" t="s">
        <v>108</v>
      </c>
      <c r="AX21" s="23" t="s">
        <v>109</v>
      </c>
      <c r="AY21" s="24"/>
      <c r="AZ21" s="37"/>
      <c r="BA21" s="21" t="s">
        <v>111</v>
      </c>
      <c r="BB21" s="3">
        <v>2</v>
      </c>
    </row>
    <row r="22" s="3" customFormat="1" ht="16.5" customHeight="1" spans="1:54">
      <c r="A22" s="110"/>
      <c r="B22" s="13" t="s">
        <v>120</v>
      </c>
      <c r="C22" s="64"/>
      <c r="D22" s="99">
        <v>151.15</v>
      </c>
      <c r="E22" s="34">
        <v>5</v>
      </c>
      <c r="F22" s="15">
        <v>1284.775</v>
      </c>
      <c r="G22" s="107">
        <v>5</v>
      </c>
      <c r="H22" s="31">
        <v>0</v>
      </c>
      <c r="I22" s="31">
        <v>12</v>
      </c>
      <c r="J22" s="31">
        <v>3</v>
      </c>
      <c r="K22" s="31"/>
      <c r="L22" s="31">
        <v>1</v>
      </c>
      <c r="M22" s="31"/>
      <c r="N22" s="31">
        <f t="shared" si="15"/>
        <v>1800</v>
      </c>
      <c r="O22" s="39">
        <f t="shared" si="13"/>
        <v>4534.5</v>
      </c>
      <c r="P22" s="31">
        <f t="shared" si="11"/>
        <v>600</v>
      </c>
      <c r="Q22" s="31">
        <f t="shared" si="1"/>
        <v>4500</v>
      </c>
      <c r="R22" s="31">
        <f t="shared" si="2"/>
        <v>1350</v>
      </c>
      <c r="S22" s="31">
        <f t="shared" si="3"/>
        <v>650</v>
      </c>
      <c r="T22" s="31">
        <f t="shared" si="4"/>
        <v>6750</v>
      </c>
      <c r="U22" s="31">
        <f t="shared" si="5"/>
        <v>750</v>
      </c>
      <c r="V22" s="31">
        <f t="shared" si="6"/>
        <v>2250</v>
      </c>
      <c r="W22" s="31">
        <f t="shared" si="12"/>
        <v>1500</v>
      </c>
      <c r="X22" s="31">
        <f t="shared" si="18"/>
        <v>1500</v>
      </c>
      <c r="Y22" s="31"/>
      <c r="Z22" s="31"/>
      <c r="AA22" s="31">
        <v>15000</v>
      </c>
      <c r="AB22" s="31"/>
      <c r="AC22" s="31"/>
      <c r="AD22" s="31"/>
      <c r="AE22" s="31">
        <f t="shared" si="16"/>
        <v>7200</v>
      </c>
      <c r="AF22" s="31"/>
      <c r="AG22" s="31"/>
      <c r="AH22" s="31"/>
      <c r="AI22" s="31"/>
      <c r="AJ22" s="31"/>
      <c r="AK22" s="31"/>
      <c r="AL22" s="108">
        <f t="shared" si="7"/>
        <v>9676.9</v>
      </c>
      <c r="AM22" s="112">
        <f t="shared" si="8"/>
        <v>58061.4</v>
      </c>
      <c r="AN22" s="21" t="s">
        <v>95</v>
      </c>
      <c r="AO22" s="21" t="s">
        <v>78</v>
      </c>
      <c r="AP22" s="21">
        <f t="shared" si="14"/>
        <v>58061.4</v>
      </c>
      <c r="AQ22" s="21"/>
      <c r="AR22" s="21"/>
      <c r="AS22" s="21"/>
      <c r="AT22" s="21"/>
      <c r="AU22" s="21"/>
      <c r="AV22" s="21"/>
      <c r="AW22" s="32" t="s">
        <v>108</v>
      </c>
      <c r="AX22" s="23" t="s">
        <v>109</v>
      </c>
      <c r="AY22" s="24"/>
      <c r="AZ22" s="37"/>
      <c r="BA22" s="21" t="s">
        <v>111</v>
      </c>
      <c r="BB22" s="3">
        <v>2</v>
      </c>
    </row>
    <row r="23" s="3" customFormat="1" ht="12.75" spans="1:54">
      <c r="A23" s="110"/>
      <c r="B23" s="13" t="s">
        <v>121</v>
      </c>
      <c r="C23" s="64"/>
      <c r="D23" s="99">
        <v>121.15</v>
      </c>
      <c r="E23" s="16">
        <v>4</v>
      </c>
      <c r="F23" s="17">
        <v>1029.775</v>
      </c>
      <c r="G23" s="107">
        <v>4</v>
      </c>
      <c r="H23" s="31">
        <v>0</v>
      </c>
      <c r="I23" s="31">
        <v>10</v>
      </c>
      <c r="J23" s="31">
        <v>3</v>
      </c>
      <c r="K23" s="31"/>
      <c r="L23" s="31">
        <v>1</v>
      </c>
      <c r="M23" s="31"/>
      <c r="N23" s="31">
        <f t="shared" si="15"/>
        <v>1800</v>
      </c>
      <c r="O23" s="39">
        <f t="shared" si="13"/>
        <v>3634.5</v>
      </c>
      <c r="P23" s="31">
        <f t="shared" si="11"/>
        <v>500</v>
      </c>
      <c r="Q23" s="31">
        <f t="shared" si="1"/>
        <v>3600</v>
      </c>
      <c r="R23" s="31">
        <f t="shared" si="2"/>
        <v>1080</v>
      </c>
      <c r="S23" s="31">
        <f t="shared" si="3"/>
        <v>520</v>
      </c>
      <c r="T23" s="31">
        <f t="shared" si="4"/>
        <v>5400</v>
      </c>
      <c r="U23" s="31">
        <f t="shared" si="5"/>
        <v>600</v>
      </c>
      <c r="V23" s="31">
        <f t="shared" si="6"/>
        <v>1800</v>
      </c>
      <c r="W23" s="31">
        <f t="shared" si="12"/>
        <v>1200</v>
      </c>
      <c r="X23" s="31">
        <f>40*30</f>
        <v>1200</v>
      </c>
      <c r="Y23" s="31"/>
      <c r="Z23" s="31"/>
      <c r="AA23" s="31">
        <v>15000</v>
      </c>
      <c r="AB23" s="31"/>
      <c r="AC23" s="31"/>
      <c r="AD23" s="31"/>
      <c r="AE23" s="31">
        <f t="shared" si="16"/>
        <v>7200</v>
      </c>
      <c r="AF23" s="31"/>
      <c r="AG23" s="31"/>
      <c r="AH23" s="31"/>
      <c r="AI23" s="31"/>
      <c r="AJ23" s="31"/>
      <c r="AK23" s="31"/>
      <c r="AL23" s="108">
        <f t="shared" si="7"/>
        <v>8706.9</v>
      </c>
      <c r="AM23" s="112">
        <f t="shared" si="8"/>
        <v>52241.4</v>
      </c>
      <c r="AN23" s="21" t="s">
        <v>95</v>
      </c>
      <c r="AO23" s="21" t="s">
        <v>78</v>
      </c>
      <c r="AP23" s="21">
        <f t="shared" si="14"/>
        <v>52241.4</v>
      </c>
      <c r="AQ23" s="21"/>
      <c r="AR23" s="21"/>
      <c r="AS23" s="21"/>
      <c r="AT23" s="21"/>
      <c r="AU23" s="21"/>
      <c r="AV23" s="21"/>
      <c r="AW23" s="32" t="s">
        <v>108</v>
      </c>
      <c r="AX23" s="23" t="s">
        <v>109</v>
      </c>
      <c r="AY23" s="24"/>
      <c r="AZ23" s="38"/>
      <c r="BA23" s="21" t="s">
        <v>111</v>
      </c>
      <c r="BB23" s="3">
        <v>2</v>
      </c>
    </row>
    <row r="24" s="3" customFormat="1" ht="16.5" customHeight="1" spans="1:54">
      <c r="A24" s="12">
        <f>A13+1</f>
        <v>10</v>
      </c>
      <c r="B24" s="113" t="s">
        <v>122</v>
      </c>
      <c r="C24" s="33" t="s">
        <v>123</v>
      </c>
      <c r="D24" s="95">
        <v>1076.137</v>
      </c>
      <c r="E24" s="34">
        <f>4+4+4+3+3+3+3+4+1</f>
        <v>29</v>
      </c>
      <c r="F24" s="15">
        <f>6704.505+6803.81+8400+7582.6305</f>
        <v>29490.9455</v>
      </c>
      <c r="G24" s="18">
        <v>48</v>
      </c>
      <c r="H24" s="1">
        <v>0</v>
      </c>
      <c r="I24" s="1">
        <v>101</v>
      </c>
      <c r="J24" s="1">
        <v>9</v>
      </c>
      <c r="K24" s="1"/>
      <c r="L24" s="36">
        <v>3</v>
      </c>
      <c r="M24" s="1">
        <f>8500*3</f>
        <v>25500</v>
      </c>
      <c r="N24" s="1"/>
      <c r="O24" s="19">
        <f>D24*25</f>
        <v>26903.425</v>
      </c>
      <c r="P24" s="1">
        <f t="shared" si="11"/>
        <v>5050</v>
      </c>
      <c r="Q24" s="1">
        <f t="shared" si="1"/>
        <v>43200</v>
      </c>
      <c r="R24" s="1">
        <f t="shared" si="2"/>
        <v>12960</v>
      </c>
      <c r="S24" s="1">
        <f t="shared" si="3"/>
        <v>3770</v>
      </c>
      <c r="T24" s="1">
        <f t="shared" si="4"/>
        <v>64800</v>
      </c>
      <c r="U24" s="1">
        <f t="shared" si="5"/>
        <v>7200</v>
      </c>
      <c r="V24" s="1">
        <f t="shared" si="6"/>
        <v>13050</v>
      </c>
      <c r="W24" s="1">
        <f t="shared" ref="W24:W38" si="19">E24*10*30</f>
        <v>8700</v>
      </c>
      <c r="X24" s="1">
        <f t="shared" ref="X24:X38" si="20">(E24*5-1)*30</f>
        <v>4320</v>
      </c>
      <c r="Y24" s="1"/>
      <c r="Z24" s="1"/>
      <c r="AA24" s="1">
        <v>30000</v>
      </c>
      <c r="AB24" s="1"/>
      <c r="AC24" s="1"/>
      <c r="AD24" s="1"/>
      <c r="AE24" s="1">
        <v>7200</v>
      </c>
      <c r="AF24" s="1"/>
      <c r="AG24" s="1"/>
      <c r="AH24" s="1"/>
      <c r="AI24" s="1"/>
      <c r="AJ24" s="1"/>
      <c r="AK24" s="1"/>
      <c r="AL24" s="96">
        <f t="shared" si="7"/>
        <v>50530.685</v>
      </c>
      <c r="AM24" s="97">
        <f t="shared" si="8"/>
        <v>303184.11</v>
      </c>
      <c r="AN24" s="21" t="s">
        <v>95</v>
      </c>
      <c r="AO24" s="21" t="s">
        <v>124</v>
      </c>
      <c r="AP24" s="21"/>
      <c r="AQ24" s="21"/>
      <c r="AR24" s="21"/>
      <c r="AS24" s="21">
        <f t="shared" ref="AS24:AS35" si="21">AM24</f>
        <v>303184.11</v>
      </c>
      <c r="AT24" s="21"/>
      <c r="AU24" s="21"/>
      <c r="AV24" s="21"/>
      <c r="AW24" s="22">
        <v>2006</v>
      </c>
      <c r="AX24" s="24">
        <v>2018</v>
      </c>
      <c r="AY24" s="24"/>
      <c r="AZ24" s="35" t="s">
        <v>110</v>
      </c>
      <c r="BA24" s="21" t="s">
        <v>111</v>
      </c>
      <c r="BB24" s="3">
        <v>2</v>
      </c>
    </row>
    <row r="25" s="3" customFormat="1" ht="16.5" customHeight="1" spans="1:54">
      <c r="A25" s="12"/>
      <c r="B25" s="12" t="s">
        <v>125</v>
      </c>
      <c r="C25" s="33"/>
      <c r="D25" s="95">
        <v>960.19</v>
      </c>
      <c r="E25" s="34">
        <v>33</v>
      </c>
      <c r="F25" s="15">
        <f>7048.27+450+172.65</f>
        <v>7670.92</v>
      </c>
      <c r="G25" s="18">
        <v>42</v>
      </c>
      <c r="H25" s="1">
        <v>0</v>
      </c>
      <c r="I25" s="1">
        <v>86</v>
      </c>
      <c r="J25" s="1">
        <v>15</v>
      </c>
      <c r="K25" s="1"/>
      <c r="L25" s="36">
        <v>3</v>
      </c>
      <c r="M25" s="1"/>
      <c r="N25" s="1">
        <f t="shared" ref="N25:N35" si="22">1800*L25</f>
        <v>5400</v>
      </c>
      <c r="O25" s="19">
        <f t="shared" ref="O25:O35" si="23">30*D25</f>
        <v>28805.7</v>
      </c>
      <c r="P25" s="1">
        <f t="shared" si="11"/>
        <v>4300</v>
      </c>
      <c r="Q25" s="1">
        <f t="shared" si="1"/>
        <v>37800</v>
      </c>
      <c r="R25" s="1">
        <f t="shared" si="2"/>
        <v>11340</v>
      </c>
      <c r="S25" s="1">
        <f t="shared" si="3"/>
        <v>4290</v>
      </c>
      <c r="T25" s="1">
        <f t="shared" si="4"/>
        <v>56700</v>
      </c>
      <c r="U25" s="1">
        <f t="shared" si="5"/>
        <v>6300</v>
      </c>
      <c r="V25" s="1">
        <f t="shared" si="6"/>
        <v>14850</v>
      </c>
      <c r="W25" s="1">
        <f t="shared" si="19"/>
        <v>9900</v>
      </c>
      <c r="X25" s="1">
        <f t="shared" si="20"/>
        <v>4920</v>
      </c>
      <c r="Y25" s="1"/>
      <c r="Z25" s="1"/>
      <c r="AA25" s="1">
        <v>15000</v>
      </c>
      <c r="AB25" s="1"/>
      <c r="AC25" s="1"/>
      <c r="AD25" s="1"/>
      <c r="AE25" s="1">
        <v>4800</v>
      </c>
      <c r="AF25" s="1"/>
      <c r="AG25" s="1"/>
      <c r="AH25" s="1"/>
      <c r="AI25" s="1"/>
      <c r="AJ25" s="1"/>
      <c r="AK25" s="1"/>
      <c r="AL25" s="96">
        <f t="shared" si="7"/>
        <v>40881.14</v>
      </c>
      <c r="AM25" s="97">
        <f t="shared" si="8"/>
        <v>245286.84</v>
      </c>
      <c r="AN25" s="21" t="s">
        <v>95</v>
      </c>
      <c r="AO25" s="21" t="s">
        <v>124</v>
      </c>
      <c r="AP25" s="21"/>
      <c r="AQ25" s="21"/>
      <c r="AR25" s="21"/>
      <c r="AS25" s="21">
        <f t="shared" si="21"/>
        <v>245286.84</v>
      </c>
      <c r="AT25" s="21"/>
      <c r="AU25" s="21"/>
      <c r="AV25" s="21"/>
      <c r="AW25" s="22">
        <v>2006</v>
      </c>
      <c r="AX25" s="24">
        <v>2018</v>
      </c>
      <c r="AY25" s="24"/>
      <c r="AZ25" s="37"/>
      <c r="BA25" s="21" t="s">
        <v>111</v>
      </c>
      <c r="BB25" s="3">
        <v>2</v>
      </c>
    </row>
    <row r="26" s="3" customFormat="1" ht="16.5" customHeight="1" spans="1:54">
      <c r="A26" s="12"/>
      <c r="B26" s="12" t="s">
        <v>126</v>
      </c>
      <c r="C26" s="33"/>
      <c r="D26" s="95">
        <v>998.26</v>
      </c>
      <c r="E26" s="34">
        <v>40</v>
      </c>
      <c r="F26" s="15">
        <f>8383.48+652.5+329.96</f>
        <v>9365.94</v>
      </c>
      <c r="G26" s="18">
        <v>72</v>
      </c>
      <c r="H26" s="1">
        <v>0</v>
      </c>
      <c r="I26" s="1">
        <v>88</v>
      </c>
      <c r="J26" s="1">
        <v>13</v>
      </c>
      <c r="K26" s="1"/>
      <c r="L26" s="36">
        <v>4</v>
      </c>
      <c r="M26" s="1"/>
      <c r="N26" s="1">
        <f t="shared" si="22"/>
        <v>7200</v>
      </c>
      <c r="O26" s="19">
        <f t="shared" si="23"/>
        <v>29947.8</v>
      </c>
      <c r="P26" s="1">
        <f t="shared" si="11"/>
        <v>4400</v>
      </c>
      <c r="Q26" s="1">
        <f t="shared" si="1"/>
        <v>64800</v>
      </c>
      <c r="R26" s="1">
        <f t="shared" si="2"/>
        <v>19440</v>
      </c>
      <c r="S26" s="1">
        <f t="shared" si="3"/>
        <v>5200</v>
      </c>
      <c r="T26" s="1">
        <f t="shared" si="4"/>
        <v>97200</v>
      </c>
      <c r="U26" s="1">
        <f t="shared" si="5"/>
        <v>10800</v>
      </c>
      <c r="V26" s="1">
        <f t="shared" si="6"/>
        <v>18000</v>
      </c>
      <c r="W26" s="1">
        <f t="shared" si="19"/>
        <v>12000</v>
      </c>
      <c r="X26" s="1">
        <f t="shared" si="20"/>
        <v>5970</v>
      </c>
      <c r="Y26" s="1"/>
      <c r="Z26" s="1"/>
      <c r="AA26" s="1">
        <v>15000</v>
      </c>
      <c r="AB26" s="1"/>
      <c r="AC26" s="1"/>
      <c r="AD26" s="1"/>
      <c r="AE26" s="1">
        <v>4800</v>
      </c>
      <c r="AF26" s="1"/>
      <c r="AG26" s="1"/>
      <c r="AH26" s="1"/>
      <c r="AI26" s="1"/>
      <c r="AJ26" s="1"/>
      <c r="AK26" s="1"/>
      <c r="AL26" s="96">
        <f t="shared" si="7"/>
        <v>58951.56</v>
      </c>
      <c r="AM26" s="97">
        <f t="shared" si="8"/>
        <v>353709.36</v>
      </c>
      <c r="AN26" s="21" t="s">
        <v>95</v>
      </c>
      <c r="AO26" s="21" t="s">
        <v>124</v>
      </c>
      <c r="AP26" s="21"/>
      <c r="AQ26" s="21"/>
      <c r="AR26" s="21"/>
      <c r="AS26" s="21">
        <f t="shared" si="21"/>
        <v>353709.36</v>
      </c>
      <c r="AT26" s="21"/>
      <c r="AU26" s="21"/>
      <c r="AV26" s="21"/>
      <c r="AW26" s="22">
        <v>2006</v>
      </c>
      <c r="AX26" s="24">
        <v>2018</v>
      </c>
      <c r="AY26" s="24"/>
      <c r="AZ26" s="37"/>
      <c r="BA26" s="21" t="s">
        <v>111</v>
      </c>
      <c r="BB26" s="3">
        <v>2</v>
      </c>
    </row>
    <row r="27" s="3" customFormat="1" ht="16.5" customHeight="1" spans="1:54">
      <c r="A27" s="12"/>
      <c r="B27" s="12" t="s">
        <v>127</v>
      </c>
      <c r="C27" s="33"/>
      <c r="D27" s="95">
        <v>200.38</v>
      </c>
      <c r="E27" s="34">
        <v>4</v>
      </c>
      <c r="F27" s="15">
        <f>829.9+600+376.79</f>
        <v>1806.69</v>
      </c>
      <c r="G27" s="18">
        <v>6</v>
      </c>
      <c r="H27" s="1">
        <v>0</v>
      </c>
      <c r="I27" s="1">
        <v>10</v>
      </c>
      <c r="J27" s="1">
        <v>2</v>
      </c>
      <c r="K27" s="1"/>
      <c r="L27" s="36">
        <v>0.5</v>
      </c>
      <c r="M27" s="1"/>
      <c r="N27" s="1">
        <f t="shared" si="22"/>
        <v>900</v>
      </c>
      <c r="O27" s="19">
        <f t="shared" si="23"/>
        <v>6011.4</v>
      </c>
      <c r="P27" s="1">
        <f t="shared" si="11"/>
        <v>500</v>
      </c>
      <c r="Q27" s="1">
        <f t="shared" si="1"/>
        <v>5400</v>
      </c>
      <c r="R27" s="1">
        <f t="shared" si="2"/>
        <v>1620</v>
      </c>
      <c r="S27" s="1">
        <f t="shared" si="3"/>
        <v>520</v>
      </c>
      <c r="T27" s="1">
        <f t="shared" si="4"/>
        <v>8100</v>
      </c>
      <c r="U27" s="1">
        <f t="shared" si="5"/>
        <v>900</v>
      </c>
      <c r="V27" s="1">
        <f t="shared" si="6"/>
        <v>1800</v>
      </c>
      <c r="W27" s="1">
        <f t="shared" si="19"/>
        <v>1200</v>
      </c>
      <c r="X27" s="1">
        <f t="shared" si="20"/>
        <v>570</v>
      </c>
      <c r="Y27" s="1"/>
      <c r="Z27" s="1"/>
      <c r="AA27" s="1">
        <v>15000</v>
      </c>
      <c r="AB27" s="1"/>
      <c r="AC27" s="1"/>
      <c r="AD27" s="1"/>
      <c r="AE27" s="1">
        <v>4800</v>
      </c>
      <c r="AF27" s="1"/>
      <c r="AG27" s="1"/>
      <c r="AH27" s="1"/>
      <c r="AI27" s="1"/>
      <c r="AJ27" s="1"/>
      <c r="AK27" s="1"/>
      <c r="AL27" s="96">
        <f t="shared" si="7"/>
        <v>9464.28</v>
      </c>
      <c r="AM27" s="97">
        <f t="shared" si="8"/>
        <v>56785.68</v>
      </c>
      <c r="AN27" s="21" t="s">
        <v>95</v>
      </c>
      <c r="AO27" s="21" t="s">
        <v>124</v>
      </c>
      <c r="AP27" s="21"/>
      <c r="AQ27" s="21"/>
      <c r="AR27" s="21"/>
      <c r="AS27" s="21">
        <f t="shared" si="21"/>
        <v>56785.68</v>
      </c>
      <c r="AT27" s="21"/>
      <c r="AU27" s="21"/>
      <c r="AV27" s="21"/>
      <c r="AW27" s="22">
        <v>2006</v>
      </c>
      <c r="AX27" s="24">
        <v>2018</v>
      </c>
      <c r="AY27" s="24"/>
      <c r="AZ27" s="37"/>
      <c r="BA27" s="21" t="s">
        <v>111</v>
      </c>
      <c r="BB27" s="3">
        <v>2</v>
      </c>
    </row>
    <row r="28" s="3" customFormat="1" ht="16.5" customHeight="1" spans="1:54">
      <c r="A28" s="12"/>
      <c r="B28" s="12" t="s">
        <v>128</v>
      </c>
      <c r="C28" s="33"/>
      <c r="D28" s="95">
        <v>588.763</v>
      </c>
      <c r="E28" s="34">
        <v>8</v>
      </c>
      <c r="F28" s="15">
        <f>1629.9+450+1176.76</f>
        <v>3256.66</v>
      </c>
      <c r="G28" s="18">
        <v>12</v>
      </c>
      <c r="H28" s="1">
        <v>0</v>
      </c>
      <c r="I28" s="1">
        <v>22</v>
      </c>
      <c r="J28" s="1">
        <v>3</v>
      </c>
      <c r="K28" s="1"/>
      <c r="L28" s="36">
        <v>0.5</v>
      </c>
      <c r="M28" s="1"/>
      <c r="N28" s="1">
        <f t="shared" si="22"/>
        <v>900</v>
      </c>
      <c r="O28" s="19">
        <f t="shared" si="23"/>
        <v>17662.89</v>
      </c>
      <c r="P28" s="1">
        <f t="shared" si="11"/>
        <v>1100</v>
      </c>
      <c r="Q28" s="1">
        <f t="shared" si="1"/>
        <v>10800</v>
      </c>
      <c r="R28" s="1">
        <f t="shared" si="2"/>
        <v>3240</v>
      </c>
      <c r="S28" s="1">
        <f t="shared" si="3"/>
        <v>1040</v>
      </c>
      <c r="T28" s="1">
        <f t="shared" si="4"/>
        <v>16200</v>
      </c>
      <c r="U28" s="1">
        <f t="shared" si="5"/>
        <v>1800</v>
      </c>
      <c r="V28" s="1">
        <f t="shared" si="6"/>
        <v>3600</v>
      </c>
      <c r="W28" s="1">
        <f t="shared" si="19"/>
        <v>2400</v>
      </c>
      <c r="X28" s="1">
        <f t="shared" si="20"/>
        <v>1170</v>
      </c>
      <c r="Y28" s="1"/>
      <c r="Z28" s="1"/>
      <c r="AA28" s="1">
        <v>15000</v>
      </c>
      <c r="AB28" s="1"/>
      <c r="AC28" s="1"/>
      <c r="AD28" s="1"/>
      <c r="AE28" s="1">
        <v>4800</v>
      </c>
      <c r="AF28" s="1"/>
      <c r="AG28" s="1"/>
      <c r="AH28" s="1"/>
      <c r="AI28" s="1"/>
      <c r="AJ28" s="1"/>
      <c r="AK28" s="1"/>
      <c r="AL28" s="96">
        <f t="shared" si="7"/>
        <v>15942.578</v>
      </c>
      <c r="AM28" s="97">
        <f t="shared" si="8"/>
        <v>95655.468</v>
      </c>
      <c r="AN28" s="21" t="s">
        <v>95</v>
      </c>
      <c r="AO28" s="21" t="s">
        <v>124</v>
      </c>
      <c r="AP28" s="21"/>
      <c r="AQ28" s="21"/>
      <c r="AR28" s="21"/>
      <c r="AS28" s="21">
        <f t="shared" si="21"/>
        <v>95655.468</v>
      </c>
      <c r="AT28" s="21"/>
      <c r="AU28" s="21"/>
      <c r="AV28" s="21"/>
      <c r="AW28" s="22">
        <v>2006</v>
      </c>
      <c r="AX28" s="24">
        <v>2018</v>
      </c>
      <c r="AY28" s="24"/>
      <c r="AZ28" s="38"/>
      <c r="BA28" s="21" t="s">
        <v>111</v>
      </c>
      <c r="BB28" s="3">
        <v>2</v>
      </c>
    </row>
    <row r="29" s="3" customFormat="1" ht="16.5" customHeight="1" spans="1:54">
      <c r="A29" s="12">
        <f>A24+1</f>
        <v>11</v>
      </c>
      <c r="B29" s="24" t="s">
        <v>129</v>
      </c>
      <c r="C29" s="33" t="s">
        <v>123</v>
      </c>
      <c r="D29" s="95">
        <f>(2*30)+(24+24.721+24)+(5*28.3)+(40+61+40)+24+(4*30)+(3*30)+(4*30)+(3*30)</f>
        <v>859.221</v>
      </c>
      <c r="E29" s="34">
        <v>28</v>
      </c>
      <c r="F29" s="15">
        <v>23113.688</v>
      </c>
      <c r="G29" s="18">
        <v>54</v>
      </c>
      <c r="H29" s="1">
        <v>0</v>
      </c>
      <c r="I29" s="1">
        <v>78</v>
      </c>
      <c r="J29" s="1">
        <v>10</v>
      </c>
      <c r="K29" s="1"/>
      <c r="L29" s="36">
        <v>2</v>
      </c>
      <c r="M29" s="1"/>
      <c r="N29" s="1">
        <f t="shared" si="22"/>
        <v>3600</v>
      </c>
      <c r="O29" s="19">
        <f t="shared" si="23"/>
        <v>25776.63</v>
      </c>
      <c r="P29" s="1">
        <f t="shared" si="11"/>
        <v>3900</v>
      </c>
      <c r="Q29" s="1">
        <f t="shared" si="1"/>
        <v>48600</v>
      </c>
      <c r="R29" s="1">
        <f t="shared" si="2"/>
        <v>14580</v>
      </c>
      <c r="S29" s="1">
        <f t="shared" si="3"/>
        <v>3640</v>
      </c>
      <c r="T29" s="1">
        <f t="shared" si="4"/>
        <v>72900</v>
      </c>
      <c r="U29" s="1">
        <f t="shared" si="5"/>
        <v>8100</v>
      </c>
      <c r="V29" s="1">
        <f t="shared" si="6"/>
        <v>12600</v>
      </c>
      <c r="W29" s="1">
        <f t="shared" si="19"/>
        <v>8400</v>
      </c>
      <c r="X29" s="1">
        <f t="shared" si="20"/>
        <v>4170</v>
      </c>
      <c r="Y29" s="1"/>
      <c r="Z29" s="1"/>
      <c r="AA29" s="1">
        <v>30000</v>
      </c>
      <c r="AB29" s="1"/>
      <c r="AC29" s="1"/>
      <c r="AD29" s="1"/>
      <c r="AE29" s="1">
        <v>7200</v>
      </c>
      <c r="AF29" s="1"/>
      <c r="AG29" s="1"/>
      <c r="AH29" s="1"/>
      <c r="AI29" s="1"/>
      <c r="AJ29" s="1"/>
      <c r="AK29" s="1"/>
      <c r="AL29" s="96">
        <f t="shared" si="7"/>
        <v>48693.326</v>
      </c>
      <c r="AM29" s="97">
        <f t="shared" si="8"/>
        <v>292159.956</v>
      </c>
      <c r="AN29" s="21" t="s">
        <v>95</v>
      </c>
      <c r="AO29" s="21" t="s">
        <v>124</v>
      </c>
      <c r="AP29" s="21"/>
      <c r="AQ29" s="21"/>
      <c r="AR29" s="21"/>
      <c r="AS29" s="21">
        <f t="shared" si="21"/>
        <v>292159.956</v>
      </c>
      <c r="AT29" s="21"/>
      <c r="AU29" s="21"/>
      <c r="AV29" s="21"/>
      <c r="AW29" s="22">
        <v>2006</v>
      </c>
      <c r="AX29" s="24">
        <v>2018</v>
      </c>
      <c r="AY29" s="24"/>
      <c r="AZ29" s="35" t="s">
        <v>110</v>
      </c>
      <c r="BA29" s="21" t="s">
        <v>111</v>
      </c>
      <c r="BB29" s="3">
        <v>2</v>
      </c>
    </row>
    <row r="30" s="3" customFormat="1" ht="16.5" customHeight="1" spans="1:54">
      <c r="A30" s="12"/>
      <c r="B30" s="12" t="s">
        <v>130</v>
      </c>
      <c r="C30" s="33"/>
      <c r="D30" s="95">
        <f>(4*30)+(3*30)+30+(36+50+36)+(3*30)+(4*30)+(3*30)+(3*30)+(3*28)+(3*30)</f>
        <v>926</v>
      </c>
      <c r="E30" s="34">
        <v>30</v>
      </c>
      <c r="F30" s="15">
        <v>25495.046</v>
      </c>
      <c r="G30" s="18">
        <v>60</v>
      </c>
      <c r="H30" s="1">
        <v>0</v>
      </c>
      <c r="I30" s="1">
        <v>160</v>
      </c>
      <c r="J30" s="1">
        <v>11</v>
      </c>
      <c r="K30" s="1"/>
      <c r="L30" s="36">
        <v>3</v>
      </c>
      <c r="M30" s="1"/>
      <c r="N30" s="1">
        <f t="shared" si="22"/>
        <v>5400</v>
      </c>
      <c r="O30" s="19">
        <f t="shared" si="23"/>
        <v>27780</v>
      </c>
      <c r="P30" s="1">
        <f t="shared" si="11"/>
        <v>8000</v>
      </c>
      <c r="Q30" s="1">
        <f t="shared" si="1"/>
        <v>54000</v>
      </c>
      <c r="R30" s="1">
        <f t="shared" si="2"/>
        <v>16200</v>
      </c>
      <c r="S30" s="1">
        <f t="shared" si="3"/>
        <v>3900</v>
      </c>
      <c r="T30" s="1">
        <f t="shared" si="4"/>
        <v>81000</v>
      </c>
      <c r="U30" s="1">
        <f t="shared" si="5"/>
        <v>9000</v>
      </c>
      <c r="V30" s="1">
        <f t="shared" si="6"/>
        <v>13500</v>
      </c>
      <c r="W30" s="1">
        <f t="shared" si="19"/>
        <v>9000</v>
      </c>
      <c r="X30" s="1">
        <f t="shared" si="20"/>
        <v>4470</v>
      </c>
      <c r="Y30" s="1"/>
      <c r="Z30" s="1"/>
      <c r="AA30" s="1">
        <v>30000</v>
      </c>
      <c r="AB30" s="1"/>
      <c r="AC30" s="1"/>
      <c r="AD30" s="1"/>
      <c r="AE30" s="1">
        <v>7200</v>
      </c>
      <c r="AF30" s="1"/>
      <c r="AG30" s="1"/>
      <c r="AH30" s="1"/>
      <c r="AI30" s="1"/>
      <c r="AJ30" s="1"/>
      <c r="AK30" s="1"/>
      <c r="AL30" s="96">
        <f t="shared" si="7"/>
        <v>53890</v>
      </c>
      <c r="AM30" s="97">
        <f t="shared" si="8"/>
        <v>323340</v>
      </c>
      <c r="AN30" s="21" t="s">
        <v>95</v>
      </c>
      <c r="AO30" s="21" t="s">
        <v>124</v>
      </c>
      <c r="AP30" s="21"/>
      <c r="AQ30" s="21"/>
      <c r="AR30" s="21"/>
      <c r="AS30" s="21">
        <f t="shared" si="21"/>
        <v>323340</v>
      </c>
      <c r="AT30" s="21"/>
      <c r="AU30" s="21"/>
      <c r="AV30" s="21"/>
      <c r="AW30" s="22">
        <v>2006</v>
      </c>
      <c r="AX30" s="24">
        <v>2018</v>
      </c>
      <c r="AY30" s="24"/>
      <c r="AZ30" s="37"/>
      <c r="BA30" s="21" t="s">
        <v>111</v>
      </c>
      <c r="BB30" s="3">
        <v>2</v>
      </c>
    </row>
    <row r="31" s="3" customFormat="1" ht="16.5" customHeight="1" spans="1:54">
      <c r="A31" s="12"/>
      <c r="B31" s="12" t="s">
        <v>131</v>
      </c>
      <c r="C31" s="33"/>
      <c r="D31" s="95">
        <f>(3*20)+30+(3*20)+(20+2*20.8+20)</f>
        <v>231.6</v>
      </c>
      <c r="E31" s="34">
        <v>10</v>
      </c>
      <c r="F31" s="15">
        <v>2084.4</v>
      </c>
      <c r="G31" s="18">
        <v>18</v>
      </c>
      <c r="H31" s="1">
        <v>0</v>
      </c>
      <c r="I31" s="1">
        <v>30</v>
      </c>
      <c r="J31" s="1">
        <v>3</v>
      </c>
      <c r="K31" s="1"/>
      <c r="L31" s="36">
        <v>1</v>
      </c>
      <c r="M31" s="1"/>
      <c r="N31" s="1">
        <f t="shared" si="22"/>
        <v>1800</v>
      </c>
      <c r="O31" s="19">
        <f t="shared" si="23"/>
        <v>6948</v>
      </c>
      <c r="P31" s="1">
        <f t="shared" si="11"/>
        <v>1500</v>
      </c>
      <c r="Q31" s="1">
        <f t="shared" si="1"/>
        <v>16200</v>
      </c>
      <c r="R31" s="1">
        <f t="shared" si="2"/>
        <v>4860</v>
      </c>
      <c r="S31" s="1">
        <f t="shared" si="3"/>
        <v>1300</v>
      </c>
      <c r="T31" s="1">
        <f t="shared" si="4"/>
        <v>24300</v>
      </c>
      <c r="U31" s="1">
        <f t="shared" si="5"/>
        <v>2700</v>
      </c>
      <c r="V31" s="1">
        <f t="shared" si="6"/>
        <v>4500</v>
      </c>
      <c r="W31" s="1">
        <f t="shared" si="19"/>
        <v>3000</v>
      </c>
      <c r="X31" s="1">
        <f t="shared" si="20"/>
        <v>1470</v>
      </c>
      <c r="Y31" s="1"/>
      <c r="Z31" s="1"/>
      <c r="AA31" s="1">
        <v>15000</v>
      </c>
      <c r="AB31" s="1"/>
      <c r="AC31" s="1"/>
      <c r="AD31" s="1"/>
      <c r="AE31" s="1">
        <v>4800</v>
      </c>
      <c r="AF31" s="1"/>
      <c r="AG31" s="1"/>
      <c r="AH31" s="1"/>
      <c r="AI31" s="1"/>
      <c r="AJ31" s="1"/>
      <c r="AK31" s="1"/>
      <c r="AL31" s="96">
        <f t="shared" si="7"/>
        <v>17675.6</v>
      </c>
      <c r="AM31" s="97">
        <f t="shared" si="8"/>
        <v>106053.6</v>
      </c>
      <c r="AN31" s="21" t="s">
        <v>95</v>
      </c>
      <c r="AO31" s="21" t="s">
        <v>124</v>
      </c>
      <c r="AP31" s="21"/>
      <c r="AQ31" s="21"/>
      <c r="AR31" s="21"/>
      <c r="AS31" s="21">
        <f t="shared" si="21"/>
        <v>106053.6</v>
      </c>
      <c r="AT31" s="21"/>
      <c r="AU31" s="21"/>
      <c r="AV31" s="21"/>
      <c r="AW31" s="22">
        <v>2006</v>
      </c>
      <c r="AX31" s="24">
        <v>2018</v>
      </c>
      <c r="AY31" s="24"/>
      <c r="AZ31" s="37"/>
      <c r="BA31" s="21" t="s">
        <v>111</v>
      </c>
      <c r="BB31" s="3">
        <v>2</v>
      </c>
    </row>
    <row r="32" s="3" customFormat="1" ht="16.5" customHeight="1" spans="1:54">
      <c r="A32" s="12"/>
      <c r="B32" s="12" t="s">
        <v>132</v>
      </c>
      <c r="C32" s="33"/>
      <c r="D32" s="95">
        <f>(3*21)+(4*21)+(20.75+2*23.5+20.75)+(21.3+2*22.908)+(3*21)+(3*21)+(17+20+17)+(19.2+20+19.2)+(3*21)+(3*21)+(3*21)+(21.6+3*20)</f>
        <v>811.616</v>
      </c>
      <c r="E32" s="34">
        <v>39</v>
      </c>
      <c r="F32" s="15">
        <v>8116.16</v>
      </c>
      <c r="G32" s="18">
        <v>54</v>
      </c>
      <c r="H32" s="1">
        <v>0</v>
      </c>
      <c r="I32" s="1">
        <v>104</v>
      </c>
      <c r="J32" s="1">
        <v>13</v>
      </c>
      <c r="K32" s="1"/>
      <c r="L32" s="36">
        <v>4</v>
      </c>
      <c r="M32" s="1"/>
      <c r="N32" s="1">
        <f t="shared" si="22"/>
        <v>7200</v>
      </c>
      <c r="O32" s="19">
        <f t="shared" si="23"/>
        <v>24348.48</v>
      </c>
      <c r="P32" s="1">
        <f t="shared" si="11"/>
        <v>5200</v>
      </c>
      <c r="Q32" s="1">
        <f t="shared" si="1"/>
        <v>48600</v>
      </c>
      <c r="R32" s="1">
        <f t="shared" si="2"/>
        <v>14580</v>
      </c>
      <c r="S32" s="1">
        <f t="shared" si="3"/>
        <v>5070</v>
      </c>
      <c r="T32" s="1">
        <f t="shared" si="4"/>
        <v>72900</v>
      </c>
      <c r="U32" s="1">
        <f t="shared" si="5"/>
        <v>8100</v>
      </c>
      <c r="V32" s="1">
        <f t="shared" si="6"/>
        <v>17550</v>
      </c>
      <c r="W32" s="1">
        <f t="shared" si="19"/>
        <v>11700</v>
      </c>
      <c r="X32" s="1">
        <f t="shared" si="20"/>
        <v>5820</v>
      </c>
      <c r="Y32" s="1"/>
      <c r="Z32" s="1"/>
      <c r="AA32" s="1">
        <v>15000</v>
      </c>
      <c r="AB32" s="1"/>
      <c r="AC32" s="1"/>
      <c r="AD32" s="1"/>
      <c r="AE32" s="1">
        <v>4800</v>
      </c>
      <c r="AF32" s="1"/>
      <c r="AG32" s="1"/>
      <c r="AH32" s="1"/>
      <c r="AI32" s="1"/>
      <c r="AJ32" s="1"/>
      <c r="AK32" s="1"/>
      <c r="AL32" s="96">
        <f t="shared" si="7"/>
        <v>48173.696</v>
      </c>
      <c r="AM32" s="97">
        <f t="shared" si="8"/>
        <v>289042.176</v>
      </c>
      <c r="AN32" s="21" t="s">
        <v>95</v>
      </c>
      <c r="AO32" s="21" t="s">
        <v>124</v>
      </c>
      <c r="AP32" s="21"/>
      <c r="AQ32" s="21"/>
      <c r="AR32" s="21"/>
      <c r="AS32" s="21">
        <f t="shared" si="21"/>
        <v>289042.176</v>
      </c>
      <c r="AT32" s="21"/>
      <c r="AU32" s="21"/>
      <c r="AV32" s="21"/>
      <c r="AW32" s="22">
        <v>2006</v>
      </c>
      <c r="AX32" s="24">
        <v>2018</v>
      </c>
      <c r="AY32" s="24"/>
      <c r="AZ32" s="37"/>
      <c r="BA32" s="21" t="s">
        <v>111</v>
      </c>
      <c r="BB32" s="3">
        <v>2</v>
      </c>
    </row>
    <row r="33" s="3" customFormat="1" ht="16.5" customHeight="1" spans="1:54">
      <c r="A33" s="12"/>
      <c r="B33" s="12" t="s">
        <v>133</v>
      </c>
      <c r="C33" s="33"/>
      <c r="D33" s="95">
        <f>(21+21.57+21)+(3*21)+(3*21)+(21+21.57+21)</f>
        <v>253.14</v>
      </c>
      <c r="E33" s="34">
        <v>12</v>
      </c>
      <c r="F33" s="15">
        <v>2278.26</v>
      </c>
      <c r="G33" s="18">
        <v>20</v>
      </c>
      <c r="H33" s="1">
        <v>0</v>
      </c>
      <c r="I33" s="1">
        <v>32</v>
      </c>
      <c r="J33" s="1">
        <v>5</v>
      </c>
      <c r="K33" s="1"/>
      <c r="L33" s="36">
        <v>1</v>
      </c>
      <c r="M33" s="1"/>
      <c r="N33" s="1">
        <f t="shared" si="22"/>
        <v>1800</v>
      </c>
      <c r="O33" s="19">
        <f t="shared" si="23"/>
        <v>7594.2</v>
      </c>
      <c r="P33" s="1">
        <f t="shared" si="11"/>
        <v>1600</v>
      </c>
      <c r="Q33" s="1">
        <f t="shared" si="1"/>
        <v>18000</v>
      </c>
      <c r="R33" s="1">
        <f t="shared" si="2"/>
        <v>5400</v>
      </c>
      <c r="S33" s="1">
        <f t="shared" si="3"/>
        <v>1560</v>
      </c>
      <c r="T33" s="1">
        <f t="shared" si="4"/>
        <v>27000</v>
      </c>
      <c r="U33" s="1">
        <f t="shared" si="5"/>
        <v>3000</v>
      </c>
      <c r="V33" s="1">
        <f t="shared" si="6"/>
        <v>5400</v>
      </c>
      <c r="W33" s="1">
        <f t="shared" si="19"/>
        <v>3600</v>
      </c>
      <c r="X33" s="1">
        <f t="shared" si="20"/>
        <v>1770</v>
      </c>
      <c r="Y33" s="1"/>
      <c r="Z33" s="1"/>
      <c r="AA33" s="1">
        <v>15000</v>
      </c>
      <c r="AB33" s="1"/>
      <c r="AC33" s="1"/>
      <c r="AD33" s="1"/>
      <c r="AE33" s="1">
        <v>4800</v>
      </c>
      <c r="AF33" s="1"/>
      <c r="AG33" s="1"/>
      <c r="AH33" s="1"/>
      <c r="AI33" s="1"/>
      <c r="AJ33" s="1"/>
      <c r="AK33" s="1"/>
      <c r="AL33" s="96">
        <f t="shared" si="7"/>
        <v>19304.84</v>
      </c>
      <c r="AM33" s="97">
        <f t="shared" si="8"/>
        <v>115829.04</v>
      </c>
      <c r="AN33" s="21" t="s">
        <v>95</v>
      </c>
      <c r="AO33" s="21" t="s">
        <v>124</v>
      </c>
      <c r="AP33" s="21"/>
      <c r="AQ33" s="21"/>
      <c r="AR33" s="21"/>
      <c r="AS33" s="21">
        <f t="shared" si="21"/>
        <v>115829.04</v>
      </c>
      <c r="AT33" s="21"/>
      <c r="AU33" s="21"/>
      <c r="AV33" s="21"/>
      <c r="AW33" s="22">
        <v>2006</v>
      </c>
      <c r="AX33" s="24">
        <v>2018</v>
      </c>
      <c r="AY33" s="24"/>
      <c r="AZ33" s="37"/>
      <c r="BA33" s="21" t="s">
        <v>111</v>
      </c>
      <c r="BB33" s="3">
        <v>2</v>
      </c>
    </row>
    <row r="34" s="3" customFormat="1" ht="16.5" customHeight="1" spans="1:54">
      <c r="A34" s="12"/>
      <c r="B34" s="12" t="s">
        <v>134</v>
      </c>
      <c r="C34" s="33"/>
      <c r="D34" s="95">
        <f>(3*21)+(19+22+19)+(24+2*20)+(3*20)+(18.5+20.05+21.8)+(3*22)+(3*22)+(22.5+23.406+22.5)</f>
        <v>507.756</v>
      </c>
      <c r="E34" s="34">
        <v>24</v>
      </c>
      <c r="F34" s="15">
        <v>4569.804</v>
      </c>
      <c r="G34" s="18">
        <v>38</v>
      </c>
      <c r="H34" s="1">
        <v>0</v>
      </c>
      <c r="I34" s="1">
        <v>64</v>
      </c>
      <c r="J34" s="1">
        <v>9</v>
      </c>
      <c r="K34" s="1"/>
      <c r="L34" s="36">
        <v>2</v>
      </c>
      <c r="M34" s="1"/>
      <c r="N34" s="1">
        <f t="shared" si="22"/>
        <v>3600</v>
      </c>
      <c r="O34" s="19">
        <f t="shared" si="23"/>
        <v>15232.68</v>
      </c>
      <c r="P34" s="1">
        <f t="shared" si="11"/>
        <v>3200</v>
      </c>
      <c r="Q34" s="1">
        <f t="shared" si="1"/>
        <v>34200</v>
      </c>
      <c r="R34" s="1">
        <f t="shared" si="2"/>
        <v>10260</v>
      </c>
      <c r="S34" s="1">
        <f t="shared" si="3"/>
        <v>3120</v>
      </c>
      <c r="T34" s="1">
        <f t="shared" si="4"/>
        <v>51300</v>
      </c>
      <c r="U34" s="1">
        <f t="shared" si="5"/>
        <v>5700</v>
      </c>
      <c r="V34" s="1">
        <f t="shared" si="6"/>
        <v>10800</v>
      </c>
      <c r="W34" s="1">
        <f t="shared" si="19"/>
        <v>7200</v>
      </c>
      <c r="X34" s="1">
        <f t="shared" si="20"/>
        <v>3570</v>
      </c>
      <c r="Y34" s="1"/>
      <c r="Z34" s="1"/>
      <c r="AA34" s="1">
        <v>15000</v>
      </c>
      <c r="AB34" s="1"/>
      <c r="AC34" s="1"/>
      <c r="AD34" s="1"/>
      <c r="AE34" s="1">
        <v>4800</v>
      </c>
      <c r="AF34" s="1"/>
      <c r="AG34" s="1"/>
      <c r="AH34" s="1"/>
      <c r="AI34" s="1"/>
      <c r="AJ34" s="1"/>
      <c r="AK34" s="1"/>
      <c r="AL34" s="96">
        <f t="shared" si="7"/>
        <v>33596.536</v>
      </c>
      <c r="AM34" s="97">
        <f t="shared" si="8"/>
        <v>201579.216</v>
      </c>
      <c r="AN34" s="21" t="s">
        <v>95</v>
      </c>
      <c r="AO34" s="21" t="s">
        <v>124</v>
      </c>
      <c r="AP34" s="21"/>
      <c r="AQ34" s="21"/>
      <c r="AR34" s="21"/>
      <c r="AS34" s="21">
        <f t="shared" si="21"/>
        <v>201579.216</v>
      </c>
      <c r="AT34" s="21"/>
      <c r="AU34" s="21"/>
      <c r="AV34" s="21"/>
      <c r="AW34" s="22">
        <v>2006</v>
      </c>
      <c r="AX34" s="24">
        <v>2018</v>
      </c>
      <c r="AY34" s="24"/>
      <c r="AZ34" s="37"/>
      <c r="BA34" s="21" t="s">
        <v>111</v>
      </c>
      <c r="BB34" s="3">
        <v>2</v>
      </c>
    </row>
    <row r="35" s="3" customFormat="1" ht="16.5" customHeight="1" spans="1:54">
      <c r="A35" s="12"/>
      <c r="B35" s="12" t="s">
        <v>135</v>
      </c>
      <c r="C35" s="33"/>
      <c r="D35" s="95">
        <f>(2*20+25+2*20)+(4*18.5+17.678)+(3*21)+(3*21)+(4*21)</f>
        <v>406.678</v>
      </c>
      <c r="E35" s="34">
        <v>20</v>
      </c>
      <c r="F35" s="15">
        <v>4066.78</v>
      </c>
      <c r="G35" s="18">
        <v>30</v>
      </c>
      <c r="H35" s="1">
        <v>0</v>
      </c>
      <c r="I35" s="1">
        <v>50</v>
      </c>
      <c r="J35" s="1">
        <v>6</v>
      </c>
      <c r="K35" s="1"/>
      <c r="L35" s="36">
        <v>2</v>
      </c>
      <c r="M35" s="1"/>
      <c r="N35" s="1">
        <f t="shared" si="22"/>
        <v>3600</v>
      </c>
      <c r="O35" s="19">
        <f t="shared" si="23"/>
        <v>12200.34</v>
      </c>
      <c r="P35" s="1">
        <f t="shared" si="11"/>
        <v>2500</v>
      </c>
      <c r="Q35" s="1">
        <f t="shared" si="1"/>
        <v>27000</v>
      </c>
      <c r="R35" s="1">
        <f t="shared" si="2"/>
        <v>8100</v>
      </c>
      <c r="S35" s="1">
        <f t="shared" si="3"/>
        <v>2600</v>
      </c>
      <c r="T35" s="1">
        <f t="shared" si="4"/>
        <v>40500</v>
      </c>
      <c r="U35" s="1">
        <f t="shared" si="5"/>
        <v>4500</v>
      </c>
      <c r="V35" s="1">
        <f t="shared" si="6"/>
        <v>9000</v>
      </c>
      <c r="W35" s="1">
        <f t="shared" si="19"/>
        <v>6000</v>
      </c>
      <c r="X35" s="1">
        <f t="shared" si="20"/>
        <v>2970</v>
      </c>
      <c r="Y35" s="1"/>
      <c r="Z35" s="1"/>
      <c r="AA35" s="1">
        <v>15000</v>
      </c>
      <c r="AB35" s="1"/>
      <c r="AC35" s="1"/>
      <c r="AD35" s="1"/>
      <c r="AE35" s="1">
        <v>4800</v>
      </c>
      <c r="AF35" s="1"/>
      <c r="AG35" s="1"/>
      <c r="AH35" s="1"/>
      <c r="AI35" s="1"/>
      <c r="AJ35" s="1"/>
      <c r="AK35" s="1"/>
      <c r="AL35" s="96">
        <f t="shared" si="7"/>
        <v>27754.068</v>
      </c>
      <c r="AM35" s="97">
        <f t="shared" si="8"/>
        <v>166524.408</v>
      </c>
      <c r="AN35" s="21" t="s">
        <v>95</v>
      </c>
      <c r="AO35" s="21" t="s">
        <v>124</v>
      </c>
      <c r="AP35" s="21"/>
      <c r="AQ35" s="21"/>
      <c r="AR35" s="21"/>
      <c r="AS35" s="21">
        <f t="shared" si="21"/>
        <v>166524.408</v>
      </c>
      <c r="AT35" s="21"/>
      <c r="AU35" s="21"/>
      <c r="AV35" s="21"/>
      <c r="AW35" s="22">
        <v>2006</v>
      </c>
      <c r="AX35" s="24">
        <v>2018</v>
      </c>
      <c r="AY35" s="24"/>
      <c r="AZ35" s="38"/>
      <c r="BA35" s="21" t="s">
        <v>111</v>
      </c>
      <c r="BB35" s="3">
        <v>2</v>
      </c>
    </row>
    <row r="36" s="3" customFormat="1" ht="16.5" customHeight="1" spans="1:54">
      <c r="A36" s="12">
        <f>A29+1</f>
        <v>12</v>
      </c>
      <c r="B36" s="24" t="s">
        <v>136</v>
      </c>
      <c r="C36" s="33" t="s">
        <v>137</v>
      </c>
      <c r="D36" s="95">
        <v>1123.1</v>
      </c>
      <c r="E36" s="34">
        <v>37</v>
      </c>
      <c r="F36" s="15">
        <v>34934.042</v>
      </c>
      <c r="G36" s="18">
        <v>72</v>
      </c>
      <c r="H36" s="1">
        <v>0</v>
      </c>
      <c r="I36" s="1">
        <v>100</v>
      </c>
      <c r="J36" s="1">
        <v>12</v>
      </c>
      <c r="K36" s="1"/>
      <c r="L36" s="36">
        <v>4</v>
      </c>
      <c r="M36" s="1">
        <f>8500*4</f>
        <v>34000</v>
      </c>
      <c r="N36" s="1"/>
      <c r="O36" s="19">
        <f>D36*25</f>
        <v>28077.5</v>
      </c>
      <c r="P36" s="1">
        <f t="shared" si="11"/>
        <v>5000</v>
      </c>
      <c r="Q36" s="1">
        <f t="shared" si="1"/>
        <v>64800</v>
      </c>
      <c r="R36" s="1">
        <f t="shared" si="2"/>
        <v>19440</v>
      </c>
      <c r="S36" s="1">
        <f t="shared" si="3"/>
        <v>4810</v>
      </c>
      <c r="T36" s="1">
        <f t="shared" si="4"/>
        <v>97200</v>
      </c>
      <c r="U36" s="1">
        <f t="shared" si="5"/>
        <v>10800</v>
      </c>
      <c r="V36" s="1">
        <f t="shared" si="6"/>
        <v>16650</v>
      </c>
      <c r="W36" s="1">
        <f t="shared" si="19"/>
        <v>11100</v>
      </c>
      <c r="X36" s="1">
        <f t="shared" si="20"/>
        <v>5520</v>
      </c>
      <c r="Y36" s="1"/>
      <c r="Z36" s="1"/>
      <c r="AA36" s="1">
        <v>30000</v>
      </c>
      <c r="AB36" s="1"/>
      <c r="AC36" s="1"/>
      <c r="AD36" s="1"/>
      <c r="AE36" s="1">
        <v>7200</v>
      </c>
      <c r="AF36" s="1"/>
      <c r="AG36" s="1"/>
      <c r="AH36" s="1"/>
      <c r="AI36" s="1"/>
      <c r="AJ36" s="1"/>
      <c r="AK36" s="1"/>
      <c r="AL36" s="96">
        <f t="shared" si="7"/>
        <v>66919.5</v>
      </c>
      <c r="AM36" s="97">
        <f t="shared" si="8"/>
        <v>401517</v>
      </c>
      <c r="AN36" s="21" t="s">
        <v>95</v>
      </c>
      <c r="AO36" s="106" t="s">
        <v>96</v>
      </c>
      <c r="AP36" s="21">
        <f>AM36*0.5</f>
        <v>200758.5</v>
      </c>
      <c r="AQ36" s="21">
        <f>AM36*0.5</f>
        <v>200758.5</v>
      </c>
      <c r="AR36" s="21"/>
      <c r="AS36" s="21"/>
      <c r="AT36" s="21"/>
      <c r="AU36" s="21"/>
      <c r="AV36" s="21"/>
      <c r="AW36" s="22">
        <v>2006</v>
      </c>
      <c r="AX36" s="24">
        <v>2018</v>
      </c>
      <c r="AY36" s="24"/>
      <c r="AZ36" s="35" t="s">
        <v>110</v>
      </c>
      <c r="BA36" s="21" t="s">
        <v>111</v>
      </c>
      <c r="BB36" s="3">
        <v>3</v>
      </c>
    </row>
    <row r="37" s="3" customFormat="1" ht="16.5" customHeight="1" spans="1:54">
      <c r="A37" s="12"/>
      <c r="B37" s="12" t="s">
        <v>138</v>
      </c>
      <c r="C37" s="33"/>
      <c r="D37" s="95">
        <f>91.108+64</f>
        <v>155.108</v>
      </c>
      <c r="E37" s="34">
        <v>3</v>
      </c>
      <c r="F37" s="15">
        <v>1340.753552</v>
      </c>
      <c r="G37" s="18">
        <v>6</v>
      </c>
      <c r="H37" s="1">
        <v>0</v>
      </c>
      <c r="I37" s="1">
        <v>8</v>
      </c>
      <c r="J37" s="1">
        <v>2</v>
      </c>
      <c r="K37" s="1"/>
      <c r="L37" s="36">
        <v>0.5</v>
      </c>
      <c r="M37" s="1"/>
      <c r="N37" s="1">
        <f>1800*0.5</f>
        <v>900</v>
      </c>
      <c r="O37" s="19">
        <f>30*D37</f>
        <v>4653.24</v>
      </c>
      <c r="P37" s="1">
        <f t="shared" si="11"/>
        <v>400</v>
      </c>
      <c r="Q37" s="1">
        <f t="shared" si="1"/>
        <v>5400</v>
      </c>
      <c r="R37" s="1">
        <f t="shared" si="2"/>
        <v>1620</v>
      </c>
      <c r="S37" s="1">
        <f t="shared" si="3"/>
        <v>390</v>
      </c>
      <c r="T37" s="1">
        <f t="shared" si="4"/>
        <v>8100</v>
      </c>
      <c r="U37" s="1">
        <f t="shared" si="5"/>
        <v>900</v>
      </c>
      <c r="V37" s="1">
        <f t="shared" si="6"/>
        <v>1350</v>
      </c>
      <c r="W37" s="1">
        <f t="shared" si="19"/>
        <v>900</v>
      </c>
      <c r="X37" s="1">
        <f t="shared" si="20"/>
        <v>420</v>
      </c>
      <c r="Y37" s="1"/>
      <c r="Z37" s="1"/>
      <c r="AA37" s="1">
        <v>15000</v>
      </c>
      <c r="AB37" s="1"/>
      <c r="AC37" s="1"/>
      <c r="AD37" s="1"/>
      <c r="AE37" s="1">
        <v>4800</v>
      </c>
      <c r="AF37" s="1"/>
      <c r="AG37" s="1"/>
      <c r="AH37" s="1"/>
      <c r="AI37" s="1"/>
      <c r="AJ37" s="1"/>
      <c r="AK37" s="1"/>
      <c r="AL37" s="96">
        <f t="shared" si="7"/>
        <v>8966.648</v>
      </c>
      <c r="AM37" s="97">
        <f t="shared" si="8"/>
        <v>53799.888</v>
      </c>
      <c r="AN37" s="21" t="s">
        <v>95</v>
      </c>
      <c r="AO37" s="106" t="s">
        <v>96</v>
      </c>
      <c r="AP37" s="21">
        <f>AM37*0.5</f>
        <v>26899.944</v>
      </c>
      <c r="AQ37" s="21">
        <f>AM37*0.5</f>
        <v>26899.944</v>
      </c>
      <c r="AR37" s="21"/>
      <c r="AS37" s="21"/>
      <c r="AT37" s="21"/>
      <c r="AU37" s="21"/>
      <c r="AV37" s="21"/>
      <c r="AW37" s="22">
        <v>2006</v>
      </c>
      <c r="AX37" s="24">
        <v>2018</v>
      </c>
      <c r="AY37" s="24"/>
      <c r="AZ37" s="37"/>
      <c r="BA37" s="21" t="s">
        <v>111</v>
      </c>
      <c r="BB37" s="3">
        <v>3</v>
      </c>
    </row>
    <row r="38" s="3" customFormat="1" ht="16.5" customHeight="1" spans="1:54">
      <c r="A38" s="12"/>
      <c r="B38" s="12" t="s">
        <v>139</v>
      </c>
      <c r="C38" s="33"/>
      <c r="D38" s="95">
        <f>150.315+74.559</f>
        <v>224.874</v>
      </c>
      <c r="E38" s="34">
        <v>5</v>
      </c>
      <c r="F38" s="15">
        <v>1943.810856</v>
      </c>
      <c r="G38" s="18">
        <v>12</v>
      </c>
      <c r="H38" s="1">
        <v>0</v>
      </c>
      <c r="I38" s="1">
        <v>14</v>
      </c>
      <c r="J38" s="1">
        <v>3</v>
      </c>
      <c r="K38" s="1"/>
      <c r="L38" s="36">
        <v>0.5</v>
      </c>
      <c r="M38" s="1"/>
      <c r="N38" s="1">
        <f>1800*0.5</f>
        <v>900</v>
      </c>
      <c r="O38" s="19">
        <f>30*D38</f>
        <v>6746.22</v>
      </c>
      <c r="P38" s="1">
        <f t="shared" si="11"/>
        <v>700</v>
      </c>
      <c r="Q38" s="1">
        <f t="shared" si="1"/>
        <v>10800</v>
      </c>
      <c r="R38" s="1">
        <f t="shared" si="2"/>
        <v>3240</v>
      </c>
      <c r="S38" s="1">
        <f t="shared" si="3"/>
        <v>650</v>
      </c>
      <c r="T38" s="1">
        <f t="shared" si="4"/>
        <v>16200</v>
      </c>
      <c r="U38" s="1">
        <f t="shared" si="5"/>
        <v>1800</v>
      </c>
      <c r="V38" s="1">
        <f t="shared" si="6"/>
        <v>2250</v>
      </c>
      <c r="W38" s="1">
        <f t="shared" si="19"/>
        <v>1500</v>
      </c>
      <c r="X38" s="1">
        <f t="shared" si="20"/>
        <v>720</v>
      </c>
      <c r="Y38" s="1"/>
      <c r="Z38" s="1"/>
      <c r="AA38" s="1">
        <v>15000</v>
      </c>
      <c r="AB38" s="1"/>
      <c r="AC38" s="1"/>
      <c r="AD38" s="1"/>
      <c r="AE38" s="1">
        <v>4800</v>
      </c>
      <c r="AF38" s="1"/>
      <c r="AG38" s="1"/>
      <c r="AH38" s="1"/>
      <c r="AI38" s="1"/>
      <c r="AJ38" s="1"/>
      <c r="AK38" s="1"/>
      <c r="AL38" s="96">
        <f t="shared" si="7"/>
        <v>13061.244</v>
      </c>
      <c r="AM38" s="97">
        <f t="shared" si="8"/>
        <v>78367.464</v>
      </c>
      <c r="AN38" s="21" t="s">
        <v>95</v>
      </c>
      <c r="AO38" s="106" t="s">
        <v>96</v>
      </c>
      <c r="AP38" s="21">
        <f>AM38*0.5</f>
        <v>39183.732</v>
      </c>
      <c r="AQ38" s="21">
        <f>AM38*0.5</f>
        <v>39183.732</v>
      </c>
      <c r="AR38" s="21"/>
      <c r="AS38" s="21"/>
      <c r="AT38" s="21"/>
      <c r="AU38" s="21"/>
      <c r="AV38" s="21"/>
      <c r="AW38" s="22">
        <v>2006</v>
      </c>
      <c r="AX38" s="24">
        <v>2018</v>
      </c>
      <c r="AY38" s="24"/>
      <c r="AZ38" s="37"/>
      <c r="BA38" s="21" t="s">
        <v>111</v>
      </c>
      <c r="BB38" s="3">
        <v>3</v>
      </c>
    </row>
    <row r="39" s="3" customFormat="1" ht="16.5" customHeight="1" spans="1:54">
      <c r="A39" s="12">
        <f>A36+1</f>
        <v>13</v>
      </c>
      <c r="B39" s="12" t="s">
        <v>140</v>
      </c>
      <c r="C39" s="33" t="s">
        <v>137</v>
      </c>
      <c r="D39" s="95">
        <v>219.11</v>
      </c>
      <c r="E39" s="34">
        <v>5</v>
      </c>
      <c r="F39" s="15">
        <v>1893.98684</v>
      </c>
      <c r="G39" s="18">
        <v>12</v>
      </c>
      <c r="H39" s="1">
        <v>0</v>
      </c>
      <c r="I39" s="1">
        <v>16</v>
      </c>
      <c r="J39" s="1">
        <v>2</v>
      </c>
      <c r="K39" s="1"/>
      <c r="L39" s="36">
        <v>0.5</v>
      </c>
      <c r="M39" s="1"/>
      <c r="N39" s="1">
        <f t="shared" ref="N39:N48" si="24">1800*0.5</f>
        <v>900</v>
      </c>
      <c r="O39" s="19">
        <f t="shared" ref="O39:O48" si="25">30*D39</f>
        <v>6573.3</v>
      </c>
      <c r="P39" s="1">
        <f t="shared" si="11"/>
        <v>800</v>
      </c>
      <c r="Q39" s="1">
        <f t="shared" ref="Q39:Q64" si="26">G39*10*90</f>
        <v>10800</v>
      </c>
      <c r="R39" s="1">
        <f t="shared" ref="R39:R64" si="27">G39*9*30</f>
        <v>3240</v>
      </c>
      <c r="S39" s="1">
        <f t="shared" ref="S39:S64" si="28">E39*1*130</f>
        <v>650</v>
      </c>
      <c r="T39" s="1">
        <f t="shared" ref="T39:T64" si="29">G39*30*45</f>
        <v>16200</v>
      </c>
      <c r="U39" s="1">
        <f t="shared" ref="U39:U64" si="30">G39*10*15</f>
        <v>1800</v>
      </c>
      <c r="V39" s="1">
        <f t="shared" ref="V39:V64" si="31">E39*10*45</f>
        <v>2250</v>
      </c>
      <c r="W39" s="1">
        <f t="shared" ref="W39:W49" si="32">E39*10*30</f>
        <v>1500</v>
      </c>
      <c r="X39" s="1">
        <f t="shared" ref="X39:X49" si="33">(E39*5-1)*30</f>
        <v>720</v>
      </c>
      <c r="Y39" s="1"/>
      <c r="Z39" s="1"/>
      <c r="AA39" s="1">
        <v>15000</v>
      </c>
      <c r="AB39" s="1"/>
      <c r="AC39" s="1"/>
      <c r="AD39" s="1"/>
      <c r="AE39" s="1">
        <f t="shared" ref="AE39:AE48" si="34">1200*4</f>
        <v>4800</v>
      </c>
      <c r="AF39" s="1"/>
      <c r="AG39" s="1"/>
      <c r="AH39" s="1"/>
      <c r="AI39" s="1"/>
      <c r="AJ39" s="1"/>
      <c r="AK39" s="1"/>
      <c r="AL39" s="96">
        <f t="shared" ref="AL39:AL69" si="35">SUM(M39:AK39)*0.2</f>
        <v>13046.66</v>
      </c>
      <c r="AM39" s="97">
        <f t="shared" ref="AM39:AM69" si="36">SUM(M39:AL39)</f>
        <v>78279.96</v>
      </c>
      <c r="AN39" s="21" t="s">
        <v>95</v>
      </c>
      <c r="AO39" s="106" t="s">
        <v>96</v>
      </c>
      <c r="AP39" s="21">
        <f t="shared" ref="AP39:AP49" si="37">AM39*0.5</f>
        <v>39139.98</v>
      </c>
      <c r="AQ39" s="21">
        <f t="shared" ref="AQ39:AQ49" si="38">AM39*0.5</f>
        <v>39139.98</v>
      </c>
      <c r="AR39" s="21"/>
      <c r="AS39" s="21"/>
      <c r="AT39" s="21"/>
      <c r="AU39" s="21"/>
      <c r="AV39" s="21"/>
      <c r="AW39" s="22">
        <v>2006</v>
      </c>
      <c r="AX39" s="24">
        <v>2018</v>
      </c>
      <c r="AY39" s="24"/>
      <c r="AZ39" s="35" t="s">
        <v>110</v>
      </c>
      <c r="BA39" s="21" t="s">
        <v>111</v>
      </c>
      <c r="BB39" s="3">
        <v>3</v>
      </c>
    </row>
    <row r="40" s="3" customFormat="1" ht="16.5" customHeight="1" spans="1:54">
      <c r="A40" s="12"/>
      <c r="B40" s="12" t="s">
        <v>141</v>
      </c>
      <c r="C40" s="33"/>
      <c r="D40" s="95">
        <v>150.56</v>
      </c>
      <c r="E40" s="34">
        <v>5</v>
      </c>
      <c r="F40" s="15">
        <v>1252.96032</v>
      </c>
      <c r="G40" s="18">
        <v>12</v>
      </c>
      <c r="H40" s="1">
        <v>0</v>
      </c>
      <c r="I40" s="1">
        <v>16</v>
      </c>
      <c r="J40" s="1">
        <v>2</v>
      </c>
      <c r="K40" s="1"/>
      <c r="L40" s="36">
        <v>0.5</v>
      </c>
      <c r="M40" s="1"/>
      <c r="N40" s="1">
        <f t="shared" si="24"/>
        <v>900</v>
      </c>
      <c r="O40" s="19">
        <f t="shared" si="25"/>
        <v>4516.8</v>
      </c>
      <c r="P40" s="1">
        <f t="shared" si="11"/>
        <v>800</v>
      </c>
      <c r="Q40" s="1">
        <f t="shared" si="26"/>
        <v>10800</v>
      </c>
      <c r="R40" s="1">
        <f t="shared" si="27"/>
        <v>3240</v>
      </c>
      <c r="S40" s="1">
        <f t="shared" si="28"/>
        <v>650</v>
      </c>
      <c r="T40" s="1">
        <f t="shared" si="29"/>
        <v>16200</v>
      </c>
      <c r="U40" s="1">
        <f t="shared" si="30"/>
        <v>1800</v>
      </c>
      <c r="V40" s="1">
        <f t="shared" si="31"/>
        <v>2250</v>
      </c>
      <c r="W40" s="1">
        <f t="shared" si="32"/>
        <v>1500</v>
      </c>
      <c r="X40" s="1">
        <f t="shared" si="33"/>
        <v>720</v>
      </c>
      <c r="Y40" s="1"/>
      <c r="Z40" s="1"/>
      <c r="AA40" s="1">
        <v>15000</v>
      </c>
      <c r="AB40" s="1"/>
      <c r="AC40" s="1"/>
      <c r="AD40" s="1"/>
      <c r="AE40" s="1">
        <f t="shared" si="34"/>
        <v>4800</v>
      </c>
      <c r="AF40" s="1"/>
      <c r="AG40" s="1"/>
      <c r="AH40" s="1"/>
      <c r="AI40" s="1"/>
      <c r="AJ40" s="1"/>
      <c r="AK40" s="1"/>
      <c r="AL40" s="96">
        <f t="shared" si="35"/>
        <v>12635.36</v>
      </c>
      <c r="AM40" s="97">
        <f t="shared" si="36"/>
        <v>75812.16</v>
      </c>
      <c r="AN40" s="21" t="s">
        <v>95</v>
      </c>
      <c r="AO40" s="106" t="s">
        <v>96</v>
      </c>
      <c r="AP40" s="21">
        <f t="shared" si="37"/>
        <v>37906.08</v>
      </c>
      <c r="AQ40" s="21">
        <f t="shared" si="38"/>
        <v>37906.08</v>
      </c>
      <c r="AR40" s="21"/>
      <c r="AS40" s="21"/>
      <c r="AT40" s="21"/>
      <c r="AU40" s="21"/>
      <c r="AV40" s="21"/>
      <c r="AW40" s="22">
        <v>2006</v>
      </c>
      <c r="AX40" s="24">
        <v>2018</v>
      </c>
      <c r="AY40" s="24"/>
      <c r="AZ40" s="37"/>
      <c r="BA40" s="21" t="s">
        <v>111</v>
      </c>
      <c r="BB40" s="3">
        <v>3</v>
      </c>
    </row>
    <row r="41" s="3" customFormat="1" ht="16.5" customHeight="1" spans="1:54">
      <c r="A41" s="12"/>
      <c r="B41" s="12" t="s">
        <v>142</v>
      </c>
      <c r="C41" s="33"/>
      <c r="D41" s="95">
        <v>150.56</v>
      </c>
      <c r="E41" s="34">
        <v>5</v>
      </c>
      <c r="F41" s="15">
        <v>1252.96032</v>
      </c>
      <c r="G41" s="18">
        <v>12</v>
      </c>
      <c r="H41" s="1">
        <v>0</v>
      </c>
      <c r="I41" s="1">
        <v>16</v>
      </c>
      <c r="J41" s="1">
        <v>2</v>
      </c>
      <c r="K41" s="1"/>
      <c r="L41" s="36">
        <v>0.5</v>
      </c>
      <c r="M41" s="1"/>
      <c r="N41" s="1">
        <f t="shared" si="24"/>
        <v>900</v>
      </c>
      <c r="O41" s="19">
        <f t="shared" si="25"/>
        <v>4516.8</v>
      </c>
      <c r="P41" s="1">
        <f t="shared" si="11"/>
        <v>800</v>
      </c>
      <c r="Q41" s="1">
        <f t="shared" si="26"/>
        <v>10800</v>
      </c>
      <c r="R41" s="1">
        <f t="shared" si="27"/>
        <v>3240</v>
      </c>
      <c r="S41" s="1">
        <f t="shared" si="28"/>
        <v>650</v>
      </c>
      <c r="T41" s="1">
        <f t="shared" si="29"/>
        <v>16200</v>
      </c>
      <c r="U41" s="1">
        <f t="shared" si="30"/>
        <v>1800</v>
      </c>
      <c r="V41" s="1">
        <f t="shared" si="31"/>
        <v>2250</v>
      </c>
      <c r="W41" s="1">
        <f t="shared" si="32"/>
        <v>1500</v>
      </c>
      <c r="X41" s="1">
        <f t="shared" si="33"/>
        <v>720</v>
      </c>
      <c r="Y41" s="1"/>
      <c r="Z41" s="1"/>
      <c r="AA41" s="1">
        <v>15000</v>
      </c>
      <c r="AB41" s="1"/>
      <c r="AC41" s="1"/>
      <c r="AD41" s="1"/>
      <c r="AE41" s="1">
        <f t="shared" si="34"/>
        <v>4800</v>
      </c>
      <c r="AF41" s="1"/>
      <c r="AG41" s="1"/>
      <c r="AH41" s="1"/>
      <c r="AI41" s="1"/>
      <c r="AJ41" s="1"/>
      <c r="AK41" s="1"/>
      <c r="AL41" s="96">
        <f t="shared" si="35"/>
        <v>12635.36</v>
      </c>
      <c r="AM41" s="97">
        <f t="shared" si="36"/>
        <v>75812.16</v>
      </c>
      <c r="AN41" s="21" t="s">
        <v>95</v>
      </c>
      <c r="AO41" s="106" t="s">
        <v>96</v>
      </c>
      <c r="AP41" s="21">
        <f t="shared" si="37"/>
        <v>37906.08</v>
      </c>
      <c r="AQ41" s="21">
        <f t="shared" si="38"/>
        <v>37906.08</v>
      </c>
      <c r="AR41" s="21"/>
      <c r="AS41" s="21"/>
      <c r="AT41" s="21"/>
      <c r="AU41" s="21"/>
      <c r="AV41" s="21"/>
      <c r="AW41" s="22">
        <v>2006</v>
      </c>
      <c r="AX41" s="24">
        <v>2018</v>
      </c>
      <c r="AY41" s="24"/>
      <c r="AZ41" s="37"/>
      <c r="BA41" s="21" t="s">
        <v>111</v>
      </c>
      <c r="BB41" s="3">
        <v>3</v>
      </c>
    </row>
    <row r="42" s="3" customFormat="1" ht="16.5" customHeight="1" spans="1:54">
      <c r="A42" s="12"/>
      <c r="B42" s="12" t="s">
        <v>143</v>
      </c>
      <c r="C42" s="33"/>
      <c r="D42" s="95">
        <v>150.06</v>
      </c>
      <c r="E42" s="34">
        <v>5</v>
      </c>
      <c r="F42" s="15">
        <v>1248.79932</v>
      </c>
      <c r="G42" s="18">
        <v>12</v>
      </c>
      <c r="H42" s="1">
        <v>0</v>
      </c>
      <c r="I42" s="1">
        <v>16</v>
      </c>
      <c r="J42" s="1">
        <v>2</v>
      </c>
      <c r="K42" s="1"/>
      <c r="L42" s="36">
        <v>0.5</v>
      </c>
      <c r="M42" s="1"/>
      <c r="N42" s="1">
        <f t="shared" si="24"/>
        <v>900</v>
      </c>
      <c r="O42" s="19">
        <f t="shared" si="25"/>
        <v>4501.8</v>
      </c>
      <c r="P42" s="1">
        <f t="shared" si="11"/>
        <v>800</v>
      </c>
      <c r="Q42" s="1">
        <f t="shared" si="26"/>
        <v>10800</v>
      </c>
      <c r="R42" s="1">
        <f t="shared" si="27"/>
        <v>3240</v>
      </c>
      <c r="S42" s="1">
        <f t="shared" si="28"/>
        <v>650</v>
      </c>
      <c r="T42" s="1">
        <f t="shared" si="29"/>
        <v>16200</v>
      </c>
      <c r="U42" s="1">
        <f t="shared" si="30"/>
        <v>1800</v>
      </c>
      <c r="V42" s="1">
        <f t="shared" si="31"/>
        <v>2250</v>
      </c>
      <c r="W42" s="1">
        <f t="shared" si="32"/>
        <v>1500</v>
      </c>
      <c r="X42" s="1">
        <f t="shared" si="33"/>
        <v>720</v>
      </c>
      <c r="Y42" s="1"/>
      <c r="Z42" s="1"/>
      <c r="AA42" s="1">
        <v>15000</v>
      </c>
      <c r="AB42" s="1"/>
      <c r="AC42" s="1"/>
      <c r="AD42" s="1"/>
      <c r="AE42" s="1">
        <f t="shared" si="34"/>
        <v>4800</v>
      </c>
      <c r="AF42" s="1"/>
      <c r="AG42" s="1"/>
      <c r="AH42" s="1"/>
      <c r="AI42" s="1"/>
      <c r="AJ42" s="1"/>
      <c r="AK42" s="1"/>
      <c r="AL42" s="96">
        <f t="shared" si="35"/>
        <v>12632.36</v>
      </c>
      <c r="AM42" s="97">
        <f t="shared" si="36"/>
        <v>75794.16</v>
      </c>
      <c r="AN42" s="21" t="s">
        <v>95</v>
      </c>
      <c r="AO42" s="106" t="s">
        <v>96</v>
      </c>
      <c r="AP42" s="21">
        <f t="shared" si="37"/>
        <v>37897.08</v>
      </c>
      <c r="AQ42" s="21">
        <f t="shared" si="38"/>
        <v>37897.08</v>
      </c>
      <c r="AR42" s="21"/>
      <c r="AS42" s="21"/>
      <c r="AT42" s="21"/>
      <c r="AU42" s="21"/>
      <c r="AV42" s="21"/>
      <c r="AW42" s="22">
        <v>2006</v>
      </c>
      <c r="AX42" s="24">
        <v>2018</v>
      </c>
      <c r="AY42" s="24"/>
      <c r="AZ42" s="37"/>
      <c r="BA42" s="21" t="s">
        <v>111</v>
      </c>
      <c r="BB42" s="3">
        <v>3</v>
      </c>
    </row>
    <row r="43" s="3" customFormat="1" ht="16.5" customHeight="1" spans="1:54">
      <c r="A43" s="12"/>
      <c r="B43" s="12" t="s">
        <v>144</v>
      </c>
      <c r="C43" s="33"/>
      <c r="D43" s="95">
        <v>120.56</v>
      </c>
      <c r="E43" s="34">
        <v>4</v>
      </c>
      <c r="F43" s="15">
        <v>1003.30032</v>
      </c>
      <c r="G43" s="18">
        <v>12</v>
      </c>
      <c r="H43" s="1">
        <v>0</v>
      </c>
      <c r="I43" s="1">
        <v>16</v>
      </c>
      <c r="J43" s="1">
        <v>2</v>
      </c>
      <c r="K43" s="1"/>
      <c r="L43" s="36">
        <v>0.5</v>
      </c>
      <c r="M43" s="1"/>
      <c r="N43" s="1">
        <f t="shared" si="24"/>
        <v>900</v>
      </c>
      <c r="O43" s="19">
        <f t="shared" si="25"/>
        <v>3616.8</v>
      </c>
      <c r="P43" s="1">
        <f t="shared" si="11"/>
        <v>800</v>
      </c>
      <c r="Q43" s="1">
        <f t="shared" si="26"/>
        <v>10800</v>
      </c>
      <c r="R43" s="1">
        <f t="shared" si="27"/>
        <v>3240</v>
      </c>
      <c r="S43" s="1">
        <f t="shared" si="28"/>
        <v>520</v>
      </c>
      <c r="T43" s="1">
        <f t="shared" si="29"/>
        <v>16200</v>
      </c>
      <c r="U43" s="1">
        <f t="shared" si="30"/>
        <v>1800</v>
      </c>
      <c r="V43" s="1">
        <f t="shared" si="31"/>
        <v>1800</v>
      </c>
      <c r="W43" s="1">
        <f t="shared" si="32"/>
        <v>1200</v>
      </c>
      <c r="X43" s="1">
        <f t="shared" si="33"/>
        <v>570</v>
      </c>
      <c r="Y43" s="1"/>
      <c r="Z43" s="1"/>
      <c r="AA43" s="1">
        <v>15000</v>
      </c>
      <c r="AB43" s="1"/>
      <c r="AC43" s="1"/>
      <c r="AD43" s="1"/>
      <c r="AE43" s="1">
        <f t="shared" si="34"/>
        <v>4800</v>
      </c>
      <c r="AF43" s="1"/>
      <c r="AG43" s="1"/>
      <c r="AH43" s="1"/>
      <c r="AI43" s="1"/>
      <c r="AJ43" s="1"/>
      <c r="AK43" s="1"/>
      <c r="AL43" s="96">
        <f t="shared" si="35"/>
        <v>12249.36</v>
      </c>
      <c r="AM43" s="97">
        <f t="shared" si="36"/>
        <v>73496.16</v>
      </c>
      <c r="AN43" s="21" t="s">
        <v>95</v>
      </c>
      <c r="AO43" s="106" t="s">
        <v>96</v>
      </c>
      <c r="AP43" s="21">
        <f t="shared" si="37"/>
        <v>36748.08</v>
      </c>
      <c r="AQ43" s="21">
        <f t="shared" si="38"/>
        <v>36748.08</v>
      </c>
      <c r="AR43" s="21"/>
      <c r="AS43" s="21"/>
      <c r="AT43" s="21"/>
      <c r="AU43" s="21"/>
      <c r="AV43" s="21"/>
      <c r="AW43" s="22">
        <v>2006</v>
      </c>
      <c r="AX43" s="24">
        <v>2018</v>
      </c>
      <c r="AY43" s="24"/>
      <c r="AZ43" s="37"/>
      <c r="BA43" s="21" t="s">
        <v>111</v>
      </c>
      <c r="BB43" s="3">
        <v>3</v>
      </c>
    </row>
    <row r="44" s="3" customFormat="1" ht="16.5" customHeight="1" spans="1:54">
      <c r="A44" s="12"/>
      <c r="B44" s="12" t="s">
        <v>145</v>
      </c>
      <c r="C44" s="33"/>
      <c r="D44" s="95">
        <v>180.262</v>
      </c>
      <c r="E44" s="34">
        <v>5</v>
      </c>
      <c r="F44" s="15">
        <v>1558.184728</v>
      </c>
      <c r="G44" s="18">
        <v>12</v>
      </c>
      <c r="H44" s="1">
        <v>0</v>
      </c>
      <c r="I44" s="1">
        <v>16</v>
      </c>
      <c r="J44" s="1">
        <v>2</v>
      </c>
      <c r="K44" s="1"/>
      <c r="L44" s="36">
        <v>0.5</v>
      </c>
      <c r="M44" s="1"/>
      <c r="N44" s="1">
        <f t="shared" si="24"/>
        <v>900</v>
      </c>
      <c r="O44" s="19">
        <f t="shared" si="25"/>
        <v>5407.86</v>
      </c>
      <c r="P44" s="1">
        <f t="shared" si="11"/>
        <v>800</v>
      </c>
      <c r="Q44" s="1">
        <f t="shared" si="26"/>
        <v>10800</v>
      </c>
      <c r="R44" s="1">
        <f t="shared" si="27"/>
        <v>3240</v>
      </c>
      <c r="S44" s="1">
        <f t="shared" si="28"/>
        <v>650</v>
      </c>
      <c r="T44" s="1">
        <f t="shared" si="29"/>
        <v>16200</v>
      </c>
      <c r="U44" s="1">
        <f t="shared" si="30"/>
        <v>1800</v>
      </c>
      <c r="V44" s="1">
        <f t="shared" si="31"/>
        <v>2250</v>
      </c>
      <c r="W44" s="1">
        <f t="shared" si="32"/>
        <v>1500</v>
      </c>
      <c r="X44" s="1">
        <f t="shared" si="33"/>
        <v>720</v>
      </c>
      <c r="Y44" s="1"/>
      <c r="Z44" s="1"/>
      <c r="AA44" s="1">
        <v>15000</v>
      </c>
      <c r="AB44" s="1"/>
      <c r="AC44" s="1"/>
      <c r="AD44" s="1"/>
      <c r="AE44" s="1">
        <f t="shared" si="34"/>
        <v>4800</v>
      </c>
      <c r="AF44" s="1"/>
      <c r="AG44" s="1"/>
      <c r="AH44" s="1"/>
      <c r="AI44" s="1"/>
      <c r="AJ44" s="1"/>
      <c r="AK44" s="1"/>
      <c r="AL44" s="96">
        <f t="shared" si="35"/>
        <v>12813.572</v>
      </c>
      <c r="AM44" s="97">
        <f t="shared" si="36"/>
        <v>76881.432</v>
      </c>
      <c r="AN44" s="21" t="s">
        <v>95</v>
      </c>
      <c r="AO44" s="106" t="s">
        <v>96</v>
      </c>
      <c r="AP44" s="21">
        <f t="shared" si="37"/>
        <v>38440.716</v>
      </c>
      <c r="AQ44" s="21">
        <f t="shared" si="38"/>
        <v>38440.716</v>
      </c>
      <c r="AR44" s="21"/>
      <c r="AS44" s="21"/>
      <c r="AT44" s="21"/>
      <c r="AU44" s="21"/>
      <c r="AV44" s="21"/>
      <c r="AW44" s="22">
        <v>2006</v>
      </c>
      <c r="AX44" s="24">
        <v>2018</v>
      </c>
      <c r="AY44" s="24"/>
      <c r="AZ44" s="37"/>
      <c r="BA44" s="21" t="s">
        <v>111</v>
      </c>
      <c r="BB44" s="3">
        <v>3</v>
      </c>
    </row>
    <row r="45" s="3" customFormat="1" ht="16.5" customHeight="1" spans="1:54">
      <c r="A45" s="12"/>
      <c r="B45" s="12" t="s">
        <v>146</v>
      </c>
      <c r="C45" s="33"/>
      <c r="D45" s="95">
        <v>150.56</v>
      </c>
      <c r="E45" s="34">
        <v>5</v>
      </c>
      <c r="F45" s="15">
        <v>1252.96032</v>
      </c>
      <c r="G45" s="18">
        <v>12</v>
      </c>
      <c r="H45" s="1">
        <v>0</v>
      </c>
      <c r="I45" s="1">
        <v>16</v>
      </c>
      <c r="J45" s="1">
        <v>2</v>
      </c>
      <c r="K45" s="1"/>
      <c r="L45" s="36">
        <v>0.5</v>
      </c>
      <c r="M45" s="1"/>
      <c r="N45" s="1">
        <f t="shared" si="24"/>
        <v>900</v>
      </c>
      <c r="O45" s="19">
        <f t="shared" si="25"/>
        <v>4516.8</v>
      </c>
      <c r="P45" s="1">
        <f t="shared" si="11"/>
        <v>800</v>
      </c>
      <c r="Q45" s="1">
        <f t="shared" si="26"/>
        <v>10800</v>
      </c>
      <c r="R45" s="1">
        <f t="shared" si="27"/>
        <v>3240</v>
      </c>
      <c r="S45" s="1">
        <f t="shared" si="28"/>
        <v>650</v>
      </c>
      <c r="T45" s="1">
        <f t="shared" si="29"/>
        <v>16200</v>
      </c>
      <c r="U45" s="1">
        <f t="shared" si="30"/>
        <v>1800</v>
      </c>
      <c r="V45" s="1">
        <f t="shared" si="31"/>
        <v>2250</v>
      </c>
      <c r="W45" s="1">
        <f t="shared" si="32"/>
        <v>1500</v>
      </c>
      <c r="X45" s="1">
        <f t="shared" si="33"/>
        <v>720</v>
      </c>
      <c r="Y45" s="1"/>
      <c r="Z45" s="1"/>
      <c r="AA45" s="1">
        <v>15000</v>
      </c>
      <c r="AB45" s="1"/>
      <c r="AC45" s="1"/>
      <c r="AD45" s="1"/>
      <c r="AE45" s="1">
        <f t="shared" si="34"/>
        <v>4800</v>
      </c>
      <c r="AF45" s="1"/>
      <c r="AG45" s="1"/>
      <c r="AH45" s="1"/>
      <c r="AI45" s="1"/>
      <c r="AJ45" s="1"/>
      <c r="AK45" s="1"/>
      <c r="AL45" s="96">
        <f t="shared" si="35"/>
        <v>12635.36</v>
      </c>
      <c r="AM45" s="97">
        <f t="shared" si="36"/>
        <v>75812.16</v>
      </c>
      <c r="AN45" s="21" t="s">
        <v>95</v>
      </c>
      <c r="AO45" s="106" t="s">
        <v>96</v>
      </c>
      <c r="AP45" s="21">
        <f t="shared" si="37"/>
        <v>37906.08</v>
      </c>
      <c r="AQ45" s="21">
        <f t="shared" si="38"/>
        <v>37906.08</v>
      </c>
      <c r="AR45" s="21"/>
      <c r="AS45" s="21"/>
      <c r="AT45" s="21"/>
      <c r="AU45" s="21"/>
      <c r="AV45" s="21"/>
      <c r="AW45" s="22">
        <v>2006</v>
      </c>
      <c r="AX45" s="24">
        <v>2018</v>
      </c>
      <c r="AY45" s="24"/>
      <c r="AZ45" s="37"/>
      <c r="BA45" s="21" t="s">
        <v>111</v>
      </c>
      <c r="BB45" s="3">
        <v>3</v>
      </c>
    </row>
    <row r="46" s="3" customFormat="1" ht="16.5" customHeight="1" spans="1:54">
      <c r="A46" s="12"/>
      <c r="B46" s="12" t="s">
        <v>147</v>
      </c>
      <c r="C46" s="33"/>
      <c r="D46" s="95">
        <v>150.56</v>
      </c>
      <c r="E46" s="34">
        <v>5</v>
      </c>
      <c r="F46" s="15">
        <v>1252.96032</v>
      </c>
      <c r="G46" s="18">
        <v>12</v>
      </c>
      <c r="H46" s="1">
        <v>0</v>
      </c>
      <c r="I46" s="1">
        <v>16</v>
      </c>
      <c r="J46" s="1">
        <v>2</v>
      </c>
      <c r="K46" s="1"/>
      <c r="L46" s="36">
        <v>0.5</v>
      </c>
      <c r="M46" s="1"/>
      <c r="N46" s="1">
        <f t="shared" si="24"/>
        <v>900</v>
      </c>
      <c r="O46" s="19">
        <f t="shared" si="25"/>
        <v>4516.8</v>
      </c>
      <c r="P46" s="1">
        <f t="shared" si="11"/>
        <v>800</v>
      </c>
      <c r="Q46" s="1">
        <f t="shared" si="26"/>
        <v>10800</v>
      </c>
      <c r="R46" s="1">
        <f t="shared" si="27"/>
        <v>3240</v>
      </c>
      <c r="S46" s="1">
        <f t="shared" si="28"/>
        <v>650</v>
      </c>
      <c r="T46" s="1">
        <f t="shared" si="29"/>
        <v>16200</v>
      </c>
      <c r="U46" s="1">
        <f t="shared" si="30"/>
        <v>1800</v>
      </c>
      <c r="V46" s="1">
        <f t="shared" si="31"/>
        <v>2250</v>
      </c>
      <c r="W46" s="1">
        <f t="shared" si="32"/>
        <v>1500</v>
      </c>
      <c r="X46" s="1">
        <f t="shared" si="33"/>
        <v>720</v>
      </c>
      <c r="Y46" s="1"/>
      <c r="Z46" s="1"/>
      <c r="AA46" s="1">
        <v>15000</v>
      </c>
      <c r="AB46" s="1"/>
      <c r="AC46" s="1"/>
      <c r="AD46" s="1"/>
      <c r="AE46" s="1">
        <f t="shared" si="34"/>
        <v>4800</v>
      </c>
      <c r="AF46" s="1"/>
      <c r="AG46" s="1"/>
      <c r="AH46" s="1"/>
      <c r="AI46" s="1"/>
      <c r="AJ46" s="1"/>
      <c r="AK46" s="1"/>
      <c r="AL46" s="96">
        <f t="shared" si="35"/>
        <v>12635.36</v>
      </c>
      <c r="AM46" s="97">
        <f t="shared" si="36"/>
        <v>75812.16</v>
      </c>
      <c r="AN46" s="21" t="s">
        <v>95</v>
      </c>
      <c r="AO46" s="106" t="s">
        <v>96</v>
      </c>
      <c r="AP46" s="21">
        <f t="shared" si="37"/>
        <v>37906.08</v>
      </c>
      <c r="AQ46" s="21">
        <f t="shared" si="38"/>
        <v>37906.08</v>
      </c>
      <c r="AR46" s="21"/>
      <c r="AS46" s="21"/>
      <c r="AT46" s="21"/>
      <c r="AU46" s="21"/>
      <c r="AV46" s="21"/>
      <c r="AW46" s="22">
        <v>2006</v>
      </c>
      <c r="AX46" s="24">
        <v>2018</v>
      </c>
      <c r="AY46" s="24"/>
      <c r="AZ46" s="37"/>
      <c r="BA46" s="21" t="s">
        <v>111</v>
      </c>
      <c r="BB46" s="3">
        <v>3</v>
      </c>
    </row>
    <row r="47" s="3" customFormat="1" ht="16.5" customHeight="1" spans="1:54">
      <c r="A47" s="12"/>
      <c r="B47" s="12" t="s">
        <v>148</v>
      </c>
      <c r="C47" s="33"/>
      <c r="D47" s="95">
        <v>150.56</v>
      </c>
      <c r="E47" s="34">
        <v>5</v>
      </c>
      <c r="F47" s="15">
        <v>1252.96032</v>
      </c>
      <c r="G47" s="18">
        <v>12</v>
      </c>
      <c r="H47" s="1">
        <v>0</v>
      </c>
      <c r="I47" s="1">
        <v>16</v>
      </c>
      <c r="J47" s="1">
        <v>2</v>
      </c>
      <c r="K47" s="1"/>
      <c r="L47" s="36">
        <v>0.5</v>
      </c>
      <c r="M47" s="1"/>
      <c r="N47" s="1">
        <f t="shared" si="24"/>
        <v>900</v>
      </c>
      <c r="O47" s="19">
        <f t="shared" si="25"/>
        <v>4516.8</v>
      </c>
      <c r="P47" s="1">
        <f t="shared" si="11"/>
        <v>800</v>
      </c>
      <c r="Q47" s="1">
        <f t="shared" si="26"/>
        <v>10800</v>
      </c>
      <c r="R47" s="1">
        <f t="shared" si="27"/>
        <v>3240</v>
      </c>
      <c r="S47" s="1">
        <f t="shared" si="28"/>
        <v>650</v>
      </c>
      <c r="T47" s="1">
        <f t="shared" si="29"/>
        <v>16200</v>
      </c>
      <c r="U47" s="1">
        <f t="shared" si="30"/>
        <v>1800</v>
      </c>
      <c r="V47" s="1">
        <f t="shared" si="31"/>
        <v>2250</v>
      </c>
      <c r="W47" s="1">
        <f t="shared" si="32"/>
        <v>1500</v>
      </c>
      <c r="X47" s="1">
        <f t="shared" si="33"/>
        <v>720</v>
      </c>
      <c r="Y47" s="1"/>
      <c r="Z47" s="1"/>
      <c r="AA47" s="1">
        <v>15000</v>
      </c>
      <c r="AB47" s="1"/>
      <c r="AC47" s="1"/>
      <c r="AD47" s="1"/>
      <c r="AE47" s="1">
        <f t="shared" si="34"/>
        <v>4800</v>
      </c>
      <c r="AF47" s="1"/>
      <c r="AG47" s="1"/>
      <c r="AH47" s="1"/>
      <c r="AI47" s="1"/>
      <c r="AJ47" s="1"/>
      <c r="AK47" s="1"/>
      <c r="AL47" s="96">
        <f t="shared" si="35"/>
        <v>12635.36</v>
      </c>
      <c r="AM47" s="97">
        <f t="shared" si="36"/>
        <v>75812.16</v>
      </c>
      <c r="AN47" s="21" t="s">
        <v>95</v>
      </c>
      <c r="AO47" s="106" t="s">
        <v>96</v>
      </c>
      <c r="AP47" s="21">
        <f t="shared" si="37"/>
        <v>37906.08</v>
      </c>
      <c r="AQ47" s="21">
        <f t="shared" si="38"/>
        <v>37906.08</v>
      </c>
      <c r="AR47" s="21"/>
      <c r="AS47" s="21"/>
      <c r="AT47" s="21"/>
      <c r="AU47" s="21"/>
      <c r="AV47" s="21"/>
      <c r="AW47" s="22">
        <v>2006</v>
      </c>
      <c r="AX47" s="24">
        <v>2018</v>
      </c>
      <c r="AY47" s="24"/>
      <c r="AZ47" s="37"/>
      <c r="BA47" s="21" t="s">
        <v>111</v>
      </c>
      <c r="BB47" s="3">
        <v>3</v>
      </c>
    </row>
    <row r="48" s="3" customFormat="1" ht="16.5" customHeight="1" spans="1:54">
      <c r="A48" s="12"/>
      <c r="B48" s="12" t="s">
        <v>149</v>
      </c>
      <c r="C48" s="33"/>
      <c r="D48" s="95">
        <v>150.56</v>
      </c>
      <c r="E48" s="34">
        <v>5</v>
      </c>
      <c r="F48" s="15">
        <v>1252.96032</v>
      </c>
      <c r="G48" s="18">
        <v>12</v>
      </c>
      <c r="H48" s="1">
        <v>0</v>
      </c>
      <c r="I48" s="1">
        <v>16</v>
      </c>
      <c r="J48" s="1">
        <v>2</v>
      </c>
      <c r="K48" s="1"/>
      <c r="L48" s="36">
        <v>0.5</v>
      </c>
      <c r="M48" s="1"/>
      <c r="N48" s="1">
        <f t="shared" si="24"/>
        <v>900</v>
      </c>
      <c r="O48" s="19">
        <f t="shared" si="25"/>
        <v>4516.8</v>
      </c>
      <c r="P48" s="1">
        <f t="shared" si="11"/>
        <v>800</v>
      </c>
      <c r="Q48" s="1">
        <f t="shared" si="26"/>
        <v>10800</v>
      </c>
      <c r="R48" s="1">
        <f t="shared" si="27"/>
        <v>3240</v>
      </c>
      <c r="S48" s="1">
        <f t="shared" si="28"/>
        <v>650</v>
      </c>
      <c r="T48" s="1">
        <f t="shared" si="29"/>
        <v>16200</v>
      </c>
      <c r="U48" s="1">
        <f t="shared" si="30"/>
        <v>1800</v>
      </c>
      <c r="V48" s="1">
        <f t="shared" si="31"/>
        <v>2250</v>
      </c>
      <c r="W48" s="1">
        <f t="shared" si="32"/>
        <v>1500</v>
      </c>
      <c r="X48" s="1">
        <f t="shared" si="33"/>
        <v>720</v>
      </c>
      <c r="Y48" s="1"/>
      <c r="Z48" s="1"/>
      <c r="AA48" s="1">
        <v>15000</v>
      </c>
      <c r="AB48" s="1"/>
      <c r="AC48" s="1"/>
      <c r="AD48" s="1"/>
      <c r="AE48" s="1">
        <f t="shared" si="34"/>
        <v>4800</v>
      </c>
      <c r="AF48" s="1"/>
      <c r="AG48" s="1"/>
      <c r="AH48" s="1"/>
      <c r="AI48" s="1"/>
      <c r="AJ48" s="1"/>
      <c r="AK48" s="1"/>
      <c r="AL48" s="96">
        <f t="shared" si="35"/>
        <v>12635.36</v>
      </c>
      <c r="AM48" s="97">
        <f t="shared" si="36"/>
        <v>75812.16</v>
      </c>
      <c r="AN48" s="21" t="s">
        <v>95</v>
      </c>
      <c r="AO48" s="106" t="s">
        <v>96</v>
      </c>
      <c r="AP48" s="21">
        <f t="shared" si="37"/>
        <v>37906.08</v>
      </c>
      <c r="AQ48" s="21">
        <f t="shared" si="38"/>
        <v>37906.08</v>
      </c>
      <c r="AR48" s="21"/>
      <c r="AS48" s="21"/>
      <c r="AT48" s="21"/>
      <c r="AU48" s="21"/>
      <c r="AV48" s="21"/>
      <c r="AW48" s="22">
        <v>2006</v>
      </c>
      <c r="AX48" s="24">
        <v>2018</v>
      </c>
      <c r="AY48" s="24"/>
      <c r="AZ48" s="37"/>
      <c r="BA48" s="21" t="s">
        <v>111</v>
      </c>
      <c r="BB48" s="3">
        <v>3</v>
      </c>
    </row>
    <row r="49" s="3" customFormat="1" ht="16.5" customHeight="1" spans="1:54">
      <c r="A49" s="12"/>
      <c r="B49" s="24" t="s">
        <v>150</v>
      </c>
      <c r="C49" s="33"/>
      <c r="D49" s="95">
        <f>1569.33+1439.93+1898.855</f>
        <v>4908.115</v>
      </c>
      <c r="E49" s="34">
        <v>158</v>
      </c>
      <c r="F49" s="15">
        <v>193611.22</v>
      </c>
      <c r="G49" s="18">
        <v>270</v>
      </c>
      <c r="H49" s="1">
        <v>0</v>
      </c>
      <c r="I49" s="1">
        <v>812</v>
      </c>
      <c r="J49" s="1">
        <v>46</v>
      </c>
      <c r="K49" s="1"/>
      <c r="L49" s="36">
        <v>7</v>
      </c>
      <c r="M49" s="1">
        <f>8500*7</f>
        <v>59500</v>
      </c>
      <c r="N49" s="1"/>
      <c r="O49" s="19">
        <f>D49*25</f>
        <v>122702.875</v>
      </c>
      <c r="P49" s="1">
        <f t="shared" si="11"/>
        <v>40600</v>
      </c>
      <c r="Q49" s="1">
        <f t="shared" si="26"/>
        <v>243000</v>
      </c>
      <c r="R49" s="1">
        <f t="shared" si="27"/>
        <v>72900</v>
      </c>
      <c r="S49" s="1">
        <f t="shared" si="28"/>
        <v>20540</v>
      </c>
      <c r="T49" s="1">
        <f t="shared" si="29"/>
        <v>364500</v>
      </c>
      <c r="U49" s="1">
        <f t="shared" si="30"/>
        <v>40500</v>
      </c>
      <c r="V49" s="1">
        <f t="shared" si="31"/>
        <v>71100</v>
      </c>
      <c r="W49" s="1">
        <f t="shared" si="32"/>
        <v>47400</v>
      </c>
      <c r="X49" s="1">
        <f t="shared" si="33"/>
        <v>23670</v>
      </c>
      <c r="Y49" s="1"/>
      <c r="Z49" s="1"/>
      <c r="AA49" s="1">
        <v>30000</v>
      </c>
      <c r="AB49" s="1"/>
      <c r="AC49" s="1"/>
      <c r="AD49" s="1"/>
      <c r="AE49" s="1">
        <f>1200*6</f>
        <v>7200</v>
      </c>
      <c r="AF49" s="1"/>
      <c r="AG49" s="1"/>
      <c r="AH49" s="1"/>
      <c r="AI49" s="1"/>
      <c r="AJ49" s="1"/>
      <c r="AK49" s="1"/>
      <c r="AL49" s="96">
        <f t="shared" si="35"/>
        <v>228722.575</v>
      </c>
      <c r="AM49" s="97">
        <f t="shared" si="36"/>
        <v>1372335.45</v>
      </c>
      <c r="AN49" s="21" t="s">
        <v>95</v>
      </c>
      <c r="AO49" s="106" t="s">
        <v>96</v>
      </c>
      <c r="AP49" s="21">
        <f t="shared" si="37"/>
        <v>686167.725</v>
      </c>
      <c r="AQ49" s="21">
        <f t="shared" si="38"/>
        <v>686167.725</v>
      </c>
      <c r="AR49" s="21"/>
      <c r="AS49" s="21"/>
      <c r="AT49" s="21"/>
      <c r="AU49" s="21"/>
      <c r="AV49" s="21"/>
      <c r="AW49" s="22">
        <v>2006</v>
      </c>
      <c r="AX49" s="24">
        <v>2018</v>
      </c>
      <c r="AY49" s="24"/>
      <c r="AZ49" s="38"/>
      <c r="BA49" s="21" t="s">
        <v>111</v>
      </c>
      <c r="BB49" s="3">
        <v>3</v>
      </c>
    </row>
    <row r="50" s="3" customFormat="1" ht="16.5" customHeight="1" spans="1:54">
      <c r="A50" s="114">
        <f>A39+1</f>
        <v>14</v>
      </c>
      <c r="B50" s="111" t="s">
        <v>151</v>
      </c>
      <c r="C50" s="14" t="s">
        <v>94</v>
      </c>
      <c r="D50" s="99">
        <f>(1417+846+1099.6)+143.25</f>
        <v>3505.85</v>
      </c>
      <c r="E50" s="34">
        <v>102</v>
      </c>
      <c r="F50" s="15">
        <v>90745.875</v>
      </c>
      <c r="G50" s="107">
        <v>39</v>
      </c>
      <c r="H50" s="31">
        <v>31</v>
      </c>
      <c r="I50" s="31">
        <v>0</v>
      </c>
      <c r="J50" s="31">
        <v>262</v>
      </c>
      <c r="K50" s="31"/>
      <c r="L50" s="31">
        <v>3</v>
      </c>
      <c r="M50" s="31"/>
      <c r="N50" s="31">
        <f t="shared" ref="N50:N60" si="39">1800*L50</f>
        <v>5400</v>
      </c>
      <c r="O50" s="39">
        <f>D50*25</f>
        <v>87646.25</v>
      </c>
      <c r="P50" s="31">
        <f t="shared" si="11"/>
        <v>620</v>
      </c>
      <c r="Q50" s="31">
        <f t="shared" si="26"/>
        <v>35100</v>
      </c>
      <c r="R50" s="31">
        <f t="shared" si="27"/>
        <v>10530</v>
      </c>
      <c r="S50" s="31">
        <f t="shared" si="28"/>
        <v>13260</v>
      </c>
      <c r="T50" s="31">
        <f t="shared" si="29"/>
        <v>52650</v>
      </c>
      <c r="U50" s="31">
        <f t="shared" si="30"/>
        <v>5850</v>
      </c>
      <c r="V50" s="31">
        <f t="shared" si="31"/>
        <v>45900</v>
      </c>
      <c r="W50" s="31">
        <f t="shared" ref="W50:W60" si="40">E50*30*10</f>
        <v>30600</v>
      </c>
      <c r="X50" s="31">
        <f>1020*30</f>
        <v>30600</v>
      </c>
      <c r="Y50" s="31"/>
      <c r="Z50" s="31"/>
      <c r="AA50" s="31">
        <v>30000</v>
      </c>
      <c r="AB50" s="31"/>
      <c r="AC50" s="31"/>
      <c r="AD50" s="31"/>
      <c r="AE50" s="31">
        <f t="shared" ref="AE50:AE60" si="41">6*1200</f>
        <v>7200</v>
      </c>
      <c r="AF50" s="31"/>
      <c r="AG50" s="31"/>
      <c r="AH50" s="31"/>
      <c r="AI50" s="31"/>
      <c r="AJ50" s="31"/>
      <c r="AK50" s="31"/>
      <c r="AL50" s="108">
        <f t="shared" si="35"/>
        <v>71071.25</v>
      </c>
      <c r="AM50" s="112">
        <f t="shared" si="36"/>
        <v>426427.5</v>
      </c>
      <c r="AN50" s="21" t="s">
        <v>95</v>
      </c>
      <c r="AO50" s="106" t="s">
        <v>152</v>
      </c>
      <c r="AP50" s="21">
        <f t="shared" ref="AP50:AP60" si="42">AM50*5/8</f>
        <v>266517.1875</v>
      </c>
      <c r="AQ50" s="21">
        <f t="shared" ref="AQ50:AQ60" si="43">AM50*3/8</f>
        <v>159910.3125</v>
      </c>
      <c r="AR50" s="21"/>
      <c r="AS50" s="21"/>
      <c r="AT50" s="21"/>
      <c r="AU50" s="21"/>
      <c r="AV50" s="21"/>
      <c r="AW50" s="32" t="s">
        <v>97</v>
      </c>
      <c r="AX50" s="23" t="s">
        <v>109</v>
      </c>
      <c r="AY50" s="24"/>
      <c r="AZ50" s="35" t="s">
        <v>110</v>
      </c>
      <c r="BA50" s="21" t="s">
        <v>111</v>
      </c>
      <c r="BB50" s="3">
        <v>3</v>
      </c>
    </row>
    <row r="51" s="3" customFormat="1" ht="16.5" customHeight="1" spans="1:54">
      <c r="A51" s="114"/>
      <c r="B51" s="13" t="s">
        <v>153</v>
      </c>
      <c r="C51" s="14"/>
      <c r="D51" s="99">
        <v>296.024</v>
      </c>
      <c r="E51" s="34">
        <v>8</v>
      </c>
      <c r="F51" s="15">
        <v>2347.6</v>
      </c>
      <c r="G51" s="107">
        <v>4</v>
      </c>
      <c r="H51" s="31">
        <v>0</v>
      </c>
      <c r="I51" s="31">
        <v>22</v>
      </c>
      <c r="J51" s="31">
        <v>3</v>
      </c>
      <c r="K51" s="31"/>
      <c r="L51" s="31">
        <v>1</v>
      </c>
      <c r="M51" s="31"/>
      <c r="N51" s="31">
        <f t="shared" si="39"/>
        <v>1800</v>
      </c>
      <c r="O51" s="39">
        <f t="shared" ref="O51:O60" si="44">D51*30</f>
        <v>8880.72</v>
      </c>
      <c r="P51" s="31">
        <f t="shared" si="11"/>
        <v>1100</v>
      </c>
      <c r="Q51" s="31">
        <f t="shared" si="26"/>
        <v>3600</v>
      </c>
      <c r="R51" s="31">
        <f t="shared" si="27"/>
        <v>1080</v>
      </c>
      <c r="S51" s="31">
        <f t="shared" si="28"/>
        <v>1040</v>
      </c>
      <c r="T51" s="31">
        <f t="shared" si="29"/>
        <v>5400</v>
      </c>
      <c r="U51" s="31">
        <f t="shared" si="30"/>
        <v>600</v>
      </c>
      <c r="V51" s="31">
        <f t="shared" si="31"/>
        <v>3600</v>
      </c>
      <c r="W51" s="31">
        <f t="shared" si="40"/>
        <v>2400</v>
      </c>
      <c r="X51" s="31">
        <f>80*30</f>
        <v>2400</v>
      </c>
      <c r="Y51" s="31"/>
      <c r="Z51" s="31"/>
      <c r="AA51" s="31">
        <v>15000</v>
      </c>
      <c r="AB51" s="31"/>
      <c r="AC51" s="31"/>
      <c r="AD51" s="31"/>
      <c r="AE51" s="31">
        <f t="shared" si="41"/>
        <v>7200</v>
      </c>
      <c r="AF51" s="31"/>
      <c r="AG51" s="31"/>
      <c r="AH51" s="31"/>
      <c r="AI51" s="31"/>
      <c r="AJ51" s="31"/>
      <c r="AK51" s="31"/>
      <c r="AL51" s="108">
        <f t="shared" si="35"/>
        <v>10820.144</v>
      </c>
      <c r="AM51" s="112">
        <f t="shared" si="36"/>
        <v>64920.864</v>
      </c>
      <c r="AN51" s="21" t="s">
        <v>95</v>
      </c>
      <c r="AO51" s="106" t="s">
        <v>152</v>
      </c>
      <c r="AP51" s="21">
        <f t="shared" si="42"/>
        <v>40575.54</v>
      </c>
      <c r="AQ51" s="21">
        <f t="shared" si="43"/>
        <v>24345.324</v>
      </c>
      <c r="AR51" s="21"/>
      <c r="AS51" s="21"/>
      <c r="AT51" s="21"/>
      <c r="AU51" s="21"/>
      <c r="AV51" s="21"/>
      <c r="AW51" s="32" t="s">
        <v>97</v>
      </c>
      <c r="AX51" s="23" t="s">
        <v>109</v>
      </c>
      <c r="AY51" s="24"/>
      <c r="AZ51" s="37"/>
      <c r="BA51" s="21" t="s">
        <v>111</v>
      </c>
      <c r="BB51" s="3">
        <v>3</v>
      </c>
    </row>
    <row r="52" s="3" customFormat="1" ht="16.5" customHeight="1" spans="1:54">
      <c r="A52" s="114"/>
      <c r="B52" s="13" t="s">
        <v>154</v>
      </c>
      <c r="C52" s="14"/>
      <c r="D52" s="99">
        <v>536.727</v>
      </c>
      <c r="E52" s="34">
        <v>18</v>
      </c>
      <c r="F52" s="15">
        <v>4293.816</v>
      </c>
      <c r="G52" s="107">
        <v>8</v>
      </c>
      <c r="H52" s="31">
        <v>0</v>
      </c>
      <c r="I52" s="31">
        <v>46</v>
      </c>
      <c r="J52" s="31">
        <v>6</v>
      </c>
      <c r="K52" s="31"/>
      <c r="L52" s="31">
        <v>1</v>
      </c>
      <c r="M52" s="31"/>
      <c r="N52" s="31">
        <f t="shared" si="39"/>
        <v>1800</v>
      </c>
      <c r="O52" s="39">
        <f t="shared" si="44"/>
        <v>16101.81</v>
      </c>
      <c r="P52" s="31">
        <f t="shared" si="11"/>
        <v>2300</v>
      </c>
      <c r="Q52" s="31">
        <f t="shared" si="26"/>
        <v>7200</v>
      </c>
      <c r="R52" s="31">
        <f t="shared" si="27"/>
        <v>2160</v>
      </c>
      <c r="S52" s="31">
        <f t="shared" si="28"/>
        <v>2340</v>
      </c>
      <c r="T52" s="31">
        <f t="shared" si="29"/>
        <v>10800</v>
      </c>
      <c r="U52" s="31">
        <f t="shared" si="30"/>
        <v>1200</v>
      </c>
      <c r="V52" s="31">
        <f t="shared" si="31"/>
        <v>8100</v>
      </c>
      <c r="W52" s="31">
        <f t="shared" si="40"/>
        <v>5400</v>
      </c>
      <c r="X52" s="31">
        <f>1080*30</f>
        <v>32400</v>
      </c>
      <c r="Y52" s="31"/>
      <c r="Z52" s="31"/>
      <c r="AA52" s="31">
        <v>15000</v>
      </c>
      <c r="AB52" s="31"/>
      <c r="AC52" s="31"/>
      <c r="AD52" s="31"/>
      <c r="AE52" s="31">
        <f t="shared" si="41"/>
        <v>7200</v>
      </c>
      <c r="AF52" s="31"/>
      <c r="AG52" s="31"/>
      <c r="AH52" s="31"/>
      <c r="AI52" s="31"/>
      <c r="AJ52" s="31"/>
      <c r="AK52" s="31"/>
      <c r="AL52" s="108">
        <f t="shared" si="35"/>
        <v>22400.362</v>
      </c>
      <c r="AM52" s="112">
        <f t="shared" si="36"/>
        <v>134402.172</v>
      </c>
      <c r="AN52" s="21" t="s">
        <v>95</v>
      </c>
      <c r="AO52" s="106" t="s">
        <v>152</v>
      </c>
      <c r="AP52" s="21">
        <f t="shared" si="42"/>
        <v>84001.3575</v>
      </c>
      <c r="AQ52" s="21">
        <f t="shared" si="43"/>
        <v>50400.8145</v>
      </c>
      <c r="AR52" s="21"/>
      <c r="AS52" s="21"/>
      <c r="AT52" s="21"/>
      <c r="AU52" s="21"/>
      <c r="AV52" s="21"/>
      <c r="AW52" s="32" t="s">
        <v>97</v>
      </c>
      <c r="AX52" s="23" t="s">
        <v>109</v>
      </c>
      <c r="AY52" s="24"/>
      <c r="AZ52" s="37"/>
      <c r="BA52" s="21" t="s">
        <v>111</v>
      </c>
      <c r="BB52" s="3">
        <v>3</v>
      </c>
    </row>
    <row r="53" s="3" customFormat="1" ht="16.5" customHeight="1" spans="1:54">
      <c r="A53" s="114"/>
      <c r="B53" s="13" t="s">
        <v>155</v>
      </c>
      <c r="C53" s="14"/>
      <c r="D53" s="99">
        <v>353.869</v>
      </c>
      <c r="E53" s="34">
        <v>9</v>
      </c>
      <c r="F53" s="15">
        <v>2830.952</v>
      </c>
      <c r="G53" s="107">
        <v>5</v>
      </c>
      <c r="H53" s="31">
        <v>0</v>
      </c>
      <c r="I53" s="31">
        <v>24</v>
      </c>
      <c r="J53" s="31">
        <v>4</v>
      </c>
      <c r="K53" s="31"/>
      <c r="L53" s="31">
        <v>1</v>
      </c>
      <c r="M53" s="31"/>
      <c r="N53" s="31">
        <f t="shared" si="39"/>
        <v>1800</v>
      </c>
      <c r="O53" s="39">
        <f t="shared" si="44"/>
        <v>10616.07</v>
      </c>
      <c r="P53" s="31">
        <f t="shared" si="11"/>
        <v>1200</v>
      </c>
      <c r="Q53" s="31">
        <f t="shared" si="26"/>
        <v>4500</v>
      </c>
      <c r="R53" s="31">
        <f t="shared" si="27"/>
        <v>1350</v>
      </c>
      <c r="S53" s="31">
        <f t="shared" si="28"/>
        <v>1170</v>
      </c>
      <c r="T53" s="31">
        <f t="shared" si="29"/>
        <v>6750</v>
      </c>
      <c r="U53" s="31">
        <f t="shared" si="30"/>
        <v>750</v>
      </c>
      <c r="V53" s="31">
        <f t="shared" si="31"/>
        <v>4050</v>
      </c>
      <c r="W53" s="31">
        <f t="shared" si="40"/>
        <v>2700</v>
      </c>
      <c r="X53" s="31">
        <f>90*30</f>
        <v>2700</v>
      </c>
      <c r="Y53" s="31"/>
      <c r="Z53" s="31"/>
      <c r="AA53" s="31">
        <v>15000</v>
      </c>
      <c r="AB53" s="31"/>
      <c r="AC53" s="31"/>
      <c r="AD53" s="31"/>
      <c r="AE53" s="31">
        <f t="shared" si="41"/>
        <v>7200</v>
      </c>
      <c r="AF53" s="31"/>
      <c r="AG53" s="31"/>
      <c r="AH53" s="31"/>
      <c r="AI53" s="31"/>
      <c r="AJ53" s="31"/>
      <c r="AK53" s="31"/>
      <c r="AL53" s="108">
        <f t="shared" si="35"/>
        <v>11957.214</v>
      </c>
      <c r="AM53" s="112">
        <f t="shared" si="36"/>
        <v>71743.284</v>
      </c>
      <c r="AN53" s="21" t="s">
        <v>95</v>
      </c>
      <c r="AO53" s="106" t="s">
        <v>152</v>
      </c>
      <c r="AP53" s="21">
        <f t="shared" si="42"/>
        <v>44839.5525</v>
      </c>
      <c r="AQ53" s="21">
        <f t="shared" si="43"/>
        <v>26903.7315</v>
      </c>
      <c r="AR53" s="21"/>
      <c r="AS53" s="21"/>
      <c r="AT53" s="21"/>
      <c r="AU53" s="21"/>
      <c r="AV53" s="21"/>
      <c r="AW53" s="32" t="s">
        <v>97</v>
      </c>
      <c r="AX53" s="23" t="s">
        <v>109</v>
      </c>
      <c r="AY53" s="24"/>
      <c r="AZ53" s="37"/>
      <c r="BA53" s="21" t="s">
        <v>111</v>
      </c>
      <c r="BB53" s="3">
        <v>3</v>
      </c>
    </row>
    <row r="54" s="3" customFormat="1" ht="16.5" customHeight="1" spans="1:54">
      <c r="A54" s="114"/>
      <c r="B54" s="13" t="s">
        <v>156</v>
      </c>
      <c r="C54" s="14"/>
      <c r="D54" s="99">
        <v>275.274</v>
      </c>
      <c r="E54" s="34">
        <v>5</v>
      </c>
      <c r="F54" s="15">
        <v>2202.192</v>
      </c>
      <c r="G54" s="107">
        <v>3</v>
      </c>
      <c r="H54" s="31">
        <v>0</v>
      </c>
      <c r="I54" s="31">
        <v>14</v>
      </c>
      <c r="J54" s="31">
        <v>2</v>
      </c>
      <c r="K54" s="31"/>
      <c r="L54" s="31">
        <v>1</v>
      </c>
      <c r="M54" s="31"/>
      <c r="N54" s="31">
        <f t="shared" si="39"/>
        <v>1800</v>
      </c>
      <c r="O54" s="39">
        <f t="shared" si="44"/>
        <v>8258.22</v>
      </c>
      <c r="P54" s="31">
        <f t="shared" si="11"/>
        <v>700</v>
      </c>
      <c r="Q54" s="31">
        <f t="shared" si="26"/>
        <v>2700</v>
      </c>
      <c r="R54" s="31">
        <f t="shared" si="27"/>
        <v>810</v>
      </c>
      <c r="S54" s="31">
        <f t="shared" si="28"/>
        <v>650</v>
      </c>
      <c r="T54" s="31">
        <f t="shared" si="29"/>
        <v>4050</v>
      </c>
      <c r="U54" s="31">
        <f t="shared" si="30"/>
        <v>450</v>
      </c>
      <c r="V54" s="31">
        <f t="shared" si="31"/>
        <v>2250</v>
      </c>
      <c r="W54" s="31">
        <f t="shared" si="40"/>
        <v>1500</v>
      </c>
      <c r="X54" s="31">
        <f t="shared" ref="X54:X56" si="45">50*30</f>
        <v>1500</v>
      </c>
      <c r="Y54" s="31"/>
      <c r="Z54" s="31"/>
      <c r="AA54" s="31">
        <v>15000</v>
      </c>
      <c r="AB54" s="31"/>
      <c r="AC54" s="31"/>
      <c r="AD54" s="31"/>
      <c r="AE54" s="31">
        <f t="shared" si="41"/>
        <v>7200</v>
      </c>
      <c r="AF54" s="31"/>
      <c r="AG54" s="31"/>
      <c r="AH54" s="31"/>
      <c r="AI54" s="31"/>
      <c r="AJ54" s="31"/>
      <c r="AK54" s="31"/>
      <c r="AL54" s="108">
        <f t="shared" si="35"/>
        <v>9373.644</v>
      </c>
      <c r="AM54" s="112">
        <f t="shared" si="36"/>
        <v>56241.864</v>
      </c>
      <c r="AN54" s="21" t="s">
        <v>95</v>
      </c>
      <c r="AO54" s="106" t="s">
        <v>152</v>
      </c>
      <c r="AP54" s="21">
        <f t="shared" si="42"/>
        <v>35151.165</v>
      </c>
      <c r="AQ54" s="21">
        <f t="shared" si="43"/>
        <v>21090.699</v>
      </c>
      <c r="AR54" s="21"/>
      <c r="AS54" s="21"/>
      <c r="AT54" s="21"/>
      <c r="AU54" s="21"/>
      <c r="AV54" s="21"/>
      <c r="AW54" s="32" t="s">
        <v>97</v>
      </c>
      <c r="AX54" s="23" t="s">
        <v>109</v>
      </c>
      <c r="AY54" s="24"/>
      <c r="AZ54" s="37"/>
      <c r="BA54" s="21" t="s">
        <v>111</v>
      </c>
      <c r="BB54" s="3">
        <v>3</v>
      </c>
    </row>
    <row r="55" s="3" customFormat="1" ht="16.5" customHeight="1" spans="1:54">
      <c r="A55" s="114"/>
      <c r="B55" s="13" t="s">
        <v>157</v>
      </c>
      <c r="C55" s="14"/>
      <c r="D55" s="99">
        <v>224.791</v>
      </c>
      <c r="E55" s="34">
        <v>5</v>
      </c>
      <c r="F55" s="15">
        <v>1798.328</v>
      </c>
      <c r="G55" s="107">
        <v>5</v>
      </c>
      <c r="H55" s="31">
        <v>0</v>
      </c>
      <c r="I55" s="31">
        <v>24</v>
      </c>
      <c r="J55" s="31">
        <v>4</v>
      </c>
      <c r="K55" s="31"/>
      <c r="L55" s="31">
        <v>1</v>
      </c>
      <c r="M55" s="31"/>
      <c r="N55" s="31">
        <f t="shared" si="39"/>
        <v>1800</v>
      </c>
      <c r="O55" s="39">
        <f t="shared" si="44"/>
        <v>6743.73</v>
      </c>
      <c r="P55" s="31">
        <f t="shared" si="11"/>
        <v>1200</v>
      </c>
      <c r="Q55" s="31">
        <f t="shared" si="26"/>
        <v>4500</v>
      </c>
      <c r="R55" s="31">
        <f t="shared" si="27"/>
        <v>1350</v>
      </c>
      <c r="S55" s="31">
        <f t="shared" si="28"/>
        <v>650</v>
      </c>
      <c r="T55" s="31">
        <f t="shared" si="29"/>
        <v>6750</v>
      </c>
      <c r="U55" s="31">
        <f t="shared" si="30"/>
        <v>750</v>
      </c>
      <c r="V55" s="31">
        <f t="shared" si="31"/>
        <v>2250</v>
      </c>
      <c r="W55" s="31">
        <f t="shared" si="40"/>
        <v>1500</v>
      </c>
      <c r="X55" s="31">
        <f t="shared" si="45"/>
        <v>1500</v>
      </c>
      <c r="Y55" s="31"/>
      <c r="Z55" s="31"/>
      <c r="AA55" s="31">
        <v>15000</v>
      </c>
      <c r="AB55" s="31"/>
      <c r="AC55" s="31"/>
      <c r="AD55" s="31"/>
      <c r="AE55" s="31">
        <f t="shared" si="41"/>
        <v>7200</v>
      </c>
      <c r="AF55" s="31"/>
      <c r="AG55" s="31"/>
      <c r="AH55" s="31"/>
      <c r="AI55" s="31"/>
      <c r="AJ55" s="31"/>
      <c r="AK55" s="31"/>
      <c r="AL55" s="108">
        <f t="shared" si="35"/>
        <v>10238.746</v>
      </c>
      <c r="AM55" s="112">
        <f t="shared" si="36"/>
        <v>61432.476</v>
      </c>
      <c r="AN55" s="21" t="s">
        <v>95</v>
      </c>
      <c r="AO55" s="106" t="s">
        <v>152</v>
      </c>
      <c r="AP55" s="21">
        <f t="shared" si="42"/>
        <v>38395.2975</v>
      </c>
      <c r="AQ55" s="21">
        <f t="shared" si="43"/>
        <v>23037.1785</v>
      </c>
      <c r="AR55" s="21"/>
      <c r="AS55" s="21"/>
      <c r="AT55" s="21"/>
      <c r="AU55" s="21"/>
      <c r="AV55" s="21"/>
      <c r="AW55" s="32" t="s">
        <v>97</v>
      </c>
      <c r="AX55" s="23" t="s">
        <v>109</v>
      </c>
      <c r="AY55" s="24"/>
      <c r="AZ55" s="37"/>
      <c r="BA55" s="21" t="s">
        <v>111</v>
      </c>
      <c r="BB55" s="3">
        <v>3</v>
      </c>
    </row>
    <row r="56" s="3" customFormat="1" ht="16.5" customHeight="1" spans="1:54">
      <c r="A56" s="114"/>
      <c r="B56" s="13" t="s">
        <v>158</v>
      </c>
      <c r="C56" s="14" t="s">
        <v>94</v>
      </c>
      <c r="D56" s="99">
        <v>225</v>
      </c>
      <c r="E56" s="34">
        <v>5</v>
      </c>
      <c r="F56" s="15">
        <v>1800</v>
      </c>
      <c r="G56" s="107">
        <v>3</v>
      </c>
      <c r="H56" s="31">
        <v>0</v>
      </c>
      <c r="I56" s="31">
        <v>14</v>
      </c>
      <c r="J56" s="31">
        <v>2</v>
      </c>
      <c r="K56" s="31"/>
      <c r="L56" s="31">
        <v>1</v>
      </c>
      <c r="M56" s="31"/>
      <c r="N56" s="31">
        <f t="shared" si="39"/>
        <v>1800</v>
      </c>
      <c r="O56" s="39">
        <f t="shared" si="44"/>
        <v>6750</v>
      </c>
      <c r="P56" s="31">
        <f t="shared" si="11"/>
        <v>700</v>
      </c>
      <c r="Q56" s="31">
        <f t="shared" si="26"/>
        <v>2700</v>
      </c>
      <c r="R56" s="31">
        <f t="shared" si="27"/>
        <v>810</v>
      </c>
      <c r="S56" s="31">
        <f t="shared" si="28"/>
        <v>650</v>
      </c>
      <c r="T56" s="31">
        <f t="shared" si="29"/>
        <v>4050</v>
      </c>
      <c r="U56" s="31">
        <f t="shared" si="30"/>
        <v>450</v>
      </c>
      <c r="V56" s="31">
        <f t="shared" si="31"/>
        <v>2250</v>
      </c>
      <c r="W56" s="31">
        <f t="shared" si="40"/>
        <v>1500</v>
      </c>
      <c r="X56" s="31">
        <f t="shared" si="45"/>
        <v>1500</v>
      </c>
      <c r="Y56" s="31"/>
      <c r="Z56" s="31"/>
      <c r="AA56" s="31">
        <v>15000</v>
      </c>
      <c r="AB56" s="31"/>
      <c r="AC56" s="31"/>
      <c r="AD56" s="31"/>
      <c r="AE56" s="31">
        <f t="shared" si="41"/>
        <v>7200</v>
      </c>
      <c r="AF56" s="31"/>
      <c r="AG56" s="31"/>
      <c r="AH56" s="31"/>
      <c r="AI56" s="31"/>
      <c r="AJ56" s="31"/>
      <c r="AK56" s="31"/>
      <c r="AL56" s="108">
        <f t="shared" si="35"/>
        <v>9072</v>
      </c>
      <c r="AM56" s="112">
        <f t="shared" si="36"/>
        <v>54432</v>
      </c>
      <c r="AN56" s="21" t="s">
        <v>95</v>
      </c>
      <c r="AO56" s="106" t="s">
        <v>152</v>
      </c>
      <c r="AP56" s="21">
        <f t="shared" si="42"/>
        <v>34020</v>
      </c>
      <c r="AQ56" s="21">
        <f t="shared" si="43"/>
        <v>20412</v>
      </c>
      <c r="AR56" s="21"/>
      <c r="AS56" s="21"/>
      <c r="AT56" s="21"/>
      <c r="AU56" s="21"/>
      <c r="AV56" s="21"/>
      <c r="AW56" s="32" t="s">
        <v>97</v>
      </c>
      <c r="AX56" s="23" t="s">
        <v>109</v>
      </c>
      <c r="AY56" s="24"/>
      <c r="AZ56" s="37"/>
      <c r="BA56" s="21" t="s">
        <v>111</v>
      </c>
      <c r="BB56" s="3">
        <v>3</v>
      </c>
    </row>
    <row r="57" s="3" customFormat="1" ht="16.5" customHeight="1" spans="1:54">
      <c r="A57" s="114"/>
      <c r="B57" s="13" t="s">
        <v>159</v>
      </c>
      <c r="C57" s="14"/>
      <c r="D57" s="99">
        <v>213.027</v>
      </c>
      <c r="E57" s="16">
        <v>4</v>
      </c>
      <c r="F57" s="17">
        <v>1704.216</v>
      </c>
      <c r="G57" s="107">
        <v>3</v>
      </c>
      <c r="H57" s="31">
        <v>0</v>
      </c>
      <c r="I57" s="31">
        <v>10</v>
      </c>
      <c r="J57" s="31">
        <v>2</v>
      </c>
      <c r="K57" s="31"/>
      <c r="L57" s="31">
        <v>1</v>
      </c>
      <c r="M57" s="31"/>
      <c r="N57" s="31">
        <f t="shared" si="39"/>
        <v>1800</v>
      </c>
      <c r="O57" s="39">
        <f t="shared" si="44"/>
        <v>6390.81</v>
      </c>
      <c r="P57" s="31">
        <f t="shared" si="11"/>
        <v>500</v>
      </c>
      <c r="Q57" s="31">
        <f t="shared" si="26"/>
        <v>2700</v>
      </c>
      <c r="R57" s="31">
        <f t="shared" si="27"/>
        <v>810</v>
      </c>
      <c r="S57" s="31">
        <f t="shared" si="28"/>
        <v>520</v>
      </c>
      <c r="T57" s="31">
        <f t="shared" si="29"/>
        <v>4050</v>
      </c>
      <c r="U57" s="31">
        <f t="shared" si="30"/>
        <v>450</v>
      </c>
      <c r="V57" s="31">
        <f t="shared" si="31"/>
        <v>1800</v>
      </c>
      <c r="W57" s="31">
        <f t="shared" si="40"/>
        <v>1200</v>
      </c>
      <c r="X57" s="31">
        <f>40*30</f>
        <v>1200</v>
      </c>
      <c r="Y57" s="31"/>
      <c r="Z57" s="31"/>
      <c r="AA57" s="31">
        <v>15000</v>
      </c>
      <c r="AB57" s="31"/>
      <c r="AC57" s="31"/>
      <c r="AD57" s="31"/>
      <c r="AE57" s="31">
        <f t="shared" si="41"/>
        <v>7200</v>
      </c>
      <c r="AF57" s="31"/>
      <c r="AG57" s="31"/>
      <c r="AH57" s="31"/>
      <c r="AI57" s="31"/>
      <c r="AJ57" s="31"/>
      <c r="AK57" s="31"/>
      <c r="AL57" s="108">
        <f t="shared" si="35"/>
        <v>8724.162</v>
      </c>
      <c r="AM57" s="112">
        <f t="shared" si="36"/>
        <v>52344.972</v>
      </c>
      <c r="AN57" s="21" t="s">
        <v>95</v>
      </c>
      <c r="AO57" s="106" t="s">
        <v>152</v>
      </c>
      <c r="AP57" s="21">
        <f t="shared" si="42"/>
        <v>32715.6075</v>
      </c>
      <c r="AQ57" s="21">
        <f t="shared" si="43"/>
        <v>19629.3645</v>
      </c>
      <c r="AR57" s="21"/>
      <c r="AS57" s="21"/>
      <c r="AT57" s="21"/>
      <c r="AU57" s="21"/>
      <c r="AV57" s="21"/>
      <c r="AW57" s="32" t="s">
        <v>97</v>
      </c>
      <c r="AX57" s="23" t="s">
        <v>109</v>
      </c>
      <c r="AY57" s="24"/>
      <c r="AZ57" s="37"/>
      <c r="BA57" s="21" t="s">
        <v>111</v>
      </c>
      <c r="BB57" s="3">
        <v>3</v>
      </c>
    </row>
    <row r="58" s="3" customFormat="1" ht="16.5" customHeight="1" spans="1:54">
      <c r="A58" s="114"/>
      <c r="B58" s="13" t="s">
        <v>160</v>
      </c>
      <c r="C58" s="14"/>
      <c r="D58" s="99">
        <v>207.123</v>
      </c>
      <c r="E58" s="16">
        <v>4</v>
      </c>
      <c r="F58" s="17">
        <v>1656.984</v>
      </c>
      <c r="G58" s="107">
        <v>3</v>
      </c>
      <c r="H58" s="31">
        <v>0</v>
      </c>
      <c r="I58" s="31">
        <v>10</v>
      </c>
      <c r="J58" s="31">
        <v>2</v>
      </c>
      <c r="K58" s="31"/>
      <c r="L58" s="31">
        <v>1</v>
      </c>
      <c r="M58" s="31"/>
      <c r="N58" s="31">
        <f t="shared" si="39"/>
        <v>1800</v>
      </c>
      <c r="O58" s="39">
        <f t="shared" si="44"/>
        <v>6213.69</v>
      </c>
      <c r="P58" s="31">
        <f t="shared" ref="P58:P64" si="46">H58*20+I58*50</f>
        <v>500</v>
      </c>
      <c r="Q58" s="31">
        <f t="shared" si="26"/>
        <v>2700</v>
      </c>
      <c r="R58" s="31">
        <f t="shared" si="27"/>
        <v>810</v>
      </c>
      <c r="S58" s="31">
        <f t="shared" si="28"/>
        <v>520</v>
      </c>
      <c r="T58" s="31">
        <f t="shared" si="29"/>
        <v>4050</v>
      </c>
      <c r="U58" s="31">
        <f t="shared" si="30"/>
        <v>450</v>
      </c>
      <c r="V58" s="31">
        <f t="shared" si="31"/>
        <v>1800</v>
      </c>
      <c r="W58" s="31">
        <f t="shared" si="40"/>
        <v>1200</v>
      </c>
      <c r="X58" s="31">
        <f>40*30</f>
        <v>1200</v>
      </c>
      <c r="Y58" s="31"/>
      <c r="Z58" s="31"/>
      <c r="AA58" s="31">
        <v>15000</v>
      </c>
      <c r="AB58" s="31"/>
      <c r="AC58" s="31"/>
      <c r="AD58" s="31"/>
      <c r="AE58" s="31">
        <f t="shared" si="41"/>
        <v>7200</v>
      </c>
      <c r="AF58" s="31"/>
      <c r="AG58" s="31"/>
      <c r="AH58" s="31"/>
      <c r="AI58" s="31"/>
      <c r="AJ58" s="31"/>
      <c r="AK58" s="31"/>
      <c r="AL58" s="108">
        <f t="shared" si="35"/>
        <v>8688.738</v>
      </c>
      <c r="AM58" s="112">
        <f t="shared" si="36"/>
        <v>52132.428</v>
      </c>
      <c r="AN58" s="21" t="s">
        <v>95</v>
      </c>
      <c r="AO58" s="106" t="s">
        <v>152</v>
      </c>
      <c r="AP58" s="21">
        <f t="shared" si="42"/>
        <v>32582.7675</v>
      </c>
      <c r="AQ58" s="21">
        <f t="shared" si="43"/>
        <v>19549.6605</v>
      </c>
      <c r="AR58" s="21"/>
      <c r="AS58" s="21"/>
      <c r="AT58" s="21"/>
      <c r="AU58" s="21"/>
      <c r="AV58" s="21"/>
      <c r="AW58" s="32" t="s">
        <v>97</v>
      </c>
      <c r="AX58" s="23" t="s">
        <v>109</v>
      </c>
      <c r="AY58" s="24"/>
      <c r="AZ58" s="37"/>
      <c r="BA58" s="21" t="s">
        <v>111</v>
      </c>
      <c r="BB58" s="3">
        <v>3</v>
      </c>
    </row>
    <row r="59" s="3" customFormat="1" ht="16.5" customHeight="1" spans="1:54">
      <c r="A59" s="114"/>
      <c r="B59" s="13" t="s">
        <v>161</v>
      </c>
      <c r="C59" s="14"/>
      <c r="D59" s="99">
        <v>224.329</v>
      </c>
      <c r="E59" s="16">
        <v>5</v>
      </c>
      <c r="F59" s="17">
        <v>1794.632</v>
      </c>
      <c r="G59" s="107">
        <v>3</v>
      </c>
      <c r="H59" s="31">
        <v>0</v>
      </c>
      <c r="I59" s="31">
        <v>12</v>
      </c>
      <c r="J59" s="31">
        <v>2</v>
      </c>
      <c r="K59" s="31"/>
      <c r="L59" s="31">
        <v>1</v>
      </c>
      <c r="M59" s="31"/>
      <c r="N59" s="31">
        <f t="shared" si="39"/>
        <v>1800</v>
      </c>
      <c r="O59" s="39">
        <f t="shared" si="44"/>
        <v>6729.87</v>
      </c>
      <c r="P59" s="31">
        <f t="shared" si="46"/>
        <v>600</v>
      </c>
      <c r="Q59" s="31">
        <f t="shared" si="26"/>
        <v>2700</v>
      </c>
      <c r="R59" s="31">
        <f t="shared" si="27"/>
        <v>810</v>
      </c>
      <c r="S59" s="31">
        <f t="shared" si="28"/>
        <v>650</v>
      </c>
      <c r="T59" s="31">
        <f t="shared" si="29"/>
        <v>4050</v>
      </c>
      <c r="U59" s="31">
        <f t="shared" si="30"/>
        <v>450</v>
      </c>
      <c r="V59" s="31">
        <f t="shared" si="31"/>
        <v>2250</v>
      </c>
      <c r="W59" s="31">
        <f t="shared" si="40"/>
        <v>1500</v>
      </c>
      <c r="X59" s="31">
        <f>50*30</f>
        <v>1500</v>
      </c>
      <c r="Y59" s="31"/>
      <c r="Z59" s="31"/>
      <c r="AA59" s="31">
        <v>15000</v>
      </c>
      <c r="AB59" s="31"/>
      <c r="AC59" s="31"/>
      <c r="AD59" s="31"/>
      <c r="AE59" s="31">
        <f t="shared" si="41"/>
        <v>7200</v>
      </c>
      <c r="AF59" s="31"/>
      <c r="AG59" s="31"/>
      <c r="AH59" s="31"/>
      <c r="AI59" s="31"/>
      <c r="AJ59" s="31"/>
      <c r="AK59" s="31"/>
      <c r="AL59" s="108">
        <f t="shared" si="35"/>
        <v>9047.974</v>
      </c>
      <c r="AM59" s="112">
        <f t="shared" si="36"/>
        <v>54287.844</v>
      </c>
      <c r="AN59" s="21" t="s">
        <v>95</v>
      </c>
      <c r="AO59" s="106" t="s">
        <v>152</v>
      </c>
      <c r="AP59" s="21">
        <f t="shared" si="42"/>
        <v>33929.9025</v>
      </c>
      <c r="AQ59" s="21">
        <f t="shared" si="43"/>
        <v>20357.9415</v>
      </c>
      <c r="AR59" s="21"/>
      <c r="AS59" s="21"/>
      <c r="AT59" s="21"/>
      <c r="AU59" s="21"/>
      <c r="AV59" s="21"/>
      <c r="AW59" s="32" t="s">
        <v>97</v>
      </c>
      <c r="AX59" s="23" t="s">
        <v>109</v>
      </c>
      <c r="AY59" s="24"/>
      <c r="AZ59" s="37"/>
      <c r="BA59" s="21" t="s">
        <v>111</v>
      </c>
      <c r="BB59" s="3">
        <v>3</v>
      </c>
    </row>
    <row r="60" s="3" customFormat="1" ht="16.5" customHeight="1" spans="1:54">
      <c r="A60" s="114"/>
      <c r="B60" s="13" t="s">
        <v>162</v>
      </c>
      <c r="C60" s="14"/>
      <c r="D60" s="99">
        <v>244.31</v>
      </c>
      <c r="E60" s="16">
        <v>5</v>
      </c>
      <c r="F60" s="17">
        <v>1954.48</v>
      </c>
      <c r="G60" s="107">
        <v>3</v>
      </c>
      <c r="H60" s="31">
        <v>0</v>
      </c>
      <c r="I60" s="31">
        <v>12</v>
      </c>
      <c r="J60" s="31">
        <v>2</v>
      </c>
      <c r="K60" s="31"/>
      <c r="L60" s="31">
        <v>1</v>
      </c>
      <c r="M60" s="31"/>
      <c r="N60" s="31">
        <f t="shared" si="39"/>
        <v>1800</v>
      </c>
      <c r="O60" s="39">
        <f t="shared" si="44"/>
        <v>7329.3</v>
      </c>
      <c r="P60" s="31">
        <f t="shared" si="46"/>
        <v>600</v>
      </c>
      <c r="Q60" s="31">
        <f t="shared" si="26"/>
        <v>2700</v>
      </c>
      <c r="R60" s="31">
        <f t="shared" si="27"/>
        <v>810</v>
      </c>
      <c r="S60" s="31">
        <f t="shared" si="28"/>
        <v>650</v>
      </c>
      <c r="T60" s="31">
        <f t="shared" si="29"/>
        <v>4050</v>
      </c>
      <c r="U60" s="31">
        <f t="shared" si="30"/>
        <v>450</v>
      </c>
      <c r="V60" s="31">
        <f t="shared" si="31"/>
        <v>2250</v>
      </c>
      <c r="W60" s="31">
        <f t="shared" si="40"/>
        <v>1500</v>
      </c>
      <c r="X60" s="31">
        <f>50*30</f>
        <v>1500</v>
      </c>
      <c r="Y60" s="31"/>
      <c r="Z60" s="31"/>
      <c r="AA60" s="31">
        <v>15000</v>
      </c>
      <c r="AB60" s="31"/>
      <c r="AC60" s="31"/>
      <c r="AD60" s="31"/>
      <c r="AE60" s="31">
        <f t="shared" si="41"/>
        <v>7200</v>
      </c>
      <c r="AF60" s="31"/>
      <c r="AG60" s="31"/>
      <c r="AH60" s="31"/>
      <c r="AI60" s="31"/>
      <c r="AJ60" s="31"/>
      <c r="AK60" s="31"/>
      <c r="AL60" s="108">
        <f t="shared" si="35"/>
        <v>9167.86</v>
      </c>
      <c r="AM60" s="112">
        <f t="shared" si="36"/>
        <v>55007.16</v>
      </c>
      <c r="AN60" s="21" t="s">
        <v>95</v>
      </c>
      <c r="AO60" s="106" t="s">
        <v>152</v>
      </c>
      <c r="AP60" s="21">
        <f t="shared" si="42"/>
        <v>34379.475</v>
      </c>
      <c r="AQ60" s="21">
        <f t="shared" si="43"/>
        <v>20627.685</v>
      </c>
      <c r="AR60" s="21"/>
      <c r="AS60" s="21"/>
      <c r="AT60" s="21"/>
      <c r="AU60" s="21"/>
      <c r="AV60" s="21"/>
      <c r="AW60" s="32" t="s">
        <v>97</v>
      </c>
      <c r="AX60" s="23" t="s">
        <v>109</v>
      </c>
      <c r="AY60" s="24"/>
      <c r="AZ60" s="38"/>
      <c r="BA60" s="21" t="s">
        <v>111</v>
      </c>
      <c r="BB60" s="3">
        <v>3</v>
      </c>
    </row>
    <row r="61" s="3" customFormat="1" ht="16.5" customHeight="1" spans="1:54">
      <c r="A61" s="115">
        <f>A50+1</f>
        <v>15</v>
      </c>
      <c r="B61" s="13" t="s">
        <v>163</v>
      </c>
      <c r="C61" s="66" t="s">
        <v>164</v>
      </c>
      <c r="D61" s="116">
        <f>181.2+264+609.56</f>
        <v>1054.76</v>
      </c>
      <c r="E61" s="16">
        <v>28</v>
      </c>
      <c r="F61" s="17">
        <v>30559.257</v>
      </c>
      <c r="G61" s="25">
        <v>26</v>
      </c>
      <c r="H61" s="25">
        <v>0</v>
      </c>
      <c r="I61" s="25">
        <v>110</v>
      </c>
      <c r="J61" s="25">
        <v>9</v>
      </c>
      <c r="K61" s="25"/>
      <c r="L61" s="101">
        <v>8</v>
      </c>
      <c r="M61" s="31">
        <f>8500*2</f>
        <v>17000</v>
      </c>
      <c r="N61" s="31">
        <f>1800*6</f>
        <v>10800</v>
      </c>
      <c r="O61" s="39">
        <f>D61*25</f>
        <v>26369</v>
      </c>
      <c r="P61" s="31">
        <f t="shared" si="46"/>
        <v>5500</v>
      </c>
      <c r="Q61" s="31">
        <f t="shared" si="26"/>
        <v>23400</v>
      </c>
      <c r="R61" s="31">
        <f t="shared" si="27"/>
        <v>7020</v>
      </c>
      <c r="S61" s="31">
        <f t="shared" si="28"/>
        <v>3640</v>
      </c>
      <c r="T61" s="31">
        <f t="shared" si="29"/>
        <v>35100</v>
      </c>
      <c r="U61" s="31">
        <f t="shared" si="30"/>
        <v>3900</v>
      </c>
      <c r="V61" s="31">
        <f t="shared" si="31"/>
        <v>12600</v>
      </c>
      <c r="W61" s="31">
        <f t="shared" ref="W61:W63" si="47">E61*10*30</f>
        <v>8400</v>
      </c>
      <c r="X61" s="102">
        <f>368*30</f>
        <v>11040</v>
      </c>
      <c r="Y61" s="31"/>
      <c r="Z61" s="31"/>
      <c r="AA61" s="31">
        <v>60000</v>
      </c>
      <c r="AB61" s="31"/>
      <c r="AC61" s="31"/>
      <c r="AD61" s="31"/>
      <c r="AE61" s="31">
        <v>7200</v>
      </c>
      <c r="AF61" s="31"/>
      <c r="AG61" s="31"/>
      <c r="AH61" s="31"/>
      <c r="AI61" s="31"/>
      <c r="AJ61" s="31"/>
      <c r="AK61" s="31"/>
      <c r="AL61" s="31">
        <f t="shared" si="35"/>
        <v>46393.8</v>
      </c>
      <c r="AM61" s="104">
        <f t="shared" si="36"/>
        <v>278362.8</v>
      </c>
      <c r="AN61" s="21" t="s">
        <v>100</v>
      </c>
      <c r="AO61" s="21" t="s">
        <v>165</v>
      </c>
      <c r="AP61" s="21"/>
      <c r="AQ61" s="21">
        <f>AM61*2/3</f>
        <v>185575.2</v>
      </c>
      <c r="AR61" s="21"/>
      <c r="AS61" s="21"/>
      <c r="AT61" s="21"/>
      <c r="AU61" s="21">
        <f>AM61*1/3</f>
        <v>92787.6</v>
      </c>
      <c r="AV61" s="21"/>
      <c r="AW61" s="117" t="s">
        <v>166</v>
      </c>
      <c r="AX61" s="23" t="s">
        <v>83</v>
      </c>
      <c r="AY61" s="24"/>
      <c r="AZ61" s="35" t="s">
        <v>74</v>
      </c>
      <c r="BA61" s="59" t="s">
        <v>86</v>
      </c>
      <c r="BB61" s="3">
        <v>1</v>
      </c>
    </row>
    <row r="62" s="3" customFormat="1" ht="16.5" customHeight="1" spans="1:54">
      <c r="A62" s="115"/>
      <c r="B62" s="13" t="s">
        <v>167</v>
      </c>
      <c r="C62" s="66" t="s">
        <v>164</v>
      </c>
      <c r="D62" s="116">
        <v>92.944</v>
      </c>
      <c r="E62" s="16">
        <v>3</v>
      </c>
      <c r="F62" s="17">
        <v>650.608</v>
      </c>
      <c r="G62" s="25">
        <v>3</v>
      </c>
      <c r="H62" s="25">
        <v>0</v>
      </c>
      <c r="I62" s="25">
        <v>8</v>
      </c>
      <c r="J62" s="25">
        <v>2</v>
      </c>
      <c r="K62" s="25"/>
      <c r="L62" s="101">
        <v>1</v>
      </c>
      <c r="M62" s="31"/>
      <c r="N62" s="31">
        <f>1800*L62</f>
        <v>1800</v>
      </c>
      <c r="O62" s="39">
        <f>D62*35</f>
        <v>3253.04</v>
      </c>
      <c r="P62" s="31">
        <f t="shared" si="46"/>
        <v>400</v>
      </c>
      <c r="Q62" s="31">
        <f t="shared" si="26"/>
        <v>2700</v>
      </c>
      <c r="R62" s="31">
        <f t="shared" si="27"/>
        <v>810</v>
      </c>
      <c r="S62" s="31">
        <f t="shared" si="28"/>
        <v>390</v>
      </c>
      <c r="T62" s="31">
        <f t="shared" si="29"/>
        <v>4050</v>
      </c>
      <c r="U62" s="31">
        <f t="shared" si="30"/>
        <v>450</v>
      </c>
      <c r="V62" s="31">
        <f t="shared" si="31"/>
        <v>1350</v>
      </c>
      <c r="W62" s="31">
        <f t="shared" si="47"/>
        <v>900</v>
      </c>
      <c r="X62" s="102">
        <f>30*30</f>
        <v>900</v>
      </c>
      <c r="Y62" s="31"/>
      <c r="Z62" s="31"/>
      <c r="AA62" s="31">
        <v>15000</v>
      </c>
      <c r="AB62" s="31"/>
      <c r="AC62" s="31"/>
      <c r="AD62" s="31"/>
      <c r="AE62" s="31">
        <v>3600</v>
      </c>
      <c r="AF62" s="31"/>
      <c r="AG62" s="31"/>
      <c r="AH62" s="31"/>
      <c r="AI62" s="31"/>
      <c r="AJ62" s="31"/>
      <c r="AK62" s="31"/>
      <c r="AL62" s="31">
        <f t="shared" si="35"/>
        <v>7120.608</v>
      </c>
      <c r="AM62" s="104">
        <f t="shared" si="36"/>
        <v>42723.648</v>
      </c>
      <c r="AN62" s="21" t="s">
        <v>100</v>
      </c>
      <c r="AO62" s="21" t="s">
        <v>72</v>
      </c>
      <c r="AP62" s="21"/>
      <c r="AQ62" s="21">
        <f>AM62</f>
        <v>42723.648</v>
      </c>
      <c r="AR62" s="21"/>
      <c r="AS62" s="21"/>
      <c r="AT62" s="21"/>
      <c r="AU62" s="21"/>
      <c r="AV62" s="21"/>
      <c r="AW62" s="117" t="s">
        <v>166</v>
      </c>
      <c r="AX62" s="23" t="s">
        <v>83</v>
      </c>
      <c r="AY62" s="24"/>
      <c r="AZ62" s="37"/>
      <c r="BA62" s="71"/>
      <c r="BB62" s="3">
        <v>1</v>
      </c>
    </row>
    <row r="63" s="3" customFormat="1" ht="12.75" spans="1:54">
      <c r="A63" s="115"/>
      <c r="B63" s="13" t="s">
        <v>168</v>
      </c>
      <c r="C63" s="66" t="s">
        <v>164</v>
      </c>
      <c r="D63" s="116">
        <v>150.864</v>
      </c>
      <c r="E63" s="29">
        <v>3</v>
      </c>
      <c r="F63" s="29">
        <v>1056.048</v>
      </c>
      <c r="G63" s="25">
        <v>3</v>
      </c>
      <c r="H63" s="25">
        <v>0</v>
      </c>
      <c r="I63" s="25">
        <v>8</v>
      </c>
      <c r="J63" s="25">
        <v>2</v>
      </c>
      <c r="K63" s="25"/>
      <c r="L63" s="101">
        <v>1</v>
      </c>
      <c r="M63" s="31"/>
      <c r="N63" s="31">
        <f>1800*L63</f>
        <v>1800</v>
      </c>
      <c r="O63" s="39">
        <f>D63*30</f>
        <v>4525.92</v>
      </c>
      <c r="P63" s="31">
        <f t="shared" si="46"/>
        <v>400</v>
      </c>
      <c r="Q63" s="31">
        <f t="shared" si="26"/>
        <v>2700</v>
      </c>
      <c r="R63" s="31">
        <f t="shared" si="27"/>
        <v>810</v>
      </c>
      <c r="S63" s="31">
        <f t="shared" si="28"/>
        <v>390</v>
      </c>
      <c r="T63" s="31">
        <f t="shared" si="29"/>
        <v>4050</v>
      </c>
      <c r="U63" s="31">
        <f t="shared" si="30"/>
        <v>450</v>
      </c>
      <c r="V63" s="31">
        <f t="shared" si="31"/>
        <v>1350</v>
      </c>
      <c r="W63" s="31">
        <f t="shared" si="47"/>
        <v>900</v>
      </c>
      <c r="X63" s="102">
        <f>50*30</f>
        <v>1500</v>
      </c>
      <c r="Y63" s="31"/>
      <c r="Z63" s="31"/>
      <c r="AA63" s="31">
        <v>15000</v>
      </c>
      <c r="AB63" s="31"/>
      <c r="AC63" s="31"/>
      <c r="AD63" s="31"/>
      <c r="AE63" s="31">
        <v>3600</v>
      </c>
      <c r="AF63" s="31"/>
      <c r="AG63" s="31"/>
      <c r="AH63" s="31"/>
      <c r="AI63" s="31"/>
      <c r="AJ63" s="31"/>
      <c r="AK63" s="31"/>
      <c r="AL63" s="31">
        <f t="shared" si="35"/>
        <v>7495.184</v>
      </c>
      <c r="AM63" s="104">
        <f t="shared" si="36"/>
        <v>44971.104</v>
      </c>
      <c r="AN63" s="21" t="s">
        <v>100</v>
      </c>
      <c r="AO63" s="21" t="s">
        <v>72</v>
      </c>
      <c r="AP63" s="21"/>
      <c r="AQ63" s="21">
        <f>AM63</f>
        <v>44971.104</v>
      </c>
      <c r="AR63" s="21"/>
      <c r="AS63" s="21"/>
      <c r="AT63" s="21"/>
      <c r="AU63" s="21"/>
      <c r="AV63" s="21"/>
      <c r="AW63" s="117" t="s">
        <v>166</v>
      </c>
      <c r="AX63" s="23" t="s">
        <v>83</v>
      </c>
      <c r="AY63" s="24"/>
      <c r="AZ63" s="38"/>
      <c r="BA63" s="61"/>
      <c r="BB63" s="3">
        <v>1</v>
      </c>
    </row>
    <row r="64" s="3" customFormat="1" ht="12.75" spans="1:54">
      <c r="A64" s="118">
        <f>A61+1</f>
        <v>16</v>
      </c>
      <c r="B64" s="111" t="s">
        <v>169</v>
      </c>
      <c r="C64" s="66" t="s">
        <v>105</v>
      </c>
      <c r="D64" s="116">
        <f>422.05+264+406.44</f>
        <v>1092.49</v>
      </c>
      <c r="E64" s="16">
        <v>67</v>
      </c>
      <c r="F64" s="17">
        <v>9660.5535</v>
      </c>
      <c r="G64" s="31">
        <v>53</v>
      </c>
      <c r="H64" s="31">
        <v>0</v>
      </c>
      <c r="I64" s="31">
        <v>68</v>
      </c>
      <c r="J64" s="13">
        <v>48</v>
      </c>
      <c r="K64" s="14"/>
      <c r="L64" s="31">
        <v>5</v>
      </c>
      <c r="M64" s="25"/>
      <c r="N64" s="31">
        <f>1800*L64</f>
        <v>9000</v>
      </c>
      <c r="O64" s="39">
        <f>D64*25</f>
        <v>27312.25</v>
      </c>
      <c r="P64" s="31">
        <f t="shared" si="46"/>
        <v>3400</v>
      </c>
      <c r="Q64" s="31">
        <f t="shared" si="26"/>
        <v>47700</v>
      </c>
      <c r="R64" s="31">
        <f t="shared" si="27"/>
        <v>14310</v>
      </c>
      <c r="S64" s="31">
        <f t="shared" si="28"/>
        <v>8710</v>
      </c>
      <c r="T64" s="31">
        <f t="shared" si="29"/>
        <v>71550</v>
      </c>
      <c r="U64" s="31">
        <f t="shared" si="30"/>
        <v>7950</v>
      </c>
      <c r="V64" s="31">
        <f t="shared" si="31"/>
        <v>30150</v>
      </c>
      <c r="W64" s="31">
        <f>E64*30*10</f>
        <v>20100</v>
      </c>
      <c r="X64" s="31">
        <f>670*30</f>
        <v>20100</v>
      </c>
      <c r="Y64" s="31"/>
      <c r="Z64" s="31"/>
      <c r="AA64" s="31">
        <v>50000</v>
      </c>
      <c r="AB64" s="31"/>
      <c r="AC64" s="31"/>
      <c r="AD64" s="31"/>
      <c r="AE64" s="31">
        <f>6*1200</f>
        <v>7200</v>
      </c>
      <c r="AF64" s="31"/>
      <c r="AG64" s="31"/>
      <c r="AH64" s="31"/>
      <c r="AI64" s="31"/>
      <c r="AJ64" s="31"/>
      <c r="AK64" s="31"/>
      <c r="AL64" s="108">
        <f t="shared" si="35"/>
        <v>63496.45</v>
      </c>
      <c r="AM64" s="109">
        <f t="shared" si="36"/>
        <v>380978.7</v>
      </c>
      <c r="AN64" s="21" t="s">
        <v>100</v>
      </c>
      <c r="AO64" s="21" t="s">
        <v>124</v>
      </c>
      <c r="AP64" s="21"/>
      <c r="AQ64" s="21"/>
      <c r="AR64" s="21"/>
      <c r="AS64" s="21">
        <f>AM64</f>
        <v>380978.7</v>
      </c>
      <c r="AT64" s="21"/>
      <c r="AU64" s="21"/>
      <c r="AV64" s="21"/>
      <c r="AW64" s="32" t="s">
        <v>170</v>
      </c>
      <c r="AX64" s="23" t="s">
        <v>109</v>
      </c>
      <c r="AY64" s="24"/>
      <c r="AZ64" s="22" t="s">
        <v>110</v>
      </c>
      <c r="BA64" s="21" t="s">
        <v>103</v>
      </c>
      <c r="BB64" s="3">
        <v>2</v>
      </c>
    </row>
    <row r="65" s="3" customFormat="1" ht="16.5" customHeight="1" spans="1:54">
      <c r="A65" s="73">
        <f>A64+1</f>
        <v>17</v>
      </c>
      <c r="B65" s="13" t="s">
        <v>171</v>
      </c>
      <c r="C65" s="63" t="s">
        <v>172</v>
      </c>
      <c r="D65" s="99">
        <v>64.2</v>
      </c>
      <c r="E65" s="16">
        <v>3</v>
      </c>
      <c r="F65" s="17">
        <v>2112.18</v>
      </c>
      <c r="G65" s="18">
        <v>16</v>
      </c>
      <c r="H65" s="29">
        <v>132</v>
      </c>
      <c r="I65" s="29">
        <v>0</v>
      </c>
      <c r="J65" s="29">
        <v>2</v>
      </c>
      <c r="K65" s="29">
        <v>18</v>
      </c>
      <c r="L65" s="119">
        <v>1</v>
      </c>
      <c r="M65" s="29"/>
      <c r="N65" s="29">
        <v>2000</v>
      </c>
      <c r="O65" s="29" t="s">
        <v>173</v>
      </c>
      <c r="P65" s="29">
        <v>2640</v>
      </c>
      <c r="Q65" s="29">
        <v>20790</v>
      </c>
      <c r="R65" s="29">
        <v>6237</v>
      </c>
      <c r="S65" s="29">
        <v>390</v>
      </c>
      <c r="T65" s="29">
        <v>31185</v>
      </c>
      <c r="U65" s="29">
        <v>3465</v>
      </c>
      <c r="V65" s="29">
        <v>1350</v>
      </c>
      <c r="W65" s="29">
        <v>900</v>
      </c>
      <c r="X65" s="29">
        <v>0</v>
      </c>
      <c r="Y65" s="29"/>
      <c r="Z65" s="29"/>
      <c r="AA65" s="29">
        <v>10000</v>
      </c>
      <c r="AB65" s="29"/>
      <c r="AC65" s="29"/>
      <c r="AD65" s="29"/>
      <c r="AE65" s="1">
        <v>4800</v>
      </c>
      <c r="AF65" s="29"/>
      <c r="AG65" s="29"/>
      <c r="AH65" s="29"/>
      <c r="AI65" s="29"/>
      <c r="AJ65" s="29"/>
      <c r="AK65" s="29">
        <v>2700</v>
      </c>
      <c r="AL65" s="96">
        <f t="shared" si="35"/>
        <v>17291.4</v>
      </c>
      <c r="AM65" s="97">
        <f t="shared" si="36"/>
        <v>103748.4</v>
      </c>
      <c r="AN65" s="21" t="s">
        <v>77</v>
      </c>
      <c r="AO65" s="21" t="s">
        <v>78</v>
      </c>
      <c r="AP65" s="21">
        <f>AM65</f>
        <v>103748.4</v>
      </c>
      <c r="AQ65" s="21"/>
      <c r="AR65" s="21"/>
      <c r="AS65" s="21"/>
      <c r="AT65" s="21"/>
      <c r="AU65" s="21"/>
      <c r="AV65" s="21"/>
      <c r="AW65" s="22" t="s">
        <v>174</v>
      </c>
      <c r="AX65" s="23" t="s">
        <v>66</v>
      </c>
      <c r="AY65" s="98" t="s">
        <v>67</v>
      </c>
      <c r="AZ65" s="22" t="s">
        <v>175</v>
      </c>
      <c r="BA65" s="21" t="s">
        <v>69</v>
      </c>
      <c r="BB65" s="3">
        <v>1</v>
      </c>
    </row>
    <row r="66" s="3" customFormat="1" ht="16.5" customHeight="1" spans="1:54">
      <c r="A66" s="13">
        <f>A65+1</f>
        <v>18</v>
      </c>
      <c r="B66" s="13" t="s">
        <v>176</v>
      </c>
      <c r="C66" s="14" t="s">
        <v>177</v>
      </c>
      <c r="D66" s="99">
        <v>180</v>
      </c>
      <c r="E66" s="16">
        <v>4</v>
      </c>
      <c r="F66" s="17">
        <v>7380</v>
      </c>
      <c r="G66" s="16">
        <v>39</v>
      </c>
      <c r="H66" s="16">
        <v>384</v>
      </c>
      <c r="I66" s="16">
        <v>8</v>
      </c>
      <c r="J66" s="16">
        <v>8</v>
      </c>
      <c r="K66" s="16"/>
      <c r="L66" s="120">
        <v>4</v>
      </c>
      <c r="M66" s="1">
        <f>8500*2</f>
        <v>17000</v>
      </c>
      <c r="N66" s="1">
        <f t="shared" ref="N66:N76" si="48">1800*L66</f>
        <v>7200</v>
      </c>
      <c r="O66" s="19">
        <f>D66*25</f>
        <v>4500</v>
      </c>
      <c r="P66" s="1">
        <f t="shared" ref="P66:P77" si="49">H66*20+I66*50</f>
        <v>8080</v>
      </c>
      <c r="Q66" s="1">
        <f t="shared" ref="Q66:Q77" si="50">G66*10*90</f>
        <v>35100</v>
      </c>
      <c r="R66" s="1">
        <f t="shared" ref="R66:R77" si="51">G66*9*30</f>
        <v>10530</v>
      </c>
      <c r="S66" s="1">
        <f t="shared" ref="S66:S77" si="52">E66*1*130</f>
        <v>520</v>
      </c>
      <c r="T66" s="1">
        <f t="shared" ref="T66:T77" si="53">G66*30*45</f>
        <v>52650</v>
      </c>
      <c r="U66" s="1">
        <f t="shared" ref="U66:U77" si="54">G66*10*15</f>
        <v>5850</v>
      </c>
      <c r="V66" s="1">
        <f t="shared" ref="V66:V77" si="55">E66*10*45</f>
        <v>1800</v>
      </c>
      <c r="W66" s="1">
        <f>E66*10*30</f>
        <v>1200</v>
      </c>
      <c r="X66" s="11">
        <f>92*30</f>
        <v>2760</v>
      </c>
      <c r="Y66" s="1"/>
      <c r="Z66" s="27">
        <v>6000</v>
      </c>
      <c r="AA66" s="1">
        <v>150000</v>
      </c>
      <c r="AB66" s="1"/>
      <c r="AC66" s="1"/>
      <c r="AD66" s="1"/>
      <c r="AE66" s="1">
        <v>7200</v>
      </c>
      <c r="AF66" s="1"/>
      <c r="AG66" s="1"/>
      <c r="AH66" s="27">
        <v>6400</v>
      </c>
      <c r="AI66" s="1"/>
      <c r="AJ66" s="1"/>
      <c r="AK66" s="1"/>
      <c r="AL66" s="96">
        <f t="shared" si="35"/>
        <v>63358</v>
      </c>
      <c r="AM66" s="97">
        <f t="shared" si="36"/>
        <v>380148</v>
      </c>
      <c r="AN66" s="21" t="s">
        <v>95</v>
      </c>
      <c r="AO66" s="21" t="s">
        <v>178</v>
      </c>
      <c r="AP66" s="21"/>
      <c r="AQ66" s="21"/>
      <c r="AR66" s="21"/>
      <c r="AS66" s="21"/>
      <c r="AT66" s="21">
        <f>AM66</f>
        <v>380148</v>
      </c>
      <c r="AU66" s="21"/>
      <c r="AV66" s="21"/>
      <c r="AW66" s="22" t="s">
        <v>179</v>
      </c>
      <c r="AX66" s="23" t="s">
        <v>66</v>
      </c>
      <c r="AY66" s="98" t="s">
        <v>84</v>
      </c>
      <c r="AZ66" s="22" t="s">
        <v>85</v>
      </c>
      <c r="BA66" s="21" t="s">
        <v>86</v>
      </c>
      <c r="BB66" s="3">
        <v>1</v>
      </c>
    </row>
    <row r="67" s="3" customFormat="1" ht="16.5" customHeight="1" spans="1:54">
      <c r="A67" s="73">
        <f>A66+1</f>
        <v>19</v>
      </c>
      <c r="B67" s="73" t="s">
        <v>180</v>
      </c>
      <c r="C67" s="121" t="s">
        <v>181</v>
      </c>
      <c r="D67" s="122">
        <v>337.24</v>
      </c>
      <c r="E67" s="16">
        <v>16</v>
      </c>
      <c r="F67" s="17">
        <v>7503.6075</v>
      </c>
      <c r="G67" s="107">
        <v>14</v>
      </c>
      <c r="H67" s="31">
        <v>16</v>
      </c>
      <c r="I67" s="31">
        <v>0</v>
      </c>
      <c r="J67" s="31">
        <v>5</v>
      </c>
      <c r="K67" s="31"/>
      <c r="L67" s="31">
        <v>2</v>
      </c>
      <c r="M67" s="31"/>
      <c r="N67" s="31">
        <f t="shared" si="48"/>
        <v>3600</v>
      </c>
      <c r="O67" s="39">
        <f t="shared" ref="O67:O71" si="56">D67*30</f>
        <v>10117.2</v>
      </c>
      <c r="P67" s="31">
        <f t="shared" si="49"/>
        <v>320</v>
      </c>
      <c r="Q67" s="31">
        <f t="shared" si="50"/>
        <v>12600</v>
      </c>
      <c r="R67" s="31">
        <f t="shared" si="51"/>
        <v>3780</v>
      </c>
      <c r="S67" s="31">
        <f t="shared" si="52"/>
        <v>2080</v>
      </c>
      <c r="T67" s="31">
        <f t="shared" si="53"/>
        <v>18900</v>
      </c>
      <c r="U67" s="31">
        <f t="shared" si="54"/>
        <v>2100</v>
      </c>
      <c r="V67" s="31">
        <f t="shared" si="55"/>
        <v>7200</v>
      </c>
      <c r="W67" s="31">
        <f t="shared" ref="W67:W77" si="57">E67*30*10</f>
        <v>4800</v>
      </c>
      <c r="X67" s="31">
        <f>160*30</f>
        <v>4800</v>
      </c>
      <c r="Y67" s="31"/>
      <c r="Z67" s="31"/>
      <c r="AA67" s="31">
        <v>30000</v>
      </c>
      <c r="AB67" s="31"/>
      <c r="AC67" s="31"/>
      <c r="AD67" s="31"/>
      <c r="AE67" s="31">
        <f t="shared" ref="AE67:AE71" si="58">6*1200</f>
        <v>7200</v>
      </c>
      <c r="AF67" s="31"/>
      <c r="AG67" s="31"/>
      <c r="AH67" s="31"/>
      <c r="AI67" s="31"/>
      <c r="AJ67" s="31"/>
      <c r="AK67" s="31"/>
      <c r="AL67" s="108">
        <f t="shared" si="35"/>
        <v>21499.44</v>
      </c>
      <c r="AM67" s="112">
        <f t="shared" si="36"/>
        <v>128996.64</v>
      </c>
      <c r="AN67" s="21" t="s">
        <v>77</v>
      </c>
      <c r="AO67" s="106" t="s">
        <v>78</v>
      </c>
      <c r="AP67" s="21">
        <f t="shared" ref="AP67:AP76" si="59">AM67</f>
        <v>128996.64</v>
      </c>
      <c r="AQ67" s="21"/>
      <c r="AR67" s="21"/>
      <c r="AS67" s="21"/>
      <c r="AT67" s="21"/>
      <c r="AU67" s="21"/>
      <c r="AV67" s="21"/>
      <c r="AW67" s="123">
        <v>1996.5</v>
      </c>
      <c r="AX67" s="23" t="s">
        <v>109</v>
      </c>
      <c r="AY67" s="24"/>
      <c r="AZ67" s="35" t="s">
        <v>110</v>
      </c>
      <c r="BA67" s="21" t="s">
        <v>69</v>
      </c>
      <c r="BB67" s="3">
        <v>1</v>
      </c>
    </row>
    <row r="68" s="3" customFormat="1" ht="16.5" customHeight="1" spans="1:54">
      <c r="A68" s="73"/>
      <c r="B68" s="73" t="s">
        <v>182</v>
      </c>
      <c r="C68" s="121" t="s">
        <v>181</v>
      </c>
      <c r="D68" s="122">
        <v>185.32</v>
      </c>
      <c r="E68" s="16">
        <v>10</v>
      </c>
      <c r="F68" s="17">
        <v>1482.56</v>
      </c>
      <c r="G68" s="107">
        <v>9</v>
      </c>
      <c r="H68" s="31">
        <v>16</v>
      </c>
      <c r="I68" s="31">
        <v>0</v>
      </c>
      <c r="J68" s="31">
        <v>3</v>
      </c>
      <c r="K68" s="31"/>
      <c r="L68" s="31">
        <v>1</v>
      </c>
      <c r="M68" s="31"/>
      <c r="N68" s="31">
        <f t="shared" si="48"/>
        <v>1800</v>
      </c>
      <c r="O68" s="39">
        <f t="shared" si="56"/>
        <v>5559.6</v>
      </c>
      <c r="P68" s="31">
        <f t="shared" si="49"/>
        <v>320</v>
      </c>
      <c r="Q68" s="31">
        <f t="shared" si="50"/>
        <v>8100</v>
      </c>
      <c r="R68" s="31">
        <f t="shared" si="51"/>
        <v>2430</v>
      </c>
      <c r="S68" s="31">
        <f t="shared" si="52"/>
        <v>1300</v>
      </c>
      <c r="T68" s="31">
        <f t="shared" si="53"/>
        <v>12150</v>
      </c>
      <c r="U68" s="31">
        <f t="shared" si="54"/>
        <v>1350</v>
      </c>
      <c r="V68" s="31">
        <f t="shared" si="55"/>
        <v>4500</v>
      </c>
      <c r="W68" s="31">
        <f t="shared" si="57"/>
        <v>3000</v>
      </c>
      <c r="X68" s="31">
        <f>100*30</f>
        <v>3000</v>
      </c>
      <c r="Y68" s="31"/>
      <c r="Z68" s="31"/>
      <c r="AA68" s="31">
        <v>15000</v>
      </c>
      <c r="AB68" s="31"/>
      <c r="AC68" s="31"/>
      <c r="AD68" s="31"/>
      <c r="AE68" s="31">
        <f t="shared" si="58"/>
        <v>7200</v>
      </c>
      <c r="AF68" s="31"/>
      <c r="AG68" s="31"/>
      <c r="AH68" s="31"/>
      <c r="AI68" s="31"/>
      <c r="AJ68" s="31"/>
      <c r="AK68" s="31"/>
      <c r="AL68" s="108">
        <f t="shared" si="35"/>
        <v>13141.92</v>
      </c>
      <c r="AM68" s="112">
        <f t="shared" si="36"/>
        <v>78851.52</v>
      </c>
      <c r="AN68" s="21" t="s">
        <v>77</v>
      </c>
      <c r="AO68" s="106" t="s">
        <v>78</v>
      </c>
      <c r="AP68" s="21">
        <f t="shared" si="59"/>
        <v>78851.52</v>
      </c>
      <c r="AQ68" s="21"/>
      <c r="AR68" s="21"/>
      <c r="AS68" s="21"/>
      <c r="AT68" s="21"/>
      <c r="AU68" s="21"/>
      <c r="AV68" s="21"/>
      <c r="AW68" s="123">
        <v>1996.5</v>
      </c>
      <c r="AX68" s="23" t="s">
        <v>109</v>
      </c>
      <c r="AY68" s="24"/>
      <c r="AZ68" s="37"/>
      <c r="BA68" s="21" t="s">
        <v>69</v>
      </c>
      <c r="BB68" s="3">
        <v>1</v>
      </c>
    </row>
    <row r="69" s="3" customFormat="1" ht="16.5" customHeight="1" spans="1:54">
      <c r="A69" s="73"/>
      <c r="B69" s="73" t="s">
        <v>183</v>
      </c>
      <c r="C69" s="121" t="s">
        <v>181</v>
      </c>
      <c r="D69" s="122">
        <v>107.5</v>
      </c>
      <c r="E69" s="16">
        <v>6</v>
      </c>
      <c r="F69" s="17">
        <v>860</v>
      </c>
      <c r="G69" s="107">
        <v>9</v>
      </c>
      <c r="H69" s="31">
        <v>36</v>
      </c>
      <c r="I69" s="31">
        <v>0</v>
      </c>
      <c r="J69" s="31">
        <v>3</v>
      </c>
      <c r="K69" s="31"/>
      <c r="L69" s="31">
        <v>1</v>
      </c>
      <c r="M69" s="31"/>
      <c r="N69" s="31">
        <f t="shared" si="48"/>
        <v>1800</v>
      </c>
      <c r="O69" s="39">
        <f t="shared" si="56"/>
        <v>3225</v>
      </c>
      <c r="P69" s="31">
        <f t="shared" si="49"/>
        <v>720</v>
      </c>
      <c r="Q69" s="31">
        <f t="shared" si="50"/>
        <v>8100</v>
      </c>
      <c r="R69" s="31">
        <f t="shared" si="51"/>
        <v>2430</v>
      </c>
      <c r="S69" s="31">
        <f t="shared" si="52"/>
        <v>780</v>
      </c>
      <c r="T69" s="31">
        <f t="shared" si="53"/>
        <v>12150</v>
      </c>
      <c r="U69" s="31">
        <f t="shared" si="54"/>
        <v>1350</v>
      </c>
      <c r="V69" s="31">
        <f t="shared" si="55"/>
        <v>2700</v>
      </c>
      <c r="W69" s="31">
        <f t="shared" si="57"/>
        <v>1800</v>
      </c>
      <c r="X69" s="31">
        <f>60*30</f>
        <v>1800</v>
      </c>
      <c r="Y69" s="31"/>
      <c r="Z69" s="31"/>
      <c r="AA69" s="31">
        <v>15000</v>
      </c>
      <c r="AB69" s="31"/>
      <c r="AC69" s="31"/>
      <c r="AD69" s="31"/>
      <c r="AE69" s="31">
        <f t="shared" si="58"/>
        <v>7200</v>
      </c>
      <c r="AF69" s="31"/>
      <c r="AG69" s="31"/>
      <c r="AH69" s="31"/>
      <c r="AI69" s="31"/>
      <c r="AJ69" s="31"/>
      <c r="AK69" s="31"/>
      <c r="AL69" s="108">
        <f t="shared" si="35"/>
        <v>11811</v>
      </c>
      <c r="AM69" s="112">
        <f t="shared" si="36"/>
        <v>70866</v>
      </c>
      <c r="AN69" s="21" t="s">
        <v>77</v>
      </c>
      <c r="AO69" s="106" t="s">
        <v>78</v>
      </c>
      <c r="AP69" s="21">
        <f t="shared" si="59"/>
        <v>70866</v>
      </c>
      <c r="AQ69" s="21"/>
      <c r="AR69" s="21"/>
      <c r="AS69" s="21"/>
      <c r="AT69" s="21"/>
      <c r="AU69" s="21"/>
      <c r="AV69" s="21"/>
      <c r="AW69" s="123">
        <v>1996.5</v>
      </c>
      <c r="AX69" s="23" t="s">
        <v>109</v>
      </c>
      <c r="AY69" s="24"/>
      <c r="AZ69" s="37"/>
      <c r="BA69" s="21" t="s">
        <v>69</v>
      </c>
      <c r="BB69" s="3">
        <v>1</v>
      </c>
    </row>
    <row r="70" s="3" customFormat="1" ht="16.5" customHeight="1" spans="1:54">
      <c r="A70" s="73"/>
      <c r="B70" s="73" t="s">
        <v>184</v>
      </c>
      <c r="C70" s="121" t="s">
        <v>181</v>
      </c>
      <c r="D70" s="122">
        <v>529.84</v>
      </c>
      <c r="E70" s="16">
        <v>25</v>
      </c>
      <c r="F70" s="17">
        <v>4238.72</v>
      </c>
      <c r="G70" s="107">
        <v>21</v>
      </c>
      <c r="H70" s="31">
        <v>24</v>
      </c>
      <c r="I70" s="31">
        <v>0</v>
      </c>
      <c r="J70" s="31">
        <v>7</v>
      </c>
      <c r="K70" s="31"/>
      <c r="L70" s="31">
        <v>2</v>
      </c>
      <c r="M70" s="31"/>
      <c r="N70" s="31">
        <f t="shared" si="48"/>
        <v>3600</v>
      </c>
      <c r="O70" s="39">
        <f t="shared" si="56"/>
        <v>15895.2</v>
      </c>
      <c r="P70" s="31">
        <f t="shared" si="49"/>
        <v>480</v>
      </c>
      <c r="Q70" s="31">
        <f t="shared" si="50"/>
        <v>18900</v>
      </c>
      <c r="R70" s="31">
        <f t="shared" si="51"/>
        <v>5670</v>
      </c>
      <c r="S70" s="31">
        <f t="shared" si="52"/>
        <v>3250</v>
      </c>
      <c r="T70" s="31">
        <f t="shared" si="53"/>
        <v>28350</v>
      </c>
      <c r="U70" s="31">
        <f t="shared" si="54"/>
        <v>3150</v>
      </c>
      <c r="V70" s="31">
        <f t="shared" si="55"/>
        <v>11250</v>
      </c>
      <c r="W70" s="31">
        <f t="shared" si="57"/>
        <v>7500</v>
      </c>
      <c r="X70" s="31">
        <f>250*30</f>
        <v>7500</v>
      </c>
      <c r="Y70" s="31"/>
      <c r="Z70" s="31"/>
      <c r="AA70" s="31">
        <v>15000</v>
      </c>
      <c r="AB70" s="31"/>
      <c r="AC70" s="31"/>
      <c r="AD70" s="31"/>
      <c r="AE70" s="31">
        <f t="shared" si="58"/>
        <v>7200</v>
      </c>
      <c r="AF70" s="31"/>
      <c r="AG70" s="31"/>
      <c r="AH70" s="31"/>
      <c r="AI70" s="31"/>
      <c r="AJ70" s="31"/>
      <c r="AK70" s="31"/>
      <c r="AL70" s="108">
        <f t="shared" ref="AL70:AL77" si="60">SUM(M70:AK70)*0.2</f>
        <v>25549.04</v>
      </c>
      <c r="AM70" s="112">
        <f t="shared" ref="AM70:AM77" si="61">SUM(M70:AL70)</f>
        <v>153294.24</v>
      </c>
      <c r="AN70" s="21" t="s">
        <v>77</v>
      </c>
      <c r="AO70" s="106" t="s">
        <v>78</v>
      </c>
      <c r="AP70" s="21">
        <f t="shared" si="59"/>
        <v>153294.24</v>
      </c>
      <c r="AQ70" s="21"/>
      <c r="AR70" s="21"/>
      <c r="AS70" s="21"/>
      <c r="AT70" s="21"/>
      <c r="AU70" s="21"/>
      <c r="AV70" s="21"/>
      <c r="AW70" s="123">
        <v>1996.5</v>
      </c>
      <c r="AX70" s="23" t="s">
        <v>109</v>
      </c>
      <c r="AY70" s="24"/>
      <c r="AZ70" s="37"/>
      <c r="BA70" s="21" t="s">
        <v>69</v>
      </c>
      <c r="BB70" s="3">
        <v>1</v>
      </c>
    </row>
    <row r="71" s="3" customFormat="1" ht="16.5" customHeight="1" spans="1:54">
      <c r="A71" s="73"/>
      <c r="B71" s="73" t="s">
        <v>185</v>
      </c>
      <c r="C71" s="121" t="s">
        <v>181</v>
      </c>
      <c r="D71" s="122">
        <v>468.826</v>
      </c>
      <c r="E71" s="16">
        <v>24</v>
      </c>
      <c r="F71" s="17">
        <v>3750.608</v>
      </c>
      <c r="G71" s="107">
        <v>21</v>
      </c>
      <c r="H71" s="31">
        <v>16</v>
      </c>
      <c r="I71" s="31">
        <v>4</v>
      </c>
      <c r="J71" s="31">
        <v>6</v>
      </c>
      <c r="K71" s="31"/>
      <c r="L71" s="31">
        <v>2</v>
      </c>
      <c r="M71" s="31"/>
      <c r="N71" s="31">
        <f t="shared" si="48"/>
        <v>3600</v>
      </c>
      <c r="O71" s="39">
        <f t="shared" si="56"/>
        <v>14064.78</v>
      </c>
      <c r="P71" s="31">
        <f t="shared" si="49"/>
        <v>520</v>
      </c>
      <c r="Q71" s="31">
        <f t="shared" si="50"/>
        <v>18900</v>
      </c>
      <c r="R71" s="31">
        <f t="shared" si="51"/>
        <v>5670</v>
      </c>
      <c r="S71" s="31">
        <f t="shared" si="52"/>
        <v>3120</v>
      </c>
      <c r="T71" s="31">
        <f t="shared" si="53"/>
        <v>28350</v>
      </c>
      <c r="U71" s="31">
        <f t="shared" si="54"/>
        <v>3150</v>
      </c>
      <c r="V71" s="31">
        <f t="shared" si="55"/>
        <v>10800</v>
      </c>
      <c r="W71" s="31">
        <f t="shared" si="57"/>
        <v>7200</v>
      </c>
      <c r="X71" s="31">
        <f>240*30</f>
        <v>7200</v>
      </c>
      <c r="Y71" s="31"/>
      <c r="Z71" s="31"/>
      <c r="AA71" s="31">
        <v>15000</v>
      </c>
      <c r="AB71" s="31"/>
      <c r="AC71" s="31"/>
      <c r="AD71" s="31"/>
      <c r="AE71" s="31">
        <f t="shared" si="58"/>
        <v>7200</v>
      </c>
      <c r="AF71" s="31"/>
      <c r="AG71" s="31"/>
      <c r="AH71" s="31"/>
      <c r="AI71" s="31"/>
      <c r="AJ71" s="31"/>
      <c r="AK71" s="31"/>
      <c r="AL71" s="108">
        <f t="shared" si="60"/>
        <v>24954.956</v>
      </c>
      <c r="AM71" s="112">
        <f t="shared" si="61"/>
        <v>149729.736</v>
      </c>
      <c r="AN71" s="21" t="s">
        <v>77</v>
      </c>
      <c r="AO71" s="106" t="s">
        <v>78</v>
      </c>
      <c r="AP71" s="21">
        <f t="shared" si="59"/>
        <v>149729.736</v>
      </c>
      <c r="AQ71" s="21"/>
      <c r="AR71" s="21"/>
      <c r="AS71" s="21"/>
      <c r="AT71" s="21"/>
      <c r="AU71" s="21"/>
      <c r="AV71" s="21"/>
      <c r="AW71" s="123">
        <v>1996.5</v>
      </c>
      <c r="AX71" s="23" t="s">
        <v>109</v>
      </c>
      <c r="AY71" s="24"/>
      <c r="AZ71" s="37"/>
      <c r="BA71" s="21" t="s">
        <v>69</v>
      </c>
      <c r="BB71" s="3">
        <v>1</v>
      </c>
    </row>
    <row r="72" s="3" customFormat="1" ht="16.5" customHeight="1" spans="1:54">
      <c r="A72" s="73"/>
      <c r="B72" s="73" t="s">
        <v>186</v>
      </c>
      <c r="C72" s="121" t="s">
        <v>181</v>
      </c>
      <c r="D72" s="122">
        <v>16.1</v>
      </c>
      <c r="E72" s="16">
        <v>1</v>
      </c>
      <c r="F72" s="17">
        <v>128.8</v>
      </c>
      <c r="G72" s="107">
        <v>3</v>
      </c>
      <c r="H72" s="31">
        <v>0</v>
      </c>
      <c r="I72" s="31">
        <v>0</v>
      </c>
      <c r="J72" s="31">
        <v>0</v>
      </c>
      <c r="K72" s="31"/>
      <c r="L72" s="31">
        <v>1</v>
      </c>
      <c r="M72" s="31"/>
      <c r="N72" s="31">
        <f t="shared" si="48"/>
        <v>1800</v>
      </c>
      <c r="O72" s="39">
        <f>D72*40</f>
        <v>644</v>
      </c>
      <c r="P72" s="31">
        <f t="shared" si="49"/>
        <v>0</v>
      </c>
      <c r="Q72" s="31">
        <f t="shared" si="50"/>
        <v>2700</v>
      </c>
      <c r="R72" s="31">
        <f t="shared" si="51"/>
        <v>810</v>
      </c>
      <c r="S72" s="31">
        <f t="shared" si="52"/>
        <v>130</v>
      </c>
      <c r="T72" s="31">
        <f t="shared" si="53"/>
        <v>4050</v>
      </c>
      <c r="U72" s="31">
        <f t="shared" si="54"/>
        <v>450</v>
      </c>
      <c r="V72" s="31">
        <f t="shared" si="55"/>
        <v>450</v>
      </c>
      <c r="W72" s="31">
        <f t="shared" si="57"/>
        <v>300</v>
      </c>
      <c r="X72" s="31">
        <v>0</v>
      </c>
      <c r="Y72" s="31"/>
      <c r="Z72" s="31"/>
      <c r="AA72" s="31">
        <v>15000</v>
      </c>
      <c r="AB72" s="31"/>
      <c r="AC72" s="31"/>
      <c r="AD72" s="31"/>
      <c r="AE72" s="31">
        <f>4*1200</f>
        <v>4800</v>
      </c>
      <c r="AF72" s="31"/>
      <c r="AG72" s="31"/>
      <c r="AH72" s="31"/>
      <c r="AI72" s="31"/>
      <c r="AJ72" s="31"/>
      <c r="AK72" s="31"/>
      <c r="AL72" s="108">
        <f t="shared" si="60"/>
        <v>6226.8</v>
      </c>
      <c r="AM72" s="112">
        <f t="shared" si="61"/>
        <v>37360.8</v>
      </c>
      <c r="AN72" s="21" t="s">
        <v>77</v>
      </c>
      <c r="AO72" s="106" t="s">
        <v>78</v>
      </c>
      <c r="AP72" s="21">
        <f t="shared" si="59"/>
        <v>37360.8</v>
      </c>
      <c r="AQ72" s="21"/>
      <c r="AR72" s="21"/>
      <c r="AS72" s="21"/>
      <c r="AT72" s="21"/>
      <c r="AU72" s="21"/>
      <c r="AV72" s="21"/>
      <c r="AW72" s="123">
        <v>1996.5</v>
      </c>
      <c r="AX72" s="23" t="s">
        <v>109</v>
      </c>
      <c r="AY72" s="24"/>
      <c r="AZ72" s="37"/>
      <c r="BA72" s="21" t="s">
        <v>69</v>
      </c>
      <c r="BB72" s="3">
        <v>1</v>
      </c>
    </row>
    <row r="73" s="3" customFormat="1" ht="16.5" customHeight="1" spans="1:54">
      <c r="A73" s="73"/>
      <c r="B73" s="73" t="s">
        <v>187</v>
      </c>
      <c r="C73" s="121" t="s">
        <v>181</v>
      </c>
      <c r="D73" s="122">
        <v>16.1</v>
      </c>
      <c r="E73" s="16">
        <v>1</v>
      </c>
      <c r="F73" s="17">
        <v>128.8</v>
      </c>
      <c r="G73" s="107">
        <v>3</v>
      </c>
      <c r="H73" s="31">
        <v>0</v>
      </c>
      <c r="I73" s="31">
        <v>0</v>
      </c>
      <c r="J73" s="31">
        <v>0</v>
      </c>
      <c r="K73" s="31"/>
      <c r="L73" s="31">
        <v>1</v>
      </c>
      <c r="M73" s="31"/>
      <c r="N73" s="31">
        <f t="shared" si="48"/>
        <v>1800</v>
      </c>
      <c r="O73" s="39">
        <f>D73*40</f>
        <v>644</v>
      </c>
      <c r="P73" s="31">
        <f t="shared" si="49"/>
        <v>0</v>
      </c>
      <c r="Q73" s="31">
        <f t="shared" si="50"/>
        <v>2700</v>
      </c>
      <c r="R73" s="31">
        <f t="shared" si="51"/>
        <v>810</v>
      </c>
      <c r="S73" s="31">
        <f t="shared" si="52"/>
        <v>130</v>
      </c>
      <c r="T73" s="31">
        <f t="shared" si="53"/>
        <v>4050</v>
      </c>
      <c r="U73" s="31">
        <f t="shared" si="54"/>
        <v>450</v>
      </c>
      <c r="V73" s="31">
        <f t="shared" si="55"/>
        <v>450</v>
      </c>
      <c r="W73" s="31">
        <f t="shared" si="57"/>
        <v>300</v>
      </c>
      <c r="X73" s="31">
        <v>0</v>
      </c>
      <c r="Y73" s="31"/>
      <c r="Z73" s="31"/>
      <c r="AA73" s="31">
        <v>15000</v>
      </c>
      <c r="AB73" s="31"/>
      <c r="AC73" s="31"/>
      <c r="AD73" s="31"/>
      <c r="AE73" s="31">
        <f>4*1200</f>
        <v>4800</v>
      </c>
      <c r="AF73" s="31"/>
      <c r="AG73" s="31"/>
      <c r="AH73" s="31"/>
      <c r="AI73" s="31"/>
      <c r="AJ73" s="31"/>
      <c r="AK73" s="31"/>
      <c r="AL73" s="108">
        <f t="shared" si="60"/>
        <v>6226.8</v>
      </c>
      <c r="AM73" s="112">
        <f t="shared" si="61"/>
        <v>37360.8</v>
      </c>
      <c r="AN73" s="21" t="s">
        <v>77</v>
      </c>
      <c r="AO73" s="106" t="s">
        <v>78</v>
      </c>
      <c r="AP73" s="21">
        <f t="shared" si="59"/>
        <v>37360.8</v>
      </c>
      <c r="AQ73" s="21"/>
      <c r="AR73" s="21"/>
      <c r="AS73" s="21"/>
      <c r="AT73" s="21"/>
      <c r="AU73" s="21"/>
      <c r="AV73" s="21"/>
      <c r="AW73" s="123">
        <v>1996.5</v>
      </c>
      <c r="AX73" s="23" t="s">
        <v>109</v>
      </c>
      <c r="AY73" s="24"/>
      <c r="AZ73" s="37"/>
      <c r="BA73" s="21" t="s">
        <v>69</v>
      </c>
      <c r="BB73" s="3">
        <v>1</v>
      </c>
    </row>
    <row r="74" s="3" customFormat="1" ht="16.5" customHeight="1" spans="1:54">
      <c r="A74" s="73"/>
      <c r="B74" s="73" t="s">
        <v>188</v>
      </c>
      <c r="C74" s="121" t="s">
        <v>181</v>
      </c>
      <c r="D74" s="122">
        <v>16.114</v>
      </c>
      <c r="E74" s="16">
        <v>1</v>
      </c>
      <c r="F74" s="17">
        <v>128.912</v>
      </c>
      <c r="G74" s="107">
        <v>3</v>
      </c>
      <c r="H74" s="31">
        <v>0</v>
      </c>
      <c r="I74" s="31">
        <v>0</v>
      </c>
      <c r="J74" s="31">
        <v>0</v>
      </c>
      <c r="K74" s="31"/>
      <c r="L74" s="31">
        <v>1</v>
      </c>
      <c r="M74" s="31"/>
      <c r="N74" s="31">
        <f t="shared" si="48"/>
        <v>1800</v>
      </c>
      <c r="O74" s="39">
        <f>D74*40</f>
        <v>644.56</v>
      </c>
      <c r="P74" s="31">
        <f t="shared" si="49"/>
        <v>0</v>
      </c>
      <c r="Q74" s="31">
        <f t="shared" si="50"/>
        <v>2700</v>
      </c>
      <c r="R74" s="31">
        <f t="shared" si="51"/>
        <v>810</v>
      </c>
      <c r="S74" s="31">
        <f t="shared" si="52"/>
        <v>130</v>
      </c>
      <c r="T74" s="31">
        <f t="shared" si="53"/>
        <v>4050</v>
      </c>
      <c r="U74" s="31">
        <f t="shared" si="54"/>
        <v>450</v>
      </c>
      <c r="V74" s="31">
        <f t="shared" si="55"/>
        <v>450</v>
      </c>
      <c r="W74" s="31">
        <f t="shared" si="57"/>
        <v>300</v>
      </c>
      <c r="X74" s="31">
        <v>0</v>
      </c>
      <c r="Y74" s="31"/>
      <c r="Z74" s="31"/>
      <c r="AA74" s="31">
        <v>15000</v>
      </c>
      <c r="AB74" s="31"/>
      <c r="AC74" s="31"/>
      <c r="AD74" s="31"/>
      <c r="AE74" s="31">
        <f>4*1200</f>
        <v>4800</v>
      </c>
      <c r="AF74" s="31"/>
      <c r="AG74" s="31"/>
      <c r="AH74" s="31"/>
      <c r="AI74" s="31"/>
      <c r="AJ74" s="31"/>
      <c r="AK74" s="31"/>
      <c r="AL74" s="108">
        <f t="shared" si="60"/>
        <v>6226.912</v>
      </c>
      <c r="AM74" s="112">
        <f t="shared" si="61"/>
        <v>37361.472</v>
      </c>
      <c r="AN74" s="21" t="s">
        <v>77</v>
      </c>
      <c r="AO74" s="106" t="s">
        <v>78</v>
      </c>
      <c r="AP74" s="21">
        <f t="shared" si="59"/>
        <v>37361.472</v>
      </c>
      <c r="AQ74" s="21"/>
      <c r="AR74" s="21"/>
      <c r="AS74" s="21"/>
      <c r="AT74" s="21"/>
      <c r="AU74" s="21"/>
      <c r="AV74" s="21"/>
      <c r="AW74" s="123">
        <v>1996.5</v>
      </c>
      <c r="AX74" s="23" t="s">
        <v>109</v>
      </c>
      <c r="AY74" s="24"/>
      <c r="AZ74" s="37"/>
      <c r="BA74" s="21" t="s">
        <v>69</v>
      </c>
      <c r="BB74" s="3">
        <v>1</v>
      </c>
    </row>
    <row r="75" s="3" customFormat="1" ht="16.5" customHeight="1" spans="1:54">
      <c r="A75" s="73"/>
      <c r="B75" s="73" t="s">
        <v>189</v>
      </c>
      <c r="C75" s="121" t="s">
        <v>181</v>
      </c>
      <c r="D75" s="122">
        <v>24.272</v>
      </c>
      <c r="E75" s="16">
        <v>1</v>
      </c>
      <c r="F75" s="17">
        <v>194.176</v>
      </c>
      <c r="G75" s="107">
        <v>3</v>
      </c>
      <c r="H75" s="31">
        <v>0</v>
      </c>
      <c r="I75" s="31">
        <v>0</v>
      </c>
      <c r="J75" s="31">
        <v>0</v>
      </c>
      <c r="K75" s="31"/>
      <c r="L75" s="31">
        <v>1</v>
      </c>
      <c r="M75" s="31"/>
      <c r="N75" s="31">
        <f t="shared" si="48"/>
        <v>1800</v>
      </c>
      <c r="O75" s="39">
        <f>D75*40</f>
        <v>970.88</v>
      </c>
      <c r="P75" s="31">
        <f t="shared" si="49"/>
        <v>0</v>
      </c>
      <c r="Q75" s="31">
        <f t="shared" si="50"/>
        <v>2700</v>
      </c>
      <c r="R75" s="31">
        <f t="shared" si="51"/>
        <v>810</v>
      </c>
      <c r="S75" s="31">
        <f t="shared" si="52"/>
        <v>130</v>
      </c>
      <c r="T75" s="31">
        <f t="shared" si="53"/>
        <v>4050</v>
      </c>
      <c r="U75" s="31">
        <f t="shared" si="54"/>
        <v>450</v>
      </c>
      <c r="V75" s="31">
        <f t="shared" si="55"/>
        <v>450</v>
      </c>
      <c r="W75" s="31">
        <f t="shared" si="57"/>
        <v>300</v>
      </c>
      <c r="X75" s="31">
        <v>0</v>
      </c>
      <c r="Y75" s="31"/>
      <c r="Z75" s="31"/>
      <c r="AA75" s="31">
        <v>15000</v>
      </c>
      <c r="AB75" s="31"/>
      <c r="AC75" s="31"/>
      <c r="AD75" s="31"/>
      <c r="AE75" s="31">
        <f>4*1200</f>
        <v>4800</v>
      </c>
      <c r="AF75" s="31"/>
      <c r="AG75" s="31"/>
      <c r="AH75" s="31"/>
      <c r="AI75" s="31"/>
      <c r="AJ75" s="31"/>
      <c r="AK75" s="31"/>
      <c r="AL75" s="108">
        <f t="shared" si="60"/>
        <v>6292.176</v>
      </c>
      <c r="AM75" s="112">
        <f t="shared" si="61"/>
        <v>37753.056</v>
      </c>
      <c r="AN75" s="21" t="s">
        <v>77</v>
      </c>
      <c r="AO75" s="106" t="s">
        <v>78</v>
      </c>
      <c r="AP75" s="21">
        <f t="shared" si="59"/>
        <v>37753.056</v>
      </c>
      <c r="AQ75" s="21"/>
      <c r="AR75" s="21"/>
      <c r="AS75" s="21"/>
      <c r="AT75" s="21"/>
      <c r="AU75" s="21"/>
      <c r="AV75" s="21"/>
      <c r="AW75" s="123">
        <v>1996.5</v>
      </c>
      <c r="AX75" s="23" t="s">
        <v>109</v>
      </c>
      <c r="AY75" s="24"/>
      <c r="AZ75" s="37"/>
      <c r="BA75" s="21" t="s">
        <v>69</v>
      </c>
      <c r="BB75" s="3">
        <v>1</v>
      </c>
    </row>
    <row r="76" s="3" customFormat="1" ht="16.5" customHeight="1" spans="1:54">
      <c r="A76" s="73"/>
      <c r="B76" s="73" t="s">
        <v>190</v>
      </c>
      <c r="C76" s="121" t="s">
        <v>181</v>
      </c>
      <c r="D76" s="122">
        <v>16.1</v>
      </c>
      <c r="E76" s="16">
        <v>1</v>
      </c>
      <c r="F76" s="17">
        <v>128.8</v>
      </c>
      <c r="G76" s="107">
        <v>3</v>
      </c>
      <c r="H76" s="31">
        <v>0</v>
      </c>
      <c r="I76" s="31">
        <v>0</v>
      </c>
      <c r="J76" s="31">
        <v>0</v>
      </c>
      <c r="K76" s="31"/>
      <c r="L76" s="31">
        <v>1</v>
      </c>
      <c r="M76" s="31"/>
      <c r="N76" s="31">
        <f t="shared" si="48"/>
        <v>1800</v>
      </c>
      <c r="O76" s="39">
        <f>D76*40</f>
        <v>644</v>
      </c>
      <c r="P76" s="31">
        <f t="shared" si="49"/>
        <v>0</v>
      </c>
      <c r="Q76" s="31">
        <f t="shared" si="50"/>
        <v>2700</v>
      </c>
      <c r="R76" s="31">
        <f t="shared" si="51"/>
        <v>810</v>
      </c>
      <c r="S76" s="31">
        <f t="shared" si="52"/>
        <v>130</v>
      </c>
      <c r="T76" s="31">
        <f t="shared" si="53"/>
        <v>4050</v>
      </c>
      <c r="U76" s="31">
        <f t="shared" si="54"/>
        <v>450</v>
      </c>
      <c r="V76" s="31">
        <f t="shared" si="55"/>
        <v>450</v>
      </c>
      <c r="W76" s="31">
        <f t="shared" si="57"/>
        <v>300</v>
      </c>
      <c r="X76" s="31">
        <v>0</v>
      </c>
      <c r="Y76" s="31"/>
      <c r="Z76" s="31"/>
      <c r="AA76" s="31">
        <v>15000</v>
      </c>
      <c r="AB76" s="31"/>
      <c r="AC76" s="31"/>
      <c r="AD76" s="31"/>
      <c r="AE76" s="31">
        <f>4*1200</f>
        <v>4800</v>
      </c>
      <c r="AF76" s="31"/>
      <c r="AG76" s="31"/>
      <c r="AH76" s="31"/>
      <c r="AI76" s="31"/>
      <c r="AJ76" s="31"/>
      <c r="AK76" s="31"/>
      <c r="AL76" s="108">
        <f t="shared" si="60"/>
        <v>6226.8</v>
      </c>
      <c r="AM76" s="112">
        <f t="shared" si="61"/>
        <v>37360.8</v>
      </c>
      <c r="AN76" s="21" t="s">
        <v>77</v>
      </c>
      <c r="AO76" s="106" t="s">
        <v>78</v>
      </c>
      <c r="AP76" s="21">
        <f t="shared" si="59"/>
        <v>37360.8</v>
      </c>
      <c r="AQ76" s="21"/>
      <c r="AR76" s="21"/>
      <c r="AS76" s="21"/>
      <c r="AT76" s="21"/>
      <c r="AU76" s="21"/>
      <c r="AV76" s="21"/>
      <c r="AW76" s="123">
        <v>1996.5</v>
      </c>
      <c r="AX76" s="23" t="s">
        <v>109</v>
      </c>
      <c r="AY76" s="24"/>
      <c r="AZ76" s="38"/>
      <c r="BA76" s="21" t="s">
        <v>69</v>
      </c>
      <c r="BB76" s="3">
        <v>1</v>
      </c>
    </row>
    <row r="77" s="3" customFormat="1" ht="16.5" customHeight="1" spans="1:54">
      <c r="A77" s="73">
        <f>A67+1</f>
        <v>20</v>
      </c>
      <c r="B77" s="13" t="s">
        <v>191</v>
      </c>
      <c r="C77" s="14" t="s">
        <v>192</v>
      </c>
      <c r="D77" s="124">
        <v>60.04</v>
      </c>
      <c r="E77" s="16">
        <v>3</v>
      </c>
      <c r="F77" s="17">
        <v>1831.22</v>
      </c>
      <c r="G77" s="18">
        <v>19</v>
      </c>
      <c r="H77" s="1">
        <v>252</v>
      </c>
      <c r="I77" s="1">
        <v>0</v>
      </c>
      <c r="J77" s="1">
        <v>4</v>
      </c>
      <c r="K77" s="1">
        <v>10</v>
      </c>
      <c r="L77" s="36">
        <v>1</v>
      </c>
      <c r="M77" s="1"/>
      <c r="N77" s="1">
        <v>2000</v>
      </c>
      <c r="O77" s="19">
        <f>D77*35</f>
        <v>2101.4</v>
      </c>
      <c r="P77" s="1">
        <f t="shared" si="49"/>
        <v>5040</v>
      </c>
      <c r="Q77" s="1">
        <f t="shared" si="50"/>
        <v>17100</v>
      </c>
      <c r="R77" s="1">
        <f t="shared" si="51"/>
        <v>5130</v>
      </c>
      <c r="S77" s="1">
        <f t="shared" si="52"/>
        <v>390</v>
      </c>
      <c r="T77" s="1">
        <f t="shared" si="53"/>
        <v>25650</v>
      </c>
      <c r="U77" s="1">
        <f t="shared" si="54"/>
        <v>2850</v>
      </c>
      <c r="V77" s="1">
        <f t="shared" si="55"/>
        <v>1350</v>
      </c>
      <c r="W77" s="1">
        <f t="shared" si="57"/>
        <v>900</v>
      </c>
      <c r="X77" s="1">
        <v>0</v>
      </c>
      <c r="Y77" s="1"/>
      <c r="Z77" s="1"/>
      <c r="AA77" s="1">
        <v>10000</v>
      </c>
      <c r="AB77" s="1"/>
      <c r="AC77" s="1"/>
      <c r="AD77" s="1"/>
      <c r="AE77" s="1">
        <v>4800</v>
      </c>
      <c r="AF77" s="1"/>
      <c r="AG77" s="1"/>
      <c r="AH77" s="1"/>
      <c r="AI77" s="1"/>
      <c r="AJ77" s="1"/>
      <c r="AK77" s="1"/>
      <c r="AL77" s="96">
        <f t="shared" si="60"/>
        <v>15462.28</v>
      </c>
      <c r="AM77" s="97">
        <f t="shared" si="61"/>
        <v>92773.68</v>
      </c>
      <c r="AN77" s="97" t="s">
        <v>77</v>
      </c>
      <c r="AO77" s="106" t="s">
        <v>193</v>
      </c>
      <c r="AQ77" s="21">
        <f>AM77/2</f>
        <v>46386.84</v>
      </c>
      <c r="AR77" s="21"/>
      <c r="AS77" s="21"/>
      <c r="AT77" s="21"/>
      <c r="AU77" s="21">
        <f>AM77/2</f>
        <v>46386.84</v>
      </c>
      <c r="AV77" s="21"/>
      <c r="AW77" s="22" t="s">
        <v>194</v>
      </c>
      <c r="AX77" s="23" t="s">
        <v>66</v>
      </c>
      <c r="AY77" s="98" t="s">
        <v>67</v>
      </c>
      <c r="AZ77" s="22" t="s">
        <v>175</v>
      </c>
      <c r="BA77" s="21" t="s">
        <v>69</v>
      </c>
      <c r="BB77" s="3">
        <v>1</v>
      </c>
    </row>
    <row r="78" s="3" customFormat="1" ht="16.5" customHeight="1" spans="1:54">
      <c r="A78" s="110">
        <f>A77+1</f>
        <v>21</v>
      </c>
      <c r="B78" s="13" t="s">
        <v>195</v>
      </c>
      <c r="C78" s="14" t="s">
        <v>196</v>
      </c>
      <c r="D78" s="99">
        <v>384</v>
      </c>
      <c r="E78" s="25">
        <v>11</v>
      </c>
      <c r="F78" s="100">
        <v>13885.44</v>
      </c>
      <c r="G78" s="25">
        <v>46</v>
      </c>
      <c r="H78" s="25">
        <v>240</v>
      </c>
      <c r="I78" s="25">
        <v>14</v>
      </c>
      <c r="J78" s="25">
        <v>5</v>
      </c>
      <c r="K78" s="25"/>
      <c r="L78" s="101">
        <v>6</v>
      </c>
      <c r="M78" s="31">
        <f>8500*2</f>
        <v>17000</v>
      </c>
      <c r="N78" s="31">
        <f>1800*4</f>
        <v>7200</v>
      </c>
      <c r="O78" s="39">
        <f t="shared" ref="O78:O88" si="62">D78*30</f>
        <v>11520</v>
      </c>
      <c r="P78" s="31">
        <f t="shared" ref="P78:P104" si="63">H78*20+I78*50</f>
        <v>5500</v>
      </c>
      <c r="Q78" s="31">
        <f t="shared" ref="Q78:Q104" si="64">G78*10*90</f>
        <v>41400</v>
      </c>
      <c r="R78" s="31">
        <f t="shared" ref="R78:R104" si="65">G78*9*30</f>
        <v>12420</v>
      </c>
      <c r="S78" s="31">
        <f t="shared" ref="S78:S104" si="66">E78*1*130</f>
        <v>1430</v>
      </c>
      <c r="T78" s="31">
        <f t="shared" ref="T78:T104" si="67">G78*30*45</f>
        <v>62100</v>
      </c>
      <c r="U78" s="31">
        <f t="shared" ref="U78:U104" si="68">G78*10*15</f>
        <v>6900</v>
      </c>
      <c r="V78" s="31">
        <f t="shared" ref="V78:V104" si="69">E78*10*45</f>
        <v>4950</v>
      </c>
      <c r="W78" s="31">
        <f>E78*10*30</f>
        <v>3300</v>
      </c>
      <c r="X78" s="102">
        <f>236*30</f>
        <v>7080</v>
      </c>
      <c r="Y78" s="31"/>
      <c r="Z78" s="31"/>
      <c r="AA78" s="31">
        <v>150000</v>
      </c>
      <c r="AB78" s="31"/>
      <c r="AC78" s="31"/>
      <c r="AD78" s="31"/>
      <c r="AE78" s="31">
        <v>9600</v>
      </c>
      <c r="AF78" s="31"/>
      <c r="AG78" s="31"/>
      <c r="AH78" s="31"/>
      <c r="AI78" s="31">
        <v>5000</v>
      </c>
      <c r="AJ78" s="31">
        <v>8000</v>
      </c>
      <c r="AK78" s="31">
        <v>2700</v>
      </c>
      <c r="AL78" s="31">
        <f t="shared" ref="AL78:AL90" si="70">SUM(M78:AK78)*0.2</f>
        <v>71220</v>
      </c>
      <c r="AM78" s="104">
        <f t="shared" ref="AM78:AM90" si="71">SUM(M78:AL78)</f>
        <v>427320</v>
      </c>
      <c r="AN78" s="21" t="s">
        <v>100</v>
      </c>
      <c r="AO78" s="21" t="s">
        <v>72</v>
      </c>
      <c r="AP78" s="21"/>
      <c r="AQ78" s="21">
        <f>AM78</f>
        <v>427320</v>
      </c>
      <c r="AR78" s="21"/>
      <c r="AS78" s="21"/>
      <c r="AT78" s="21"/>
      <c r="AU78" s="21"/>
      <c r="AV78" s="21"/>
      <c r="AW78" s="41">
        <v>2020.8</v>
      </c>
      <c r="AX78" s="23" t="s">
        <v>83</v>
      </c>
      <c r="AY78" s="24"/>
      <c r="AZ78" s="22" t="s">
        <v>68</v>
      </c>
      <c r="BA78" s="21" t="s">
        <v>86</v>
      </c>
      <c r="BB78" s="3">
        <v>3</v>
      </c>
    </row>
    <row r="79" s="3" customFormat="1" ht="16.5" customHeight="1" spans="1:54">
      <c r="A79" s="125">
        <f>A78+1</f>
        <v>22</v>
      </c>
      <c r="B79" s="126" t="s">
        <v>197</v>
      </c>
      <c r="C79" s="41" t="s">
        <v>198</v>
      </c>
      <c r="D79" s="41">
        <v>255</v>
      </c>
      <c r="E79" s="25">
        <v>2</v>
      </c>
      <c r="F79" s="100">
        <v>10072.5</v>
      </c>
      <c r="G79" s="107">
        <v>4</v>
      </c>
      <c r="H79" s="31">
        <v>9</v>
      </c>
      <c r="I79" s="31"/>
      <c r="J79" s="31">
        <v>2</v>
      </c>
      <c r="K79" s="31"/>
      <c r="L79" s="107">
        <v>5</v>
      </c>
      <c r="M79" s="31">
        <f>8500*L79</f>
        <v>42500</v>
      </c>
      <c r="N79" s="31"/>
      <c r="O79" s="39">
        <f t="shared" si="62"/>
        <v>7650</v>
      </c>
      <c r="P79" s="31">
        <f t="shared" si="63"/>
        <v>180</v>
      </c>
      <c r="Q79" s="31">
        <f t="shared" si="64"/>
        <v>3600</v>
      </c>
      <c r="R79" s="31">
        <f t="shared" si="65"/>
        <v>1080</v>
      </c>
      <c r="S79" s="31">
        <f t="shared" si="66"/>
        <v>260</v>
      </c>
      <c r="T79" s="31">
        <f t="shared" si="67"/>
        <v>5400</v>
      </c>
      <c r="U79" s="31">
        <f t="shared" si="68"/>
        <v>600</v>
      </c>
      <c r="V79" s="31">
        <f t="shared" si="69"/>
        <v>900</v>
      </c>
      <c r="W79" s="31">
        <f t="shared" ref="W79:W104" si="72">E79*30*10</f>
        <v>600</v>
      </c>
      <c r="X79" s="31">
        <f t="shared" ref="X79:X104" si="73">(E79*4+1)*2*30</f>
        <v>540</v>
      </c>
      <c r="Y79" s="31"/>
      <c r="Z79" s="31"/>
      <c r="AA79" s="31">
        <v>50000</v>
      </c>
      <c r="AB79" s="31"/>
      <c r="AC79" s="31"/>
      <c r="AD79" s="31"/>
      <c r="AE79" s="31">
        <f>1200*6</f>
        <v>7200</v>
      </c>
      <c r="AF79" s="31"/>
      <c r="AG79" s="31"/>
      <c r="AH79" s="31"/>
      <c r="AI79" s="31">
        <v>5000</v>
      </c>
      <c r="AJ79" s="31">
        <v>8000</v>
      </c>
      <c r="AK79" s="31">
        <v>2700</v>
      </c>
      <c r="AL79" s="108">
        <f t="shared" si="70"/>
        <v>27242</v>
      </c>
      <c r="AM79" s="109">
        <f t="shared" si="71"/>
        <v>163452</v>
      </c>
      <c r="AN79" s="21" t="s">
        <v>95</v>
      </c>
      <c r="AO79" s="21" t="s">
        <v>178</v>
      </c>
      <c r="AP79" s="21"/>
      <c r="AQ79" s="21"/>
      <c r="AR79" s="21"/>
      <c r="AS79" s="21"/>
      <c r="AT79" s="21">
        <f t="shared" ref="AT79:AT104" si="74">AM79</f>
        <v>163452</v>
      </c>
      <c r="AU79" s="21"/>
      <c r="AV79" s="21"/>
      <c r="AW79" s="127">
        <v>2022</v>
      </c>
      <c r="AX79" s="23" t="s">
        <v>199</v>
      </c>
      <c r="AY79" s="24"/>
      <c r="AZ79" s="35" t="s">
        <v>110</v>
      </c>
      <c r="BA79" s="21" t="s">
        <v>86</v>
      </c>
      <c r="BB79" s="3">
        <v>1</v>
      </c>
    </row>
    <row r="80" s="3" customFormat="1" ht="16.5" customHeight="1" spans="1:54">
      <c r="A80" s="128"/>
      <c r="B80" s="41" t="s">
        <v>200</v>
      </c>
      <c r="C80" s="41" t="s">
        <v>198</v>
      </c>
      <c r="D80" s="41">
        <v>3448.5</v>
      </c>
      <c r="E80" s="25">
        <v>109</v>
      </c>
      <c r="F80" s="100">
        <v>95526.43</v>
      </c>
      <c r="G80" s="107">
        <f>261+88</f>
        <v>349</v>
      </c>
      <c r="H80" s="31">
        <v>1111</v>
      </c>
      <c r="I80" s="31">
        <v>151</v>
      </c>
      <c r="J80" s="31">
        <v>39</v>
      </c>
      <c r="K80" s="31"/>
      <c r="L80" s="107">
        <v>10</v>
      </c>
      <c r="M80" s="31">
        <f>8500*L80</f>
        <v>85000</v>
      </c>
      <c r="N80" s="31"/>
      <c r="O80" s="39">
        <f>D80*25</f>
        <v>86212.5</v>
      </c>
      <c r="P80" s="31">
        <f t="shared" si="63"/>
        <v>29770</v>
      </c>
      <c r="Q80" s="31">
        <f t="shared" si="64"/>
        <v>314100</v>
      </c>
      <c r="R80" s="31">
        <f t="shared" si="65"/>
        <v>94230</v>
      </c>
      <c r="S80" s="31">
        <f t="shared" si="66"/>
        <v>14170</v>
      </c>
      <c r="T80" s="31">
        <f t="shared" si="67"/>
        <v>471150</v>
      </c>
      <c r="U80" s="31">
        <f t="shared" si="68"/>
        <v>52350</v>
      </c>
      <c r="V80" s="31">
        <f t="shared" si="69"/>
        <v>49050</v>
      </c>
      <c r="W80" s="31">
        <f t="shared" si="72"/>
        <v>32700</v>
      </c>
      <c r="X80" s="31">
        <f t="shared" si="73"/>
        <v>26220</v>
      </c>
      <c r="Y80" s="31"/>
      <c r="Z80" s="31"/>
      <c r="AA80" s="31">
        <v>15000</v>
      </c>
      <c r="AB80" s="31"/>
      <c r="AC80" s="31"/>
      <c r="AD80" s="31"/>
      <c r="AE80" s="31">
        <f>1200*6</f>
        <v>7200</v>
      </c>
      <c r="AF80" s="31"/>
      <c r="AG80" s="31"/>
      <c r="AH80" s="31"/>
      <c r="AI80" s="31"/>
      <c r="AJ80" s="31">
        <f>1600*8</f>
        <v>12800</v>
      </c>
      <c r="AK80" s="31">
        <f>2400*8</f>
        <v>19200</v>
      </c>
      <c r="AL80" s="108">
        <f t="shared" si="70"/>
        <v>261830.5</v>
      </c>
      <c r="AM80" s="109">
        <f t="shared" si="71"/>
        <v>1570983</v>
      </c>
      <c r="AN80" s="21" t="s">
        <v>95</v>
      </c>
      <c r="AO80" s="21" t="s">
        <v>178</v>
      </c>
      <c r="AP80" s="21"/>
      <c r="AQ80" s="21"/>
      <c r="AR80" s="21"/>
      <c r="AS80" s="21"/>
      <c r="AT80" s="10">
        <f t="shared" si="74"/>
        <v>1570983</v>
      </c>
      <c r="AU80" s="21"/>
      <c r="AV80" s="21"/>
      <c r="AW80" s="127">
        <v>2022</v>
      </c>
      <c r="AX80" s="23" t="s">
        <v>199</v>
      </c>
      <c r="AY80" s="24"/>
      <c r="AZ80" s="37"/>
      <c r="BA80" s="21" t="s">
        <v>111</v>
      </c>
      <c r="BB80" s="3">
        <v>1</v>
      </c>
    </row>
    <row r="81" s="3" customFormat="1" ht="16.5" customHeight="1" spans="1:54">
      <c r="A81" s="128"/>
      <c r="B81" s="41" t="s">
        <v>201</v>
      </c>
      <c r="C81" s="41" t="s">
        <v>198</v>
      </c>
      <c r="D81" s="41">
        <v>300</v>
      </c>
      <c r="E81" s="25">
        <v>9</v>
      </c>
      <c r="F81" s="100">
        <v>2253</v>
      </c>
      <c r="G81" s="107">
        <f>6+4</f>
        <v>10</v>
      </c>
      <c r="H81" s="31">
        <v>36</v>
      </c>
      <c r="I81" s="31"/>
      <c r="J81" s="31">
        <v>4</v>
      </c>
      <c r="K81" s="31"/>
      <c r="L81" s="129">
        <v>0.5</v>
      </c>
      <c r="M81" s="31"/>
      <c r="N81" s="31">
        <f t="shared" ref="N81:N92" si="75">1800*L81</f>
        <v>900</v>
      </c>
      <c r="O81" s="39">
        <f t="shared" si="62"/>
        <v>9000</v>
      </c>
      <c r="P81" s="31">
        <f t="shared" si="63"/>
        <v>720</v>
      </c>
      <c r="Q81" s="31">
        <f t="shared" si="64"/>
        <v>9000</v>
      </c>
      <c r="R81" s="31">
        <f t="shared" si="65"/>
        <v>2700</v>
      </c>
      <c r="S81" s="31">
        <f t="shared" si="66"/>
        <v>1170</v>
      </c>
      <c r="T81" s="31">
        <f t="shared" si="67"/>
        <v>13500</v>
      </c>
      <c r="U81" s="31">
        <f t="shared" si="68"/>
        <v>1500</v>
      </c>
      <c r="V81" s="31">
        <f t="shared" si="69"/>
        <v>4050</v>
      </c>
      <c r="W81" s="31">
        <f t="shared" si="72"/>
        <v>2700</v>
      </c>
      <c r="X81" s="31">
        <f t="shared" si="73"/>
        <v>2220</v>
      </c>
      <c r="Y81" s="31"/>
      <c r="Z81" s="31"/>
      <c r="AA81" s="31">
        <v>15000</v>
      </c>
      <c r="AB81" s="31"/>
      <c r="AC81" s="31"/>
      <c r="AD81" s="31"/>
      <c r="AE81" s="31">
        <f t="shared" ref="AE81:AE92" si="76">1200*4</f>
        <v>4800</v>
      </c>
      <c r="AF81" s="31"/>
      <c r="AG81" s="31"/>
      <c r="AH81" s="31"/>
      <c r="AI81" s="31"/>
      <c r="AJ81" s="31"/>
      <c r="AK81" s="31"/>
      <c r="AL81" s="108">
        <f t="shared" si="70"/>
        <v>13452</v>
      </c>
      <c r="AM81" s="109">
        <f t="shared" si="71"/>
        <v>80712</v>
      </c>
      <c r="AN81" s="21" t="s">
        <v>95</v>
      </c>
      <c r="AO81" s="21" t="s">
        <v>178</v>
      </c>
      <c r="AP81" s="21"/>
      <c r="AQ81" s="21"/>
      <c r="AR81" s="21"/>
      <c r="AS81" s="21"/>
      <c r="AT81" s="21">
        <f t="shared" si="74"/>
        <v>80712</v>
      </c>
      <c r="AU81" s="21"/>
      <c r="AV81" s="21"/>
      <c r="AW81" s="127">
        <v>2022</v>
      </c>
      <c r="AX81" s="23" t="s">
        <v>199</v>
      </c>
      <c r="AY81" s="24"/>
      <c r="AZ81" s="37"/>
      <c r="BA81" s="21" t="s">
        <v>111</v>
      </c>
      <c r="BB81" s="3">
        <v>1</v>
      </c>
    </row>
    <row r="82" s="3" customFormat="1" ht="16.5" customHeight="1" spans="1:54">
      <c r="A82" s="128"/>
      <c r="B82" s="41" t="s">
        <v>202</v>
      </c>
      <c r="C82" s="41" t="s">
        <v>198</v>
      </c>
      <c r="D82" s="41">
        <v>261</v>
      </c>
      <c r="E82" s="25">
        <v>7</v>
      </c>
      <c r="F82" s="100">
        <v>2148</v>
      </c>
      <c r="G82" s="107">
        <f>5+3</f>
        <v>8</v>
      </c>
      <c r="H82" s="31">
        <v>28</v>
      </c>
      <c r="I82" s="31"/>
      <c r="J82" s="31">
        <v>3</v>
      </c>
      <c r="K82" s="31"/>
      <c r="L82" s="129">
        <v>0.5</v>
      </c>
      <c r="M82" s="31"/>
      <c r="N82" s="31">
        <f t="shared" si="75"/>
        <v>900</v>
      </c>
      <c r="O82" s="39">
        <f t="shared" si="62"/>
        <v>7830</v>
      </c>
      <c r="P82" s="31">
        <f t="shared" si="63"/>
        <v>560</v>
      </c>
      <c r="Q82" s="31">
        <f t="shared" si="64"/>
        <v>7200</v>
      </c>
      <c r="R82" s="31">
        <f t="shared" si="65"/>
        <v>2160</v>
      </c>
      <c r="S82" s="31">
        <f t="shared" si="66"/>
        <v>910</v>
      </c>
      <c r="T82" s="31">
        <f t="shared" si="67"/>
        <v>10800</v>
      </c>
      <c r="U82" s="31">
        <f t="shared" si="68"/>
        <v>1200</v>
      </c>
      <c r="V82" s="31">
        <f t="shared" si="69"/>
        <v>3150</v>
      </c>
      <c r="W82" s="31">
        <f t="shared" si="72"/>
        <v>2100</v>
      </c>
      <c r="X82" s="31">
        <f t="shared" si="73"/>
        <v>1740</v>
      </c>
      <c r="Y82" s="31"/>
      <c r="Z82" s="31"/>
      <c r="AA82" s="31">
        <v>15000</v>
      </c>
      <c r="AB82" s="31"/>
      <c r="AC82" s="31"/>
      <c r="AD82" s="31"/>
      <c r="AE82" s="31">
        <f t="shared" si="76"/>
        <v>4800</v>
      </c>
      <c r="AF82" s="31"/>
      <c r="AG82" s="31"/>
      <c r="AH82" s="31"/>
      <c r="AI82" s="31"/>
      <c r="AJ82" s="31"/>
      <c r="AK82" s="31"/>
      <c r="AL82" s="108">
        <f t="shared" si="70"/>
        <v>11670</v>
      </c>
      <c r="AM82" s="109">
        <f t="shared" si="71"/>
        <v>70020</v>
      </c>
      <c r="AN82" s="21" t="s">
        <v>95</v>
      </c>
      <c r="AO82" s="21" t="s">
        <v>178</v>
      </c>
      <c r="AP82" s="21"/>
      <c r="AQ82" s="21"/>
      <c r="AR82" s="21"/>
      <c r="AS82" s="21"/>
      <c r="AT82" s="21">
        <f t="shared" si="74"/>
        <v>70020</v>
      </c>
      <c r="AU82" s="21"/>
      <c r="AV82" s="21"/>
      <c r="AW82" s="127">
        <v>2022</v>
      </c>
      <c r="AX82" s="23" t="s">
        <v>199</v>
      </c>
      <c r="AY82" s="24"/>
      <c r="AZ82" s="37"/>
      <c r="BA82" s="21" t="s">
        <v>111</v>
      </c>
      <c r="BB82" s="3">
        <v>1</v>
      </c>
    </row>
    <row r="83" s="3" customFormat="1" ht="16.5" customHeight="1" spans="1:54">
      <c r="A83" s="128"/>
      <c r="B83" s="41" t="s">
        <v>203</v>
      </c>
      <c r="C83" s="41" t="s">
        <v>198</v>
      </c>
      <c r="D83" s="41">
        <v>88</v>
      </c>
      <c r="E83" s="25">
        <v>2</v>
      </c>
      <c r="F83" s="100">
        <v>718</v>
      </c>
      <c r="G83" s="107">
        <f>2+2</f>
        <v>4</v>
      </c>
      <c r="H83" s="31">
        <v>12</v>
      </c>
      <c r="I83" s="31"/>
      <c r="J83" s="31">
        <v>1</v>
      </c>
      <c r="K83" s="31"/>
      <c r="L83" s="129">
        <v>0.5</v>
      </c>
      <c r="M83" s="31"/>
      <c r="N83" s="31">
        <f t="shared" si="75"/>
        <v>900</v>
      </c>
      <c r="O83" s="39">
        <f t="shared" si="62"/>
        <v>2640</v>
      </c>
      <c r="P83" s="31">
        <f t="shared" si="63"/>
        <v>240</v>
      </c>
      <c r="Q83" s="31">
        <f t="shared" si="64"/>
        <v>3600</v>
      </c>
      <c r="R83" s="31">
        <f t="shared" si="65"/>
        <v>1080</v>
      </c>
      <c r="S83" s="31">
        <f t="shared" si="66"/>
        <v>260</v>
      </c>
      <c r="T83" s="31">
        <f t="shared" si="67"/>
        <v>5400</v>
      </c>
      <c r="U83" s="31">
        <f t="shared" si="68"/>
        <v>600</v>
      </c>
      <c r="V83" s="31">
        <f t="shared" si="69"/>
        <v>900</v>
      </c>
      <c r="W83" s="31">
        <f t="shared" si="72"/>
        <v>600</v>
      </c>
      <c r="X83" s="31">
        <f t="shared" si="73"/>
        <v>540</v>
      </c>
      <c r="Y83" s="31"/>
      <c r="Z83" s="31"/>
      <c r="AA83" s="31">
        <v>15000</v>
      </c>
      <c r="AB83" s="31"/>
      <c r="AC83" s="31"/>
      <c r="AD83" s="31"/>
      <c r="AE83" s="31">
        <f t="shared" si="76"/>
        <v>4800</v>
      </c>
      <c r="AF83" s="31"/>
      <c r="AG83" s="31"/>
      <c r="AH83" s="31"/>
      <c r="AI83" s="31"/>
      <c r="AJ83" s="31"/>
      <c r="AK83" s="31"/>
      <c r="AL83" s="108">
        <f t="shared" si="70"/>
        <v>7312</v>
      </c>
      <c r="AM83" s="109">
        <f t="shared" si="71"/>
        <v>43872</v>
      </c>
      <c r="AN83" s="21" t="s">
        <v>95</v>
      </c>
      <c r="AO83" s="21" t="s">
        <v>178</v>
      </c>
      <c r="AP83" s="21"/>
      <c r="AQ83" s="21"/>
      <c r="AR83" s="21"/>
      <c r="AS83" s="21"/>
      <c r="AT83" s="21">
        <f t="shared" si="74"/>
        <v>43872</v>
      </c>
      <c r="AU83" s="21"/>
      <c r="AV83" s="21"/>
      <c r="AW83" s="127">
        <v>2022</v>
      </c>
      <c r="AX83" s="23" t="s">
        <v>199</v>
      </c>
      <c r="AY83" s="24"/>
      <c r="AZ83" s="37"/>
      <c r="BA83" s="21" t="s">
        <v>111</v>
      </c>
      <c r="BB83" s="3">
        <v>1</v>
      </c>
    </row>
    <row r="84" s="3" customFormat="1" ht="16.5" customHeight="1" spans="1:54">
      <c r="A84" s="128"/>
      <c r="B84" s="41" t="s">
        <v>204</v>
      </c>
      <c r="C84" s="41" t="s">
        <v>198</v>
      </c>
      <c r="D84" s="41">
        <v>251</v>
      </c>
      <c r="E84" s="25">
        <v>9</v>
      </c>
      <c r="F84" s="100">
        <v>1879</v>
      </c>
      <c r="G84" s="107">
        <f>9+7</f>
        <v>16</v>
      </c>
      <c r="H84" s="31">
        <v>84</v>
      </c>
      <c r="I84" s="31"/>
      <c r="J84" s="31">
        <v>3</v>
      </c>
      <c r="K84" s="31"/>
      <c r="L84" s="129">
        <v>0.5</v>
      </c>
      <c r="M84" s="31"/>
      <c r="N84" s="31">
        <f t="shared" si="75"/>
        <v>900</v>
      </c>
      <c r="O84" s="39">
        <f t="shared" si="62"/>
        <v>7530</v>
      </c>
      <c r="P84" s="31">
        <f t="shared" si="63"/>
        <v>1680</v>
      </c>
      <c r="Q84" s="31">
        <f t="shared" si="64"/>
        <v>14400</v>
      </c>
      <c r="R84" s="31">
        <f t="shared" si="65"/>
        <v>4320</v>
      </c>
      <c r="S84" s="31">
        <f t="shared" si="66"/>
        <v>1170</v>
      </c>
      <c r="T84" s="31">
        <f t="shared" si="67"/>
        <v>21600</v>
      </c>
      <c r="U84" s="31">
        <f t="shared" si="68"/>
        <v>2400</v>
      </c>
      <c r="V84" s="31">
        <f t="shared" si="69"/>
        <v>4050</v>
      </c>
      <c r="W84" s="31">
        <f t="shared" si="72"/>
        <v>2700</v>
      </c>
      <c r="X84" s="31">
        <f t="shared" si="73"/>
        <v>2220</v>
      </c>
      <c r="Y84" s="31"/>
      <c r="Z84" s="31"/>
      <c r="AA84" s="31">
        <v>15000</v>
      </c>
      <c r="AB84" s="31"/>
      <c r="AC84" s="31"/>
      <c r="AD84" s="31"/>
      <c r="AE84" s="31">
        <f t="shared" si="76"/>
        <v>4800</v>
      </c>
      <c r="AF84" s="31"/>
      <c r="AG84" s="31"/>
      <c r="AH84" s="31"/>
      <c r="AI84" s="31"/>
      <c r="AJ84" s="31"/>
      <c r="AK84" s="31"/>
      <c r="AL84" s="108">
        <f t="shared" si="70"/>
        <v>16554</v>
      </c>
      <c r="AM84" s="109">
        <f t="shared" si="71"/>
        <v>99324</v>
      </c>
      <c r="AN84" s="21" t="s">
        <v>95</v>
      </c>
      <c r="AO84" s="21" t="s">
        <v>178</v>
      </c>
      <c r="AP84" s="21"/>
      <c r="AQ84" s="21"/>
      <c r="AR84" s="21"/>
      <c r="AS84" s="21"/>
      <c r="AT84" s="21">
        <f t="shared" si="74"/>
        <v>99324</v>
      </c>
      <c r="AU84" s="21"/>
      <c r="AV84" s="21"/>
      <c r="AW84" s="127">
        <v>2022</v>
      </c>
      <c r="AX84" s="23" t="s">
        <v>199</v>
      </c>
      <c r="AY84" s="24"/>
      <c r="AZ84" s="37"/>
      <c r="BA84" s="21" t="s">
        <v>111</v>
      </c>
      <c r="BB84" s="3">
        <v>1</v>
      </c>
    </row>
    <row r="85" s="3" customFormat="1" ht="16.5" customHeight="1" spans="1:54">
      <c r="A85" s="128"/>
      <c r="B85" s="41" t="s">
        <v>205</v>
      </c>
      <c r="C85" s="41" t="s">
        <v>198</v>
      </c>
      <c r="D85" s="41">
        <v>238</v>
      </c>
      <c r="E85" s="25">
        <v>6</v>
      </c>
      <c r="F85" s="100">
        <v>1788</v>
      </c>
      <c r="G85" s="107">
        <f>4+5</f>
        <v>9</v>
      </c>
      <c r="H85" s="31">
        <v>24</v>
      </c>
      <c r="I85" s="31"/>
      <c r="J85" s="31">
        <v>3</v>
      </c>
      <c r="K85" s="31"/>
      <c r="L85" s="129">
        <v>0.5</v>
      </c>
      <c r="M85" s="31"/>
      <c r="N85" s="31">
        <f t="shared" si="75"/>
        <v>900</v>
      </c>
      <c r="O85" s="39">
        <f t="shared" si="62"/>
        <v>7140</v>
      </c>
      <c r="P85" s="31">
        <f t="shared" si="63"/>
        <v>480</v>
      </c>
      <c r="Q85" s="31">
        <f t="shared" si="64"/>
        <v>8100</v>
      </c>
      <c r="R85" s="31">
        <f t="shared" si="65"/>
        <v>2430</v>
      </c>
      <c r="S85" s="31">
        <f t="shared" si="66"/>
        <v>780</v>
      </c>
      <c r="T85" s="31">
        <f t="shared" si="67"/>
        <v>12150</v>
      </c>
      <c r="U85" s="31">
        <f t="shared" si="68"/>
        <v>1350</v>
      </c>
      <c r="V85" s="31">
        <f t="shared" si="69"/>
        <v>2700</v>
      </c>
      <c r="W85" s="31">
        <f t="shared" si="72"/>
        <v>1800</v>
      </c>
      <c r="X85" s="31">
        <f t="shared" si="73"/>
        <v>1500</v>
      </c>
      <c r="Y85" s="31"/>
      <c r="Z85" s="31"/>
      <c r="AA85" s="31">
        <v>15000</v>
      </c>
      <c r="AB85" s="31"/>
      <c r="AC85" s="31"/>
      <c r="AD85" s="31"/>
      <c r="AE85" s="31">
        <f t="shared" si="76"/>
        <v>4800</v>
      </c>
      <c r="AF85" s="31"/>
      <c r="AG85" s="31"/>
      <c r="AH85" s="31"/>
      <c r="AI85" s="31"/>
      <c r="AJ85" s="31"/>
      <c r="AK85" s="31"/>
      <c r="AL85" s="108">
        <f t="shared" si="70"/>
        <v>11826</v>
      </c>
      <c r="AM85" s="109">
        <f t="shared" si="71"/>
        <v>70956</v>
      </c>
      <c r="AN85" s="21" t="s">
        <v>95</v>
      </c>
      <c r="AO85" s="21" t="s">
        <v>178</v>
      </c>
      <c r="AP85" s="21"/>
      <c r="AQ85" s="21"/>
      <c r="AR85" s="21"/>
      <c r="AS85" s="21"/>
      <c r="AT85" s="21">
        <f t="shared" si="74"/>
        <v>70956</v>
      </c>
      <c r="AU85" s="21"/>
      <c r="AV85" s="21"/>
      <c r="AW85" s="127">
        <v>2022</v>
      </c>
      <c r="AX85" s="23" t="s">
        <v>199</v>
      </c>
      <c r="AY85" s="24"/>
      <c r="AZ85" s="37"/>
      <c r="BA85" s="21" t="s">
        <v>111</v>
      </c>
      <c r="BB85" s="3">
        <v>1</v>
      </c>
    </row>
    <row r="86" s="3" customFormat="1" ht="16.5" customHeight="1" spans="1:54">
      <c r="A86" s="128"/>
      <c r="B86" s="41" t="s">
        <v>206</v>
      </c>
      <c r="C86" s="41" t="s">
        <v>198</v>
      </c>
      <c r="D86" s="41">
        <v>246</v>
      </c>
      <c r="E86" s="25">
        <v>7</v>
      </c>
      <c r="F86" s="100">
        <v>2576</v>
      </c>
      <c r="G86" s="107">
        <f>8+7</f>
        <v>15</v>
      </c>
      <c r="H86" s="31">
        <v>48</v>
      </c>
      <c r="I86" s="31"/>
      <c r="J86" s="31">
        <v>3</v>
      </c>
      <c r="K86" s="31"/>
      <c r="L86" s="129">
        <v>0.5</v>
      </c>
      <c r="M86" s="31"/>
      <c r="N86" s="31">
        <f t="shared" si="75"/>
        <v>900</v>
      </c>
      <c r="O86" s="39">
        <f t="shared" si="62"/>
        <v>7380</v>
      </c>
      <c r="P86" s="31">
        <f t="shared" si="63"/>
        <v>960</v>
      </c>
      <c r="Q86" s="31">
        <f t="shared" si="64"/>
        <v>13500</v>
      </c>
      <c r="R86" s="31">
        <f t="shared" si="65"/>
        <v>4050</v>
      </c>
      <c r="S86" s="31">
        <f t="shared" si="66"/>
        <v>910</v>
      </c>
      <c r="T86" s="31">
        <f t="shared" si="67"/>
        <v>20250</v>
      </c>
      <c r="U86" s="31">
        <f t="shared" si="68"/>
        <v>2250</v>
      </c>
      <c r="V86" s="31">
        <f t="shared" si="69"/>
        <v>3150</v>
      </c>
      <c r="W86" s="31">
        <f t="shared" si="72"/>
        <v>2100</v>
      </c>
      <c r="X86" s="31">
        <f t="shared" si="73"/>
        <v>1740</v>
      </c>
      <c r="Y86" s="31"/>
      <c r="Z86" s="31"/>
      <c r="AA86" s="31">
        <v>15000</v>
      </c>
      <c r="AB86" s="31"/>
      <c r="AC86" s="31"/>
      <c r="AD86" s="31"/>
      <c r="AE86" s="31">
        <f t="shared" si="76"/>
        <v>4800</v>
      </c>
      <c r="AF86" s="31"/>
      <c r="AG86" s="31"/>
      <c r="AH86" s="31"/>
      <c r="AI86" s="31"/>
      <c r="AJ86" s="31"/>
      <c r="AK86" s="31"/>
      <c r="AL86" s="108">
        <f t="shared" si="70"/>
        <v>15398</v>
      </c>
      <c r="AM86" s="109">
        <f t="shared" si="71"/>
        <v>92388</v>
      </c>
      <c r="AN86" s="21" t="s">
        <v>95</v>
      </c>
      <c r="AO86" s="21" t="s">
        <v>178</v>
      </c>
      <c r="AP86" s="21"/>
      <c r="AQ86" s="21"/>
      <c r="AR86" s="21"/>
      <c r="AS86" s="21"/>
      <c r="AT86" s="21">
        <f t="shared" si="74"/>
        <v>92388</v>
      </c>
      <c r="AU86" s="21"/>
      <c r="AV86" s="21"/>
      <c r="AW86" s="127">
        <v>2022</v>
      </c>
      <c r="AX86" s="23" t="s">
        <v>199</v>
      </c>
      <c r="AY86" s="24"/>
      <c r="AZ86" s="37"/>
      <c r="BA86" s="21" t="s">
        <v>111</v>
      </c>
      <c r="BB86" s="3">
        <v>1</v>
      </c>
    </row>
    <row r="87" s="3" customFormat="1" ht="16.5" customHeight="1" spans="1:54">
      <c r="A87" s="128"/>
      <c r="B87" s="41" t="s">
        <v>207</v>
      </c>
      <c r="C87" s="41" t="s">
        <v>198</v>
      </c>
      <c r="D87" s="41">
        <v>263</v>
      </c>
      <c r="E87" s="25">
        <v>7</v>
      </c>
      <c r="F87" s="100">
        <v>2183</v>
      </c>
      <c r="G87" s="107">
        <f>5+5</f>
        <v>10</v>
      </c>
      <c r="H87" s="31">
        <v>28</v>
      </c>
      <c r="I87" s="31"/>
      <c r="J87" s="31">
        <v>3</v>
      </c>
      <c r="K87" s="31"/>
      <c r="L87" s="129">
        <v>0.5</v>
      </c>
      <c r="M87" s="31"/>
      <c r="N87" s="31">
        <f t="shared" si="75"/>
        <v>900</v>
      </c>
      <c r="O87" s="39">
        <f t="shared" si="62"/>
        <v>7890</v>
      </c>
      <c r="P87" s="31">
        <f t="shared" si="63"/>
        <v>560</v>
      </c>
      <c r="Q87" s="31">
        <f t="shared" si="64"/>
        <v>9000</v>
      </c>
      <c r="R87" s="31">
        <f t="shared" si="65"/>
        <v>2700</v>
      </c>
      <c r="S87" s="31">
        <f t="shared" si="66"/>
        <v>910</v>
      </c>
      <c r="T87" s="31">
        <f t="shared" si="67"/>
        <v>13500</v>
      </c>
      <c r="U87" s="31">
        <f t="shared" si="68"/>
        <v>1500</v>
      </c>
      <c r="V87" s="31">
        <f t="shared" si="69"/>
        <v>3150</v>
      </c>
      <c r="W87" s="31">
        <f t="shared" si="72"/>
        <v>2100</v>
      </c>
      <c r="X87" s="31">
        <f t="shared" si="73"/>
        <v>1740</v>
      </c>
      <c r="Y87" s="31"/>
      <c r="Z87" s="31"/>
      <c r="AA87" s="31">
        <v>15000</v>
      </c>
      <c r="AB87" s="31"/>
      <c r="AC87" s="31"/>
      <c r="AD87" s="31"/>
      <c r="AE87" s="31">
        <f t="shared" si="76"/>
        <v>4800</v>
      </c>
      <c r="AF87" s="31"/>
      <c r="AG87" s="31"/>
      <c r="AH87" s="31"/>
      <c r="AI87" s="31"/>
      <c r="AJ87" s="31"/>
      <c r="AK87" s="31"/>
      <c r="AL87" s="108">
        <f t="shared" si="70"/>
        <v>12750</v>
      </c>
      <c r="AM87" s="109">
        <f t="shared" si="71"/>
        <v>76500</v>
      </c>
      <c r="AN87" s="21" t="s">
        <v>95</v>
      </c>
      <c r="AO87" s="21" t="s">
        <v>178</v>
      </c>
      <c r="AP87" s="21"/>
      <c r="AQ87" s="21"/>
      <c r="AR87" s="21"/>
      <c r="AS87" s="21"/>
      <c r="AT87" s="21">
        <f t="shared" si="74"/>
        <v>76500</v>
      </c>
      <c r="AU87" s="21"/>
      <c r="AV87" s="21"/>
      <c r="AW87" s="127">
        <v>2022</v>
      </c>
      <c r="AX87" s="23" t="s">
        <v>199</v>
      </c>
      <c r="AY87" s="24"/>
      <c r="AZ87" s="37"/>
      <c r="BA87" s="21" t="s">
        <v>111</v>
      </c>
      <c r="BB87" s="3">
        <v>1</v>
      </c>
    </row>
    <row r="88" s="3" customFormat="1" ht="16.5" customHeight="1" spans="1:54">
      <c r="A88" s="128"/>
      <c r="B88" s="41" t="s">
        <v>208</v>
      </c>
      <c r="C88" s="41" t="s">
        <v>198</v>
      </c>
      <c r="D88" s="41">
        <v>172</v>
      </c>
      <c r="E88" s="25">
        <v>6</v>
      </c>
      <c r="F88" s="100">
        <v>1190</v>
      </c>
      <c r="G88" s="107">
        <f>4+5</f>
        <v>9</v>
      </c>
      <c r="H88" s="31">
        <v>24</v>
      </c>
      <c r="I88" s="31"/>
      <c r="J88" s="31">
        <v>3</v>
      </c>
      <c r="K88" s="31"/>
      <c r="L88" s="129">
        <v>0.5</v>
      </c>
      <c r="M88" s="31"/>
      <c r="N88" s="31">
        <f t="shared" si="75"/>
        <v>900</v>
      </c>
      <c r="O88" s="39">
        <f t="shared" si="62"/>
        <v>5160</v>
      </c>
      <c r="P88" s="31">
        <f t="shared" si="63"/>
        <v>480</v>
      </c>
      <c r="Q88" s="31">
        <f t="shared" si="64"/>
        <v>8100</v>
      </c>
      <c r="R88" s="31">
        <f t="shared" si="65"/>
        <v>2430</v>
      </c>
      <c r="S88" s="31">
        <f t="shared" si="66"/>
        <v>780</v>
      </c>
      <c r="T88" s="31">
        <f t="shared" si="67"/>
        <v>12150</v>
      </c>
      <c r="U88" s="31">
        <f t="shared" si="68"/>
        <v>1350</v>
      </c>
      <c r="V88" s="31">
        <f t="shared" si="69"/>
        <v>2700</v>
      </c>
      <c r="W88" s="31">
        <f t="shared" si="72"/>
        <v>1800</v>
      </c>
      <c r="X88" s="31">
        <f t="shared" si="73"/>
        <v>1500</v>
      </c>
      <c r="Y88" s="31"/>
      <c r="Z88" s="31"/>
      <c r="AA88" s="31">
        <v>15000</v>
      </c>
      <c r="AB88" s="31"/>
      <c r="AC88" s="31"/>
      <c r="AD88" s="31"/>
      <c r="AE88" s="31">
        <f t="shared" si="76"/>
        <v>4800</v>
      </c>
      <c r="AF88" s="31"/>
      <c r="AG88" s="31"/>
      <c r="AH88" s="31"/>
      <c r="AI88" s="31"/>
      <c r="AJ88" s="31"/>
      <c r="AK88" s="31"/>
      <c r="AL88" s="108">
        <f t="shared" si="70"/>
        <v>11430</v>
      </c>
      <c r="AM88" s="109">
        <f t="shared" si="71"/>
        <v>68580</v>
      </c>
      <c r="AN88" s="21" t="s">
        <v>95</v>
      </c>
      <c r="AO88" s="21" t="s">
        <v>178</v>
      </c>
      <c r="AP88" s="21"/>
      <c r="AQ88" s="21"/>
      <c r="AR88" s="21"/>
      <c r="AS88" s="21"/>
      <c r="AT88" s="21">
        <f t="shared" si="74"/>
        <v>68580</v>
      </c>
      <c r="AU88" s="21"/>
      <c r="AV88" s="21"/>
      <c r="AW88" s="127">
        <v>2022</v>
      </c>
      <c r="AX88" s="23" t="s">
        <v>199</v>
      </c>
      <c r="AY88" s="24"/>
      <c r="AZ88" s="37"/>
      <c r="BA88" s="21" t="s">
        <v>111</v>
      </c>
      <c r="BB88" s="3">
        <v>1</v>
      </c>
    </row>
    <row r="89" s="3" customFormat="1" ht="16.5" customHeight="1" spans="1:54">
      <c r="A89" s="128"/>
      <c r="B89" s="41" t="s">
        <v>209</v>
      </c>
      <c r="C89" s="41" t="s">
        <v>198</v>
      </c>
      <c r="D89" s="41">
        <v>64</v>
      </c>
      <c r="E89" s="25">
        <v>2</v>
      </c>
      <c r="F89" s="100">
        <v>514</v>
      </c>
      <c r="G89" s="107">
        <f>1+3</f>
        <v>4</v>
      </c>
      <c r="H89" s="31"/>
      <c r="I89" s="31">
        <v>6</v>
      </c>
      <c r="J89" s="31">
        <v>2</v>
      </c>
      <c r="K89" s="31"/>
      <c r="L89" s="129">
        <v>0.5</v>
      </c>
      <c r="M89" s="31"/>
      <c r="N89" s="31">
        <f t="shared" si="75"/>
        <v>900</v>
      </c>
      <c r="O89" s="39">
        <f>D89*35</f>
        <v>2240</v>
      </c>
      <c r="P89" s="31">
        <f t="shared" si="63"/>
        <v>300</v>
      </c>
      <c r="Q89" s="31">
        <f t="shared" si="64"/>
        <v>3600</v>
      </c>
      <c r="R89" s="31">
        <f t="shared" si="65"/>
        <v>1080</v>
      </c>
      <c r="S89" s="31">
        <f t="shared" si="66"/>
        <v>260</v>
      </c>
      <c r="T89" s="31">
        <f t="shared" si="67"/>
        <v>5400</v>
      </c>
      <c r="U89" s="31">
        <f t="shared" si="68"/>
        <v>600</v>
      </c>
      <c r="V89" s="31">
        <f t="shared" si="69"/>
        <v>900</v>
      </c>
      <c r="W89" s="31">
        <f t="shared" si="72"/>
        <v>600</v>
      </c>
      <c r="X89" s="31">
        <f t="shared" si="73"/>
        <v>540</v>
      </c>
      <c r="Y89" s="31"/>
      <c r="Z89" s="31"/>
      <c r="AA89" s="31">
        <v>15000</v>
      </c>
      <c r="AB89" s="31"/>
      <c r="AC89" s="31"/>
      <c r="AD89" s="31"/>
      <c r="AE89" s="31">
        <f t="shared" si="76"/>
        <v>4800</v>
      </c>
      <c r="AF89" s="31"/>
      <c r="AG89" s="31"/>
      <c r="AH89" s="31"/>
      <c r="AI89" s="31"/>
      <c r="AJ89" s="31"/>
      <c r="AK89" s="31"/>
      <c r="AL89" s="108">
        <f t="shared" si="70"/>
        <v>7244</v>
      </c>
      <c r="AM89" s="109">
        <f t="shared" si="71"/>
        <v>43464</v>
      </c>
      <c r="AN89" s="21" t="s">
        <v>95</v>
      </c>
      <c r="AO89" s="21" t="s">
        <v>178</v>
      </c>
      <c r="AP89" s="21"/>
      <c r="AQ89" s="21"/>
      <c r="AR89" s="21"/>
      <c r="AS89" s="21"/>
      <c r="AT89" s="21">
        <f t="shared" si="74"/>
        <v>43464</v>
      </c>
      <c r="AU89" s="21"/>
      <c r="AV89" s="21"/>
      <c r="AW89" s="127">
        <v>2022</v>
      </c>
      <c r="AX89" s="23" t="s">
        <v>199</v>
      </c>
      <c r="AY89" s="24"/>
      <c r="AZ89" s="37"/>
      <c r="BA89" s="21" t="s">
        <v>111</v>
      </c>
      <c r="BB89" s="3">
        <v>1</v>
      </c>
    </row>
    <row r="90" s="3" customFormat="1" ht="16.5" customHeight="1" spans="1:54">
      <c r="A90" s="128"/>
      <c r="B90" s="41" t="s">
        <v>210</v>
      </c>
      <c r="C90" s="41" t="s">
        <v>198</v>
      </c>
      <c r="D90" s="41">
        <v>395</v>
      </c>
      <c r="E90" s="25">
        <v>13</v>
      </c>
      <c r="F90" s="100">
        <v>4403</v>
      </c>
      <c r="G90" s="107">
        <f>11+11</f>
        <v>22</v>
      </c>
      <c r="H90" s="31">
        <v>60</v>
      </c>
      <c r="I90" s="31">
        <v>14</v>
      </c>
      <c r="J90" s="31">
        <v>5</v>
      </c>
      <c r="K90" s="31"/>
      <c r="L90" s="107">
        <v>1</v>
      </c>
      <c r="M90" s="31"/>
      <c r="N90" s="31">
        <f t="shared" si="75"/>
        <v>1800</v>
      </c>
      <c r="O90" s="39">
        <f t="shared" ref="O90:O95" si="77">D90*30</f>
        <v>11850</v>
      </c>
      <c r="P90" s="31">
        <f t="shared" si="63"/>
        <v>1900</v>
      </c>
      <c r="Q90" s="31">
        <f t="shared" si="64"/>
        <v>19800</v>
      </c>
      <c r="R90" s="31">
        <f t="shared" si="65"/>
        <v>5940</v>
      </c>
      <c r="S90" s="31">
        <f t="shared" si="66"/>
        <v>1690</v>
      </c>
      <c r="T90" s="31">
        <f t="shared" si="67"/>
        <v>29700</v>
      </c>
      <c r="U90" s="31">
        <f t="shared" si="68"/>
        <v>3300</v>
      </c>
      <c r="V90" s="31">
        <f t="shared" si="69"/>
        <v>5850</v>
      </c>
      <c r="W90" s="31">
        <f t="shared" si="72"/>
        <v>3900</v>
      </c>
      <c r="X90" s="31">
        <f t="shared" si="73"/>
        <v>3180</v>
      </c>
      <c r="Y90" s="31"/>
      <c r="Z90" s="31"/>
      <c r="AA90" s="31">
        <v>15000</v>
      </c>
      <c r="AB90" s="31"/>
      <c r="AC90" s="31"/>
      <c r="AD90" s="31"/>
      <c r="AE90" s="31">
        <f t="shared" si="76"/>
        <v>4800</v>
      </c>
      <c r="AF90" s="31"/>
      <c r="AG90" s="31"/>
      <c r="AH90" s="31"/>
      <c r="AI90" s="31"/>
      <c r="AJ90" s="31"/>
      <c r="AK90" s="31"/>
      <c r="AL90" s="108">
        <f t="shared" si="70"/>
        <v>21742</v>
      </c>
      <c r="AM90" s="109">
        <f t="shared" si="71"/>
        <v>130452</v>
      </c>
      <c r="AN90" s="21" t="s">
        <v>95</v>
      </c>
      <c r="AO90" s="21" t="s">
        <v>178</v>
      </c>
      <c r="AP90" s="21"/>
      <c r="AQ90" s="21"/>
      <c r="AR90" s="21"/>
      <c r="AS90" s="21"/>
      <c r="AT90" s="21">
        <f t="shared" si="74"/>
        <v>130452</v>
      </c>
      <c r="AU90" s="21"/>
      <c r="AV90" s="21"/>
      <c r="AW90" s="127">
        <v>2022</v>
      </c>
      <c r="AX90" s="23" t="s">
        <v>199</v>
      </c>
      <c r="AY90" s="24"/>
      <c r="AZ90" s="37"/>
      <c r="BA90" s="21" t="s">
        <v>111</v>
      </c>
      <c r="BB90" s="3">
        <v>1</v>
      </c>
    </row>
    <row r="91" s="3" customFormat="1" ht="16.5" customHeight="1" spans="1:54">
      <c r="A91" s="128"/>
      <c r="B91" s="41" t="s">
        <v>211</v>
      </c>
      <c r="C91" s="41" t="s">
        <v>198</v>
      </c>
      <c r="D91" s="41">
        <v>568</v>
      </c>
      <c r="E91" s="25">
        <v>15</v>
      </c>
      <c r="F91" s="100">
        <v>4718</v>
      </c>
      <c r="G91" s="107">
        <f>8+10</f>
        <v>18</v>
      </c>
      <c r="H91" s="31">
        <v>48</v>
      </c>
      <c r="I91" s="31">
        <v>8</v>
      </c>
      <c r="J91" s="31">
        <v>6</v>
      </c>
      <c r="K91" s="31"/>
      <c r="L91" s="107">
        <v>1</v>
      </c>
      <c r="M91" s="31"/>
      <c r="N91" s="31">
        <f t="shared" si="75"/>
        <v>1800</v>
      </c>
      <c r="O91" s="39">
        <f t="shared" si="77"/>
        <v>17040</v>
      </c>
      <c r="P91" s="31">
        <f t="shared" si="63"/>
        <v>1360</v>
      </c>
      <c r="Q91" s="31">
        <f t="shared" si="64"/>
        <v>16200</v>
      </c>
      <c r="R91" s="31">
        <f t="shared" si="65"/>
        <v>4860</v>
      </c>
      <c r="S91" s="31">
        <f t="shared" si="66"/>
        <v>1950</v>
      </c>
      <c r="T91" s="31">
        <f t="shared" si="67"/>
        <v>24300</v>
      </c>
      <c r="U91" s="31">
        <f t="shared" si="68"/>
        <v>2700</v>
      </c>
      <c r="V91" s="31">
        <f t="shared" si="69"/>
        <v>6750</v>
      </c>
      <c r="W91" s="31">
        <f t="shared" si="72"/>
        <v>4500</v>
      </c>
      <c r="X91" s="31">
        <f t="shared" si="73"/>
        <v>3660</v>
      </c>
      <c r="Y91" s="31"/>
      <c r="Z91" s="31"/>
      <c r="AA91" s="31">
        <v>15000</v>
      </c>
      <c r="AB91" s="31"/>
      <c r="AC91" s="31"/>
      <c r="AD91" s="31"/>
      <c r="AE91" s="31">
        <f t="shared" si="76"/>
        <v>4800</v>
      </c>
      <c r="AF91" s="31"/>
      <c r="AG91" s="31"/>
      <c r="AH91" s="31"/>
      <c r="AI91" s="130"/>
      <c r="AJ91" s="31">
        <v>1600</v>
      </c>
      <c r="AK91" s="31">
        <v>2400</v>
      </c>
      <c r="AL91" s="108">
        <f t="shared" ref="AL91:AL104" si="78">SUM(M91:AK91)*0.2</f>
        <v>21784</v>
      </c>
      <c r="AM91" s="109">
        <f t="shared" ref="AM91:AM105" si="79">SUM(M91:AL91)</f>
        <v>130704</v>
      </c>
      <c r="AN91" s="21" t="s">
        <v>95</v>
      </c>
      <c r="AO91" s="21" t="s">
        <v>178</v>
      </c>
      <c r="AP91" s="21"/>
      <c r="AQ91" s="21"/>
      <c r="AR91" s="21"/>
      <c r="AS91" s="21"/>
      <c r="AT91" s="21">
        <f t="shared" si="74"/>
        <v>130704</v>
      </c>
      <c r="AU91" s="21"/>
      <c r="AV91" s="21"/>
      <c r="AW91" s="127">
        <v>2022</v>
      </c>
      <c r="AX91" s="23" t="s">
        <v>199</v>
      </c>
      <c r="AY91" s="24"/>
      <c r="AZ91" s="37"/>
      <c r="BA91" s="21" t="s">
        <v>111</v>
      </c>
      <c r="BB91" s="3">
        <v>1</v>
      </c>
    </row>
    <row r="92" s="3" customFormat="1" ht="16.5" customHeight="1" spans="1:54">
      <c r="A92" s="128"/>
      <c r="B92" s="41" t="s">
        <v>212</v>
      </c>
      <c r="C92" s="41" t="s">
        <v>198</v>
      </c>
      <c r="D92" s="41">
        <v>507</v>
      </c>
      <c r="E92" s="25">
        <v>17</v>
      </c>
      <c r="F92" s="100">
        <v>4387</v>
      </c>
      <c r="G92" s="107">
        <f>11+11</f>
        <v>22</v>
      </c>
      <c r="H92" s="31">
        <v>60</v>
      </c>
      <c r="I92" s="31">
        <v>8</v>
      </c>
      <c r="J92" s="31">
        <v>6</v>
      </c>
      <c r="K92" s="31"/>
      <c r="L92" s="107">
        <v>1</v>
      </c>
      <c r="M92" s="31"/>
      <c r="N92" s="31">
        <f t="shared" si="75"/>
        <v>1800</v>
      </c>
      <c r="O92" s="39">
        <f t="shared" si="77"/>
        <v>15210</v>
      </c>
      <c r="P92" s="31">
        <f t="shared" si="63"/>
        <v>1600</v>
      </c>
      <c r="Q92" s="31">
        <f t="shared" si="64"/>
        <v>19800</v>
      </c>
      <c r="R92" s="31">
        <f t="shared" si="65"/>
        <v>5940</v>
      </c>
      <c r="S92" s="31">
        <f t="shared" si="66"/>
        <v>2210</v>
      </c>
      <c r="T92" s="31">
        <f t="shared" si="67"/>
        <v>29700</v>
      </c>
      <c r="U92" s="31">
        <f t="shared" si="68"/>
        <v>3300</v>
      </c>
      <c r="V92" s="31">
        <f t="shared" si="69"/>
        <v>7650</v>
      </c>
      <c r="W92" s="31">
        <f t="shared" si="72"/>
        <v>5100</v>
      </c>
      <c r="X92" s="31">
        <f t="shared" si="73"/>
        <v>4140</v>
      </c>
      <c r="Y92" s="31"/>
      <c r="Z92" s="31"/>
      <c r="AA92" s="31">
        <v>15000</v>
      </c>
      <c r="AB92" s="31"/>
      <c r="AC92" s="31"/>
      <c r="AD92" s="31"/>
      <c r="AE92" s="31">
        <f t="shared" si="76"/>
        <v>4800</v>
      </c>
      <c r="AF92" s="31"/>
      <c r="AG92" s="31"/>
      <c r="AH92" s="31"/>
      <c r="AI92" s="130"/>
      <c r="AJ92" s="31">
        <v>1600</v>
      </c>
      <c r="AK92" s="31">
        <v>2400</v>
      </c>
      <c r="AL92" s="108">
        <f t="shared" si="78"/>
        <v>24050</v>
      </c>
      <c r="AM92" s="109">
        <f t="shared" si="79"/>
        <v>144300</v>
      </c>
      <c r="AN92" s="21" t="s">
        <v>95</v>
      </c>
      <c r="AO92" s="21" t="s">
        <v>178</v>
      </c>
      <c r="AP92" s="21"/>
      <c r="AQ92" s="21"/>
      <c r="AR92" s="21"/>
      <c r="AS92" s="21"/>
      <c r="AT92" s="21">
        <f t="shared" si="74"/>
        <v>144300</v>
      </c>
      <c r="AU92" s="21"/>
      <c r="AV92" s="21"/>
      <c r="AW92" s="127">
        <v>2022</v>
      </c>
      <c r="AX92" s="23" t="s">
        <v>199</v>
      </c>
      <c r="AY92" s="24"/>
      <c r="AZ92" s="37"/>
      <c r="BA92" s="21" t="s">
        <v>111</v>
      </c>
      <c r="BB92" s="3">
        <v>1</v>
      </c>
    </row>
    <row r="93" s="3" customFormat="1" ht="16.5" customHeight="1" spans="1:54">
      <c r="A93" s="128"/>
      <c r="B93" s="41" t="s">
        <v>213</v>
      </c>
      <c r="C93" s="41" t="s">
        <v>198</v>
      </c>
      <c r="D93" s="41">
        <v>928.5</v>
      </c>
      <c r="E93" s="25">
        <v>25</v>
      </c>
      <c r="F93" s="100">
        <v>20651.5</v>
      </c>
      <c r="G93" s="107">
        <f>34+26</f>
        <v>60</v>
      </c>
      <c r="H93" s="31">
        <v>219</v>
      </c>
      <c r="I93" s="31">
        <v>68</v>
      </c>
      <c r="J93" s="31">
        <v>10</v>
      </c>
      <c r="K93" s="31"/>
      <c r="L93" s="107">
        <v>3</v>
      </c>
      <c r="M93" s="31">
        <f>8500*L93</f>
        <v>25500</v>
      </c>
      <c r="N93" s="31"/>
      <c r="O93" s="39">
        <f t="shared" si="77"/>
        <v>27855</v>
      </c>
      <c r="P93" s="31">
        <f t="shared" si="63"/>
        <v>7780</v>
      </c>
      <c r="Q93" s="31">
        <f t="shared" si="64"/>
        <v>54000</v>
      </c>
      <c r="R93" s="31">
        <f t="shared" si="65"/>
        <v>16200</v>
      </c>
      <c r="S93" s="31">
        <f t="shared" si="66"/>
        <v>3250</v>
      </c>
      <c r="T93" s="31">
        <f t="shared" si="67"/>
        <v>81000</v>
      </c>
      <c r="U93" s="31">
        <f t="shared" si="68"/>
        <v>9000</v>
      </c>
      <c r="V93" s="31">
        <f t="shared" si="69"/>
        <v>11250</v>
      </c>
      <c r="W93" s="31">
        <f t="shared" si="72"/>
        <v>7500</v>
      </c>
      <c r="X93" s="31">
        <f t="shared" si="73"/>
        <v>6060</v>
      </c>
      <c r="Y93" s="31"/>
      <c r="Z93" s="31"/>
      <c r="AA93" s="31">
        <v>30000</v>
      </c>
      <c r="AB93" s="31"/>
      <c r="AC93" s="31"/>
      <c r="AD93" s="31"/>
      <c r="AE93" s="31">
        <f>1200*6</f>
        <v>7200</v>
      </c>
      <c r="AF93" s="31"/>
      <c r="AG93" s="31"/>
      <c r="AH93" s="31"/>
      <c r="AI93" s="130"/>
      <c r="AJ93" s="31">
        <f>1600*4</f>
        <v>6400</v>
      </c>
      <c r="AK93" s="31">
        <f>2400*4</f>
        <v>9600</v>
      </c>
      <c r="AL93" s="108">
        <f t="shared" si="78"/>
        <v>60519</v>
      </c>
      <c r="AM93" s="109">
        <f t="shared" si="79"/>
        <v>363114</v>
      </c>
      <c r="AN93" s="21" t="s">
        <v>95</v>
      </c>
      <c r="AO93" s="21" t="s">
        <v>178</v>
      </c>
      <c r="AP93" s="21"/>
      <c r="AQ93" s="21"/>
      <c r="AR93" s="21"/>
      <c r="AS93" s="21"/>
      <c r="AT93" s="21">
        <f t="shared" si="74"/>
        <v>363114</v>
      </c>
      <c r="AU93" s="21"/>
      <c r="AV93" s="21"/>
      <c r="AW93" s="127">
        <v>2022</v>
      </c>
      <c r="AX93" s="23" t="s">
        <v>199</v>
      </c>
      <c r="AY93" s="24"/>
      <c r="AZ93" s="37"/>
      <c r="BA93" s="21" t="s">
        <v>111</v>
      </c>
      <c r="BB93" s="3">
        <v>1</v>
      </c>
    </row>
    <row r="94" s="3" customFormat="1" ht="16.5" customHeight="1" spans="1:54">
      <c r="A94" s="128"/>
      <c r="B94" s="41" t="s">
        <v>214</v>
      </c>
      <c r="C94" s="41" t="s">
        <v>198</v>
      </c>
      <c r="D94" s="41">
        <v>138</v>
      </c>
      <c r="E94" s="25">
        <v>5</v>
      </c>
      <c r="F94" s="100">
        <v>1035</v>
      </c>
      <c r="G94" s="107">
        <f t="shared" ref="G94:G97" si="80">3+4</f>
        <v>7</v>
      </c>
      <c r="H94" s="31">
        <v>20</v>
      </c>
      <c r="I94" s="31"/>
      <c r="J94" s="31">
        <v>3</v>
      </c>
      <c r="K94" s="31"/>
      <c r="L94" s="129">
        <v>0.5</v>
      </c>
      <c r="M94" s="31"/>
      <c r="N94" s="31">
        <f t="shared" ref="N94:N104" si="81">1800*L94</f>
        <v>900</v>
      </c>
      <c r="O94" s="39">
        <f t="shared" si="77"/>
        <v>4140</v>
      </c>
      <c r="P94" s="31">
        <f t="shared" si="63"/>
        <v>400</v>
      </c>
      <c r="Q94" s="31">
        <f t="shared" si="64"/>
        <v>6300</v>
      </c>
      <c r="R94" s="31">
        <f t="shared" si="65"/>
        <v>1890</v>
      </c>
      <c r="S94" s="31">
        <f t="shared" si="66"/>
        <v>650</v>
      </c>
      <c r="T94" s="31">
        <f t="shared" si="67"/>
        <v>9450</v>
      </c>
      <c r="U94" s="31">
        <f t="shared" si="68"/>
        <v>1050</v>
      </c>
      <c r="V94" s="31">
        <f t="shared" si="69"/>
        <v>2250</v>
      </c>
      <c r="W94" s="31">
        <f t="shared" si="72"/>
        <v>1500</v>
      </c>
      <c r="X94" s="31">
        <f t="shared" si="73"/>
        <v>1260</v>
      </c>
      <c r="Y94" s="31"/>
      <c r="Z94" s="31"/>
      <c r="AA94" s="31">
        <v>15000</v>
      </c>
      <c r="AB94" s="31"/>
      <c r="AC94" s="31"/>
      <c r="AD94" s="31"/>
      <c r="AE94" s="31">
        <f t="shared" ref="AE94:AE104" si="82">1200*4</f>
        <v>4800</v>
      </c>
      <c r="AF94" s="31"/>
      <c r="AG94" s="31"/>
      <c r="AH94" s="31"/>
      <c r="AI94" s="31"/>
      <c r="AJ94" s="31"/>
      <c r="AK94" s="31"/>
      <c r="AL94" s="108">
        <f t="shared" si="78"/>
        <v>9918</v>
      </c>
      <c r="AM94" s="109">
        <f t="shared" si="79"/>
        <v>59508</v>
      </c>
      <c r="AN94" s="21" t="s">
        <v>95</v>
      </c>
      <c r="AO94" s="21" t="s">
        <v>178</v>
      </c>
      <c r="AP94" s="21"/>
      <c r="AQ94" s="21"/>
      <c r="AR94" s="21"/>
      <c r="AS94" s="21"/>
      <c r="AT94" s="21">
        <f t="shared" si="74"/>
        <v>59508</v>
      </c>
      <c r="AU94" s="21"/>
      <c r="AV94" s="21"/>
      <c r="AW94" s="127">
        <v>2022</v>
      </c>
      <c r="AX94" s="23" t="s">
        <v>199</v>
      </c>
      <c r="AY94" s="24"/>
      <c r="AZ94" s="37"/>
      <c r="BA94" s="21" t="s">
        <v>111</v>
      </c>
      <c r="BB94" s="3">
        <v>1</v>
      </c>
    </row>
    <row r="95" s="3" customFormat="1" ht="16.5" customHeight="1" spans="1:54">
      <c r="A95" s="128"/>
      <c r="B95" s="41" t="s">
        <v>215</v>
      </c>
      <c r="C95" s="41" t="s">
        <v>198</v>
      </c>
      <c r="D95" s="41">
        <v>136</v>
      </c>
      <c r="E95" s="25">
        <v>5</v>
      </c>
      <c r="F95" s="100">
        <v>1020</v>
      </c>
      <c r="G95" s="107">
        <f t="shared" si="80"/>
        <v>7</v>
      </c>
      <c r="H95" s="31">
        <v>20</v>
      </c>
      <c r="I95" s="31"/>
      <c r="J95" s="31">
        <v>3</v>
      </c>
      <c r="K95" s="31"/>
      <c r="L95" s="129">
        <v>0.5</v>
      </c>
      <c r="M95" s="31"/>
      <c r="N95" s="31">
        <f t="shared" si="81"/>
        <v>900</v>
      </c>
      <c r="O95" s="39">
        <f t="shared" si="77"/>
        <v>4080</v>
      </c>
      <c r="P95" s="31">
        <f t="shared" si="63"/>
        <v>400</v>
      </c>
      <c r="Q95" s="31">
        <f t="shared" si="64"/>
        <v>6300</v>
      </c>
      <c r="R95" s="31">
        <f t="shared" si="65"/>
        <v>1890</v>
      </c>
      <c r="S95" s="31">
        <f t="shared" si="66"/>
        <v>650</v>
      </c>
      <c r="T95" s="31">
        <f t="shared" si="67"/>
        <v>9450</v>
      </c>
      <c r="U95" s="31">
        <f t="shared" si="68"/>
        <v>1050</v>
      </c>
      <c r="V95" s="31">
        <f t="shared" si="69"/>
        <v>2250</v>
      </c>
      <c r="W95" s="31">
        <f t="shared" si="72"/>
        <v>1500</v>
      </c>
      <c r="X95" s="31">
        <f t="shared" si="73"/>
        <v>1260</v>
      </c>
      <c r="Y95" s="31"/>
      <c r="Z95" s="31"/>
      <c r="AA95" s="31">
        <v>15000</v>
      </c>
      <c r="AB95" s="31"/>
      <c r="AC95" s="31"/>
      <c r="AD95" s="31"/>
      <c r="AE95" s="31">
        <f t="shared" si="82"/>
        <v>4800</v>
      </c>
      <c r="AF95" s="31"/>
      <c r="AG95" s="31"/>
      <c r="AH95" s="31"/>
      <c r="AI95" s="31"/>
      <c r="AJ95" s="31"/>
      <c r="AK95" s="31"/>
      <c r="AL95" s="108">
        <f t="shared" si="78"/>
        <v>9906</v>
      </c>
      <c r="AM95" s="109">
        <f t="shared" si="79"/>
        <v>59436</v>
      </c>
      <c r="AN95" s="21" t="s">
        <v>95</v>
      </c>
      <c r="AO95" s="21" t="s">
        <v>178</v>
      </c>
      <c r="AP95" s="21"/>
      <c r="AQ95" s="21"/>
      <c r="AR95" s="21"/>
      <c r="AS95" s="21"/>
      <c r="AT95" s="21">
        <f t="shared" si="74"/>
        <v>59436</v>
      </c>
      <c r="AU95" s="21"/>
      <c r="AV95" s="21"/>
      <c r="AW95" s="127">
        <v>2022</v>
      </c>
      <c r="AX95" s="23" t="s">
        <v>199</v>
      </c>
      <c r="AY95" s="24"/>
      <c r="AZ95" s="37"/>
      <c r="BA95" s="21" t="s">
        <v>111</v>
      </c>
      <c r="BB95" s="3">
        <v>1</v>
      </c>
    </row>
    <row r="96" s="3" customFormat="1" ht="16.5" customHeight="1" spans="1:54">
      <c r="A96" s="128"/>
      <c r="B96" s="41" t="s">
        <v>216</v>
      </c>
      <c r="C96" s="41" t="s">
        <v>198</v>
      </c>
      <c r="D96" s="41">
        <v>3794.85</v>
      </c>
      <c r="E96" s="25">
        <v>117</v>
      </c>
      <c r="F96" s="100">
        <v>105523</v>
      </c>
      <c r="G96" s="107">
        <f>268+118</f>
        <v>386</v>
      </c>
      <c r="H96" s="31">
        <v>913</v>
      </c>
      <c r="I96" s="31">
        <v>200</v>
      </c>
      <c r="J96" s="31">
        <v>36</v>
      </c>
      <c r="K96" s="31"/>
      <c r="L96" s="107">
        <v>12</v>
      </c>
      <c r="M96" s="31">
        <f>8500*L96</f>
        <v>102000</v>
      </c>
      <c r="N96" s="31"/>
      <c r="O96" s="39">
        <f>D96*25</f>
        <v>94871.25</v>
      </c>
      <c r="P96" s="31">
        <f t="shared" si="63"/>
        <v>28260</v>
      </c>
      <c r="Q96" s="31">
        <f t="shared" si="64"/>
        <v>347400</v>
      </c>
      <c r="R96" s="31">
        <f t="shared" si="65"/>
        <v>104220</v>
      </c>
      <c r="S96" s="31">
        <f t="shared" si="66"/>
        <v>15210</v>
      </c>
      <c r="T96" s="31">
        <f t="shared" si="67"/>
        <v>521100</v>
      </c>
      <c r="U96" s="31">
        <f t="shared" si="68"/>
        <v>57900</v>
      </c>
      <c r="V96" s="31">
        <f t="shared" si="69"/>
        <v>52650</v>
      </c>
      <c r="W96" s="31">
        <f t="shared" si="72"/>
        <v>35100</v>
      </c>
      <c r="X96" s="31">
        <f t="shared" si="73"/>
        <v>28140</v>
      </c>
      <c r="Y96" s="31"/>
      <c r="Z96" s="31"/>
      <c r="AA96" s="31">
        <v>30000</v>
      </c>
      <c r="AB96" s="31"/>
      <c r="AC96" s="31"/>
      <c r="AD96" s="31"/>
      <c r="AE96" s="31">
        <f>1200*6</f>
        <v>7200</v>
      </c>
      <c r="AF96" s="31"/>
      <c r="AG96" s="31"/>
      <c r="AH96" s="31"/>
      <c r="AI96" s="31"/>
      <c r="AJ96" s="31"/>
      <c r="AK96" s="31"/>
      <c r="AL96" s="108">
        <f t="shared" si="78"/>
        <v>284810.25</v>
      </c>
      <c r="AM96" s="109">
        <f t="shared" si="79"/>
        <v>1708861.5</v>
      </c>
      <c r="AN96" s="21" t="s">
        <v>95</v>
      </c>
      <c r="AO96" s="21" t="s">
        <v>178</v>
      </c>
      <c r="AP96" s="21"/>
      <c r="AQ96" s="21"/>
      <c r="AR96" s="21"/>
      <c r="AS96" s="21"/>
      <c r="AT96" s="10">
        <f t="shared" si="74"/>
        <v>1708861.5</v>
      </c>
      <c r="AU96" s="21"/>
      <c r="AV96" s="21"/>
      <c r="AW96" s="127">
        <v>2022</v>
      </c>
      <c r="AX96" s="23" t="s">
        <v>199</v>
      </c>
      <c r="AY96" s="24"/>
      <c r="AZ96" s="37"/>
      <c r="BA96" s="21" t="s">
        <v>111</v>
      </c>
      <c r="BB96" s="3">
        <v>1</v>
      </c>
    </row>
    <row r="97" s="3" customFormat="1" ht="16.5" customHeight="1" spans="1:54">
      <c r="A97" s="128"/>
      <c r="B97" s="41" t="s">
        <v>217</v>
      </c>
      <c r="C97" s="41" t="s">
        <v>198</v>
      </c>
      <c r="D97" s="41">
        <v>264</v>
      </c>
      <c r="E97" s="25">
        <v>5</v>
      </c>
      <c r="F97" s="100">
        <v>1749</v>
      </c>
      <c r="G97" s="107">
        <f t="shared" si="80"/>
        <v>7</v>
      </c>
      <c r="H97" s="31">
        <v>20</v>
      </c>
      <c r="I97" s="31"/>
      <c r="J97" s="31">
        <v>3</v>
      </c>
      <c r="K97" s="31"/>
      <c r="L97" s="129">
        <v>0.5</v>
      </c>
      <c r="M97" s="31"/>
      <c r="N97" s="31">
        <f t="shared" si="81"/>
        <v>900</v>
      </c>
      <c r="O97" s="39">
        <f t="shared" ref="O97:O104" si="83">D97*30</f>
        <v>7920</v>
      </c>
      <c r="P97" s="31">
        <f t="shared" si="63"/>
        <v>400</v>
      </c>
      <c r="Q97" s="31">
        <f t="shared" si="64"/>
        <v>6300</v>
      </c>
      <c r="R97" s="31">
        <f t="shared" si="65"/>
        <v>1890</v>
      </c>
      <c r="S97" s="31">
        <f t="shared" si="66"/>
        <v>650</v>
      </c>
      <c r="T97" s="31">
        <f t="shared" si="67"/>
        <v>9450</v>
      </c>
      <c r="U97" s="31">
        <f t="shared" si="68"/>
        <v>1050</v>
      </c>
      <c r="V97" s="31">
        <f t="shared" si="69"/>
        <v>2250</v>
      </c>
      <c r="W97" s="31">
        <f t="shared" si="72"/>
        <v>1500</v>
      </c>
      <c r="X97" s="31">
        <f t="shared" si="73"/>
        <v>1260</v>
      </c>
      <c r="Y97" s="31"/>
      <c r="Z97" s="31"/>
      <c r="AA97" s="31">
        <v>15000</v>
      </c>
      <c r="AB97" s="31"/>
      <c r="AC97" s="31"/>
      <c r="AD97" s="31"/>
      <c r="AE97" s="31">
        <f t="shared" si="82"/>
        <v>4800</v>
      </c>
      <c r="AF97" s="31"/>
      <c r="AG97" s="31"/>
      <c r="AH97" s="31"/>
      <c r="AI97" s="31"/>
      <c r="AJ97" s="31"/>
      <c r="AK97" s="31"/>
      <c r="AL97" s="108">
        <f t="shared" si="78"/>
        <v>10674</v>
      </c>
      <c r="AM97" s="109">
        <f t="shared" si="79"/>
        <v>64044</v>
      </c>
      <c r="AN97" s="21" t="s">
        <v>95</v>
      </c>
      <c r="AO97" s="21" t="s">
        <v>178</v>
      </c>
      <c r="AP97" s="21"/>
      <c r="AQ97" s="21"/>
      <c r="AR97" s="21"/>
      <c r="AS97" s="21"/>
      <c r="AT97" s="21">
        <f t="shared" si="74"/>
        <v>64044</v>
      </c>
      <c r="AU97" s="21"/>
      <c r="AV97" s="21"/>
      <c r="AW97" s="127">
        <v>2022</v>
      </c>
      <c r="AX97" s="23" t="s">
        <v>199</v>
      </c>
      <c r="AY97" s="24"/>
      <c r="AZ97" s="37"/>
      <c r="BA97" s="21" t="s">
        <v>111</v>
      </c>
      <c r="BB97" s="3">
        <v>1</v>
      </c>
    </row>
    <row r="98" s="3" customFormat="1" ht="16.5" customHeight="1" spans="1:54">
      <c r="A98" s="128"/>
      <c r="B98" s="41" t="s">
        <v>218</v>
      </c>
      <c r="C98" s="41" t="s">
        <v>198</v>
      </c>
      <c r="D98" s="41">
        <v>242</v>
      </c>
      <c r="E98" s="25">
        <v>6</v>
      </c>
      <c r="F98" s="100">
        <v>1815</v>
      </c>
      <c r="G98" s="107">
        <f>4+5</f>
        <v>9</v>
      </c>
      <c r="H98" s="31">
        <v>24</v>
      </c>
      <c r="I98" s="31"/>
      <c r="J98" s="31">
        <v>3</v>
      </c>
      <c r="K98" s="31"/>
      <c r="L98" s="129">
        <v>0.5</v>
      </c>
      <c r="M98" s="31"/>
      <c r="N98" s="31">
        <f t="shared" si="81"/>
        <v>900</v>
      </c>
      <c r="O98" s="39">
        <f t="shared" si="83"/>
        <v>7260</v>
      </c>
      <c r="P98" s="31">
        <f t="shared" si="63"/>
        <v>480</v>
      </c>
      <c r="Q98" s="31">
        <f t="shared" si="64"/>
        <v>8100</v>
      </c>
      <c r="R98" s="31">
        <f t="shared" si="65"/>
        <v>2430</v>
      </c>
      <c r="S98" s="31">
        <f t="shared" si="66"/>
        <v>780</v>
      </c>
      <c r="T98" s="31">
        <f t="shared" si="67"/>
        <v>12150</v>
      </c>
      <c r="U98" s="31">
        <f t="shared" si="68"/>
        <v>1350</v>
      </c>
      <c r="V98" s="31">
        <f t="shared" si="69"/>
        <v>2700</v>
      </c>
      <c r="W98" s="31">
        <f t="shared" si="72"/>
        <v>1800</v>
      </c>
      <c r="X98" s="31">
        <f t="shared" si="73"/>
        <v>1500</v>
      </c>
      <c r="Y98" s="31"/>
      <c r="Z98" s="31"/>
      <c r="AA98" s="31">
        <v>15000</v>
      </c>
      <c r="AB98" s="31"/>
      <c r="AC98" s="31"/>
      <c r="AD98" s="31"/>
      <c r="AE98" s="31">
        <f t="shared" si="82"/>
        <v>4800</v>
      </c>
      <c r="AF98" s="31"/>
      <c r="AG98" s="31"/>
      <c r="AH98" s="31"/>
      <c r="AI98" s="31"/>
      <c r="AJ98" s="31"/>
      <c r="AK98" s="31"/>
      <c r="AL98" s="108">
        <f t="shared" si="78"/>
        <v>11850</v>
      </c>
      <c r="AM98" s="109">
        <f t="shared" si="79"/>
        <v>71100</v>
      </c>
      <c r="AN98" s="21" t="s">
        <v>95</v>
      </c>
      <c r="AO98" s="21" t="s">
        <v>178</v>
      </c>
      <c r="AP98" s="21"/>
      <c r="AQ98" s="21"/>
      <c r="AR98" s="21"/>
      <c r="AS98" s="21"/>
      <c r="AT98" s="21">
        <f t="shared" si="74"/>
        <v>71100</v>
      </c>
      <c r="AU98" s="21"/>
      <c r="AV98" s="21"/>
      <c r="AW98" s="127">
        <v>2022</v>
      </c>
      <c r="AX98" s="23" t="s">
        <v>199</v>
      </c>
      <c r="AY98" s="24"/>
      <c r="AZ98" s="37"/>
      <c r="BA98" s="21" t="s">
        <v>111</v>
      </c>
      <c r="BB98" s="3">
        <v>1</v>
      </c>
    </row>
    <row r="99" s="3" customFormat="1" ht="16.5" customHeight="1" spans="1:54">
      <c r="A99" s="128"/>
      <c r="B99" s="41" t="s">
        <v>219</v>
      </c>
      <c r="C99" s="41" t="s">
        <v>198</v>
      </c>
      <c r="D99" s="41">
        <v>191</v>
      </c>
      <c r="E99" s="25">
        <v>5</v>
      </c>
      <c r="F99" s="100">
        <v>1428</v>
      </c>
      <c r="G99" s="107">
        <f t="shared" ref="G99:G102" si="84">3+4</f>
        <v>7</v>
      </c>
      <c r="H99" s="31">
        <v>20</v>
      </c>
      <c r="I99" s="31"/>
      <c r="J99" s="31">
        <v>3</v>
      </c>
      <c r="K99" s="31"/>
      <c r="L99" s="129">
        <v>0.5</v>
      </c>
      <c r="M99" s="31"/>
      <c r="N99" s="31">
        <f t="shared" si="81"/>
        <v>900</v>
      </c>
      <c r="O99" s="39">
        <f t="shared" si="83"/>
        <v>5730</v>
      </c>
      <c r="P99" s="31">
        <f t="shared" si="63"/>
        <v>400</v>
      </c>
      <c r="Q99" s="31">
        <f t="shared" si="64"/>
        <v>6300</v>
      </c>
      <c r="R99" s="31">
        <f t="shared" si="65"/>
        <v>1890</v>
      </c>
      <c r="S99" s="31">
        <f t="shared" si="66"/>
        <v>650</v>
      </c>
      <c r="T99" s="31">
        <f t="shared" si="67"/>
        <v>9450</v>
      </c>
      <c r="U99" s="31">
        <f t="shared" si="68"/>
        <v>1050</v>
      </c>
      <c r="V99" s="31">
        <f t="shared" si="69"/>
        <v>2250</v>
      </c>
      <c r="W99" s="31">
        <f t="shared" si="72"/>
        <v>1500</v>
      </c>
      <c r="X99" s="31">
        <f t="shared" si="73"/>
        <v>1260</v>
      </c>
      <c r="Y99" s="31"/>
      <c r="Z99" s="31"/>
      <c r="AA99" s="31">
        <v>15000</v>
      </c>
      <c r="AB99" s="31"/>
      <c r="AC99" s="31"/>
      <c r="AD99" s="31"/>
      <c r="AE99" s="31">
        <f t="shared" si="82"/>
        <v>4800</v>
      </c>
      <c r="AF99" s="31"/>
      <c r="AG99" s="31"/>
      <c r="AH99" s="31"/>
      <c r="AI99" s="31"/>
      <c r="AJ99" s="31"/>
      <c r="AK99" s="31"/>
      <c r="AL99" s="108">
        <f t="shared" si="78"/>
        <v>10236</v>
      </c>
      <c r="AM99" s="109">
        <f t="shared" si="79"/>
        <v>61416</v>
      </c>
      <c r="AN99" s="21" t="s">
        <v>95</v>
      </c>
      <c r="AO99" s="21" t="s">
        <v>178</v>
      </c>
      <c r="AP99" s="21"/>
      <c r="AQ99" s="21"/>
      <c r="AR99" s="21"/>
      <c r="AS99" s="21"/>
      <c r="AT99" s="21">
        <f t="shared" si="74"/>
        <v>61416</v>
      </c>
      <c r="AU99" s="21"/>
      <c r="AV99" s="21"/>
      <c r="AW99" s="127">
        <v>2022</v>
      </c>
      <c r="AX99" s="23" t="s">
        <v>199</v>
      </c>
      <c r="AY99" s="24"/>
      <c r="AZ99" s="37"/>
      <c r="BA99" s="21" t="s">
        <v>111</v>
      </c>
      <c r="BB99" s="3">
        <v>1</v>
      </c>
    </row>
    <row r="100" s="3" customFormat="1" ht="16.5" customHeight="1" spans="1:54">
      <c r="A100" s="128"/>
      <c r="B100" s="41" t="s">
        <v>220</v>
      </c>
      <c r="C100" s="41" t="s">
        <v>198</v>
      </c>
      <c r="D100" s="41">
        <v>193</v>
      </c>
      <c r="E100" s="25">
        <v>5</v>
      </c>
      <c r="F100" s="100">
        <v>1578</v>
      </c>
      <c r="G100" s="107">
        <f t="shared" si="84"/>
        <v>7</v>
      </c>
      <c r="H100" s="31">
        <v>20</v>
      </c>
      <c r="I100" s="31"/>
      <c r="J100" s="31">
        <v>3</v>
      </c>
      <c r="K100" s="31"/>
      <c r="L100" s="129">
        <v>0.5</v>
      </c>
      <c r="M100" s="31"/>
      <c r="N100" s="31">
        <f t="shared" si="81"/>
        <v>900</v>
      </c>
      <c r="O100" s="39">
        <f t="shared" si="83"/>
        <v>5790</v>
      </c>
      <c r="P100" s="31">
        <f t="shared" si="63"/>
        <v>400</v>
      </c>
      <c r="Q100" s="31">
        <f t="shared" si="64"/>
        <v>6300</v>
      </c>
      <c r="R100" s="31">
        <f t="shared" si="65"/>
        <v>1890</v>
      </c>
      <c r="S100" s="31">
        <f t="shared" si="66"/>
        <v>650</v>
      </c>
      <c r="T100" s="31">
        <f t="shared" si="67"/>
        <v>9450</v>
      </c>
      <c r="U100" s="31">
        <f t="shared" si="68"/>
        <v>1050</v>
      </c>
      <c r="V100" s="31">
        <f t="shared" si="69"/>
        <v>2250</v>
      </c>
      <c r="W100" s="31">
        <f t="shared" si="72"/>
        <v>1500</v>
      </c>
      <c r="X100" s="31">
        <f t="shared" si="73"/>
        <v>1260</v>
      </c>
      <c r="Y100" s="31"/>
      <c r="Z100" s="31"/>
      <c r="AA100" s="31">
        <v>15000</v>
      </c>
      <c r="AB100" s="31"/>
      <c r="AC100" s="31"/>
      <c r="AD100" s="31"/>
      <c r="AE100" s="31">
        <f t="shared" si="82"/>
        <v>4800</v>
      </c>
      <c r="AF100" s="31"/>
      <c r="AG100" s="31"/>
      <c r="AH100" s="31"/>
      <c r="AI100" s="31"/>
      <c r="AJ100" s="31"/>
      <c r="AK100" s="31"/>
      <c r="AL100" s="108">
        <f t="shared" si="78"/>
        <v>10248</v>
      </c>
      <c r="AM100" s="109">
        <f t="shared" si="79"/>
        <v>61488</v>
      </c>
      <c r="AN100" s="21" t="s">
        <v>95</v>
      </c>
      <c r="AO100" s="21" t="s">
        <v>178</v>
      </c>
      <c r="AP100" s="21"/>
      <c r="AQ100" s="21"/>
      <c r="AR100" s="21"/>
      <c r="AS100" s="21"/>
      <c r="AT100" s="21">
        <f t="shared" si="74"/>
        <v>61488</v>
      </c>
      <c r="AU100" s="21"/>
      <c r="AV100" s="21"/>
      <c r="AW100" s="127">
        <v>2022</v>
      </c>
      <c r="AX100" s="23" t="s">
        <v>199</v>
      </c>
      <c r="AY100" s="24"/>
      <c r="AZ100" s="37"/>
      <c r="BA100" s="21" t="s">
        <v>111</v>
      </c>
      <c r="BB100" s="3">
        <v>1</v>
      </c>
    </row>
    <row r="101" s="3" customFormat="1" ht="16.5" customHeight="1" spans="1:54">
      <c r="A101" s="128"/>
      <c r="B101" s="41" t="s">
        <v>221</v>
      </c>
      <c r="C101" s="41" t="s">
        <v>198</v>
      </c>
      <c r="D101" s="41">
        <v>220</v>
      </c>
      <c r="E101" s="25">
        <v>5</v>
      </c>
      <c r="F101" s="100">
        <v>1797</v>
      </c>
      <c r="G101" s="107">
        <f t="shared" si="84"/>
        <v>7</v>
      </c>
      <c r="H101" s="31">
        <v>20</v>
      </c>
      <c r="I101" s="31"/>
      <c r="J101" s="31">
        <v>3</v>
      </c>
      <c r="K101" s="31"/>
      <c r="L101" s="129">
        <v>0.5</v>
      </c>
      <c r="M101" s="31"/>
      <c r="N101" s="31">
        <f t="shared" si="81"/>
        <v>900</v>
      </c>
      <c r="O101" s="39">
        <f t="shared" si="83"/>
        <v>6600</v>
      </c>
      <c r="P101" s="31">
        <f t="shared" si="63"/>
        <v>400</v>
      </c>
      <c r="Q101" s="31">
        <f t="shared" si="64"/>
        <v>6300</v>
      </c>
      <c r="R101" s="31">
        <f t="shared" si="65"/>
        <v>1890</v>
      </c>
      <c r="S101" s="31">
        <f t="shared" si="66"/>
        <v>650</v>
      </c>
      <c r="T101" s="31">
        <f t="shared" si="67"/>
        <v>9450</v>
      </c>
      <c r="U101" s="31">
        <f t="shared" si="68"/>
        <v>1050</v>
      </c>
      <c r="V101" s="31">
        <f t="shared" si="69"/>
        <v>2250</v>
      </c>
      <c r="W101" s="31">
        <f t="shared" si="72"/>
        <v>1500</v>
      </c>
      <c r="X101" s="31">
        <f t="shared" si="73"/>
        <v>1260</v>
      </c>
      <c r="Y101" s="31"/>
      <c r="Z101" s="31"/>
      <c r="AA101" s="31">
        <v>15000</v>
      </c>
      <c r="AB101" s="31"/>
      <c r="AC101" s="31"/>
      <c r="AD101" s="31"/>
      <c r="AE101" s="31">
        <f t="shared" si="82"/>
        <v>4800</v>
      </c>
      <c r="AF101" s="31"/>
      <c r="AG101" s="31"/>
      <c r="AH101" s="31"/>
      <c r="AI101" s="31"/>
      <c r="AJ101" s="31"/>
      <c r="AK101" s="31"/>
      <c r="AL101" s="108">
        <f t="shared" si="78"/>
        <v>10410</v>
      </c>
      <c r="AM101" s="109">
        <f t="shared" si="79"/>
        <v>62460</v>
      </c>
      <c r="AN101" s="21" t="s">
        <v>95</v>
      </c>
      <c r="AO101" s="21" t="s">
        <v>178</v>
      </c>
      <c r="AP101" s="21"/>
      <c r="AQ101" s="21"/>
      <c r="AR101" s="21"/>
      <c r="AS101" s="21"/>
      <c r="AT101" s="21">
        <f t="shared" si="74"/>
        <v>62460</v>
      </c>
      <c r="AU101" s="21"/>
      <c r="AV101" s="21"/>
      <c r="AW101" s="127">
        <v>2022</v>
      </c>
      <c r="AX101" s="23" t="s">
        <v>199</v>
      </c>
      <c r="AY101" s="24"/>
      <c r="AZ101" s="37"/>
      <c r="BA101" s="21" t="s">
        <v>111</v>
      </c>
      <c r="BB101" s="3">
        <v>1</v>
      </c>
    </row>
    <row r="102" s="3" customFormat="1" ht="16.5" customHeight="1" spans="1:54">
      <c r="A102" s="128"/>
      <c r="B102" s="41" t="s">
        <v>222</v>
      </c>
      <c r="C102" s="41" t="s">
        <v>198</v>
      </c>
      <c r="D102" s="41">
        <v>221</v>
      </c>
      <c r="E102" s="25">
        <v>5</v>
      </c>
      <c r="F102" s="100">
        <v>1653</v>
      </c>
      <c r="G102" s="107">
        <f t="shared" si="84"/>
        <v>7</v>
      </c>
      <c r="H102" s="31">
        <v>20</v>
      </c>
      <c r="I102" s="31"/>
      <c r="J102" s="31">
        <v>3</v>
      </c>
      <c r="K102" s="31"/>
      <c r="L102" s="129">
        <v>0.5</v>
      </c>
      <c r="M102" s="31"/>
      <c r="N102" s="31">
        <f t="shared" si="81"/>
        <v>900</v>
      </c>
      <c r="O102" s="39">
        <f t="shared" si="83"/>
        <v>6630</v>
      </c>
      <c r="P102" s="31">
        <f t="shared" si="63"/>
        <v>400</v>
      </c>
      <c r="Q102" s="31">
        <f t="shared" si="64"/>
        <v>6300</v>
      </c>
      <c r="R102" s="31">
        <f t="shared" si="65"/>
        <v>1890</v>
      </c>
      <c r="S102" s="31">
        <f t="shared" si="66"/>
        <v>650</v>
      </c>
      <c r="T102" s="31">
        <f t="shared" si="67"/>
        <v>9450</v>
      </c>
      <c r="U102" s="31">
        <f t="shared" si="68"/>
        <v>1050</v>
      </c>
      <c r="V102" s="31">
        <f t="shared" si="69"/>
        <v>2250</v>
      </c>
      <c r="W102" s="31">
        <f t="shared" si="72"/>
        <v>1500</v>
      </c>
      <c r="X102" s="31">
        <f t="shared" si="73"/>
        <v>1260</v>
      </c>
      <c r="Y102" s="31"/>
      <c r="Z102" s="31"/>
      <c r="AA102" s="31">
        <v>15000</v>
      </c>
      <c r="AB102" s="31"/>
      <c r="AC102" s="31"/>
      <c r="AD102" s="31"/>
      <c r="AE102" s="31">
        <f t="shared" si="82"/>
        <v>4800</v>
      </c>
      <c r="AF102" s="31"/>
      <c r="AG102" s="31"/>
      <c r="AH102" s="31"/>
      <c r="AI102" s="31"/>
      <c r="AJ102" s="31"/>
      <c r="AK102" s="31"/>
      <c r="AL102" s="108">
        <f t="shared" si="78"/>
        <v>10416</v>
      </c>
      <c r="AM102" s="109">
        <f t="shared" si="79"/>
        <v>62496</v>
      </c>
      <c r="AN102" s="21" t="s">
        <v>95</v>
      </c>
      <c r="AO102" s="21" t="s">
        <v>178</v>
      </c>
      <c r="AP102" s="21"/>
      <c r="AQ102" s="21"/>
      <c r="AR102" s="21"/>
      <c r="AS102" s="21"/>
      <c r="AT102" s="21">
        <f t="shared" si="74"/>
        <v>62496</v>
      </c>
      <c r="AU102" s="21"/>
      <c r="AV102" s="21"/>
      <c r="AW102" s="127">
        <v>2022</v>
      </c>
      <c r="AX102" s="23" t="s">
        <v>199</v>
      </c>
      <c r="AY102" s="24"/>
      <c r="AZ102" s="37"/>
      <c r="BA102" s="21" t="s">
        <v>111</v>
      </c>
      <c r="BB102" s="3">
        <v>1</v>
      </c>
    </row>
    <row r="103" s="3" customFormat="1" ht="16.5" customHeight="1" spans="1:54">
      <c r="A103" s="128"/>
      <c r="B103" s="41" t="s">
        <v>223</v>
      </c>
      <c r="C103" s="41" t="s">
        <v>198</v>
      </c>
      <c r="D103" s="41">
        <v>186</v>
      </c>
      <c r="E103" s="25">
        <v>6</v>
      </c>
      <c r="F103" s="100">
        <v>1395</v>
      </c>
      <c r="G103" s="107">
        <f>6+5</f>
        <v>11</v>
      </c>
      <c r="H103" s="31">
        <v>48</v>
      </c>
      <c r="I103" s="31"/>
      <c r="J103" s="31">
        <v>3</v>
      </c>
      <c r="K103" s="31"/>
      <c r="L103" s="129">
        <v>0.5</v>
      </c>
      <c r="M103" s="31"/>
      <c r="N103" s="31">
        <f t="shared" si="81"/>
        <v>900</v>
      </c>
      <c r="O103" s="39">
        <f t="shared" si="83"/>
        <v>5580</v>
      </c>
      <c r="P103" s="31">
        <f t="shared" si="63"/>
        <v>960</v>
      </c>
      <c r="Q103" s="31">
        <f t="shared" si="64"/>
        <v>9900</v>
      </c>
      <c r="R103" s="31">
        <f t="shared" si="65"/>
        <v>2970</v>
      </c>
      <c r="S103" s="31">
        <f t="shared" si="66"/>
        <v>780</v>
      </c>
      <c r="T103" s="31">
        <f t="shared" si="67"/>
        <v>14850</v>
      </c>
      <c r="U103" s="31">
        <f t="shared" si="68"/>
        <v>1650</v>
      </c>
      <c r="V103" s="31">
        <f t="shared" si="69"/>
        <v>2700</v>
      </c>
      <c r="W103" s="31">
        <f t="shared" si="72"/>
        <v>1800</v>
      </c>
      <c r="X103" s="31">
        <f t="shared" si="73"/>
        <v>1500</v>
      </c>
      <c r="Y103" s="31"/>
      <c r="Z103" s="31"/>
      <c r="AA103" s="31">
        <v>15000</v>
      </c>
      <c r="AB103" s="31"/>
      <c r="AC103" s="31"/>
      <c r="AD103" s="31"/>
      <c r="AE103" s="31">
        <f t="shared" si="82"/>
        <v>4800</v>
      </c>
      <c r="AF103" s="31"/>
      <c r="AG103" s="31"/>
      <c r="AH103" s="31"/>
      <c r="AI103" s="31"/>
      <c r="AJ103" s="31"/>
      <c r="AK103" s="31"/>
      <c r="AL103" s="108">
        <f t="shared" si="78"/>
        <v>12678</v>
      </c>
      <c r="AM103" s="109">
        <f t="shared" si="79"/>
        <v>76068</v>
      </c>
      <c r="AN103" s="21" t="s">
        <v>95</v>
      </c>
      <c r="AO103" s="21" t="s">
        <v>178</v>
      </c>
      <c r="AP103" s="21"/>
      <c r="AQ103" s="21"/>
      <c r="AR103" s="21"/>
      <c r="AS103" s="21"/>
      <c r="AT103" s="21">
        <f t="shared" si="74"/>
        <v>76068</v>
      </c>
      <c r="AU103" s="21"/>
      <c r="AV103" s="21"/>
      <c r="AW103" s="127">
        <v>2022</v>
      </c>
      <c r="AX103" s="23" t="s">
        <v>199</v>
      </c>
      <c r="AY103" s="24"/>
      <c r="AZ103" s="37"/>
      <c r="BA103" s="21" t="s">
        <v>111</v>
      </c>
      <c r="BB103" s="3">
        <v>1</v>
      </c>
    </row>
    <row r="104" s="3" customFormat="1" ht="16.5" customHeight="1" spans="1:54">
      <c r="A104" s="131"/>
      <c r="B104" s="41" t="s">
        <v>224</v>
      </c>
      <c r="C104" s="41" t="s">
        <v>198</v>
      </c>
      <c r="D104" s="41">
        <v>273</v>
      </c>
      <c r="E104" s="25">
        <v>10</v>
      </c>
      <c r="F104" s="100">
        <v>2307</v>
      </c>
      <c r="G104" s="107">
        <f>10+8</f>
        <v>18</v>
      </c>
      <c r="H104" s="31">
        <v>96</v>
      </c>
      <c r="I104" s="31"/>
      <c r="J104" s="31">
        <v>5</v>
      </c>
      <c r="K104" s="31"/>
      <c r="L104" s="107">
        <v>1</v>
      </c>
      <c r="M104" s="31"/>
      <c r="N104" s="31">
        <f t="shared" si="81"/>
        <v>1800</v>
      </c>
      <c r="O104" s="39">
        <f t="shared" si="83"/>
        <v>8190</v>
      </c>
      <c r="P104" s="31">
        <f t="shared" si="63"/>
        <v>1920</v>
      </c>
      <c r="Q104" s="31">
        <f t="shared" si="64"/>
        <v>16200</v>
      </c>
      <c r="R104" s="31">
        <f t="shared" si="65"/>
        <v>4860</v>
      </c>
      <c r="S104" s="31">
        <f t="shared" si="66"/>
        <v>1300</v>
      </c>
      <c r="T104" s="31">
        <f t="shared" si="67"/>
        <v>24300</v>
      </c>
      <c r="U104" s="31">
        <f t="shared" si="68"/>
        <v>2700</v>
      </c>
      <c r="V104" s="31">
        <f t="shared" si="69"/>
        <v>4500</v>
      </c>
      <c r="W104" s="31">
        <f t="shared" si="72"/>
        <v>3000</v>
      </c>
      <c r="X104" s="31">
        <f t="shared" si="73"/>
        <v>2460</v>
      </c>
      <c r="Y104" s="31"/>
      <c r="Z104" s="31"/>
      <c r="AA104" s="31">
        <v>15000</v>
      </c>
      <c r="AB104" s="31"/>
      <c r="AC104" s="31"/>
      <c r="AD104" s="31"/>
      <c r="AE104" s="31">
        <f t="shared" si="82"/>
        <v>4800</v>
      </c>
      <c r="AF104" s="31"/>
      <c r="AG104" s="31"/>
      <c r="AH104" s="31"/>
      <c r="AI104" s="31"/>
      <c r="AJ104" s="31"/>
      <c r="AK104" s="31"/>
      <c r="AL104" s="108">
        <f t="shared" si="78"/>
        <v>18206</v>
      </c>
      <c r="AM104" s="109">
        <f t="shared" si="79"/>
        <v>109236</v>
      </c>
      <c r="AN104" s="21" t="s">
        <v>95</v>
      </c>
      <c r="AO104" s="21" t="s">
        <v>178</v>
      </c>
      <c r="AP104" s="21"/>
      <c r="AQ104" s="21"/>
      <c r="AR104" s="21"/>
      <c r="AS104" s="21"/>
      <c r="AT104" s="21">
        <f t="shared" si="74"/>
        <v>109236</v>
      </c>
      <c r="AU104" s="21"/>
      <c r="AV104" s="21"/>
      <c r="AW104" s="127">
        <v>2022</v>
      </c>
      <c r="AX104" s="23" t="s">
        <v>199</v>
      </c>
      <c r="AY104" s="58"/>
      <c r="AZ104" s="37"/>
      <c r="BA104" s="21" t="s">
        <v>111</v>
      </c>
      <c r="BB104" s="3">
        <v>1</v>
      </c>
    </row>
    <row r="105" s="3" customFormat="1" ht="16.5" customHeight="1" spans="1:54">
      <c r="A105" s="132">
        <f>A79+1</f>
        <v>23</v>
      </c>
      <c r="B105" s="22" t="s">
        <v>225</v>
      </c>
      <c r="C105" s="22"/>
      <c r="D105" s="100"/>
      <c r="E105" s="25"/>
      <c r="F105" s="100"/>
      <c r="G105" s="107"/>
      <c r="H105" s="31"/>
      <c r="I105" s="31"/>
      <c r="J105" s="31"/>
      <c r="K105" s="31"/>
      <c r="L105" s="133"/>
      <c r="M105" s="31"/>
      <c r="N105" s="31"/>
      <c r="O105" s="39"/>
      <c r="P105" s="31"/>
      <c r="Q105" s="31"/>
      <c r="R105" s="31"/>
      <c r="S105" s="31"/>
      <c r="T105" s="31"/>
      <c r="U105" s="31"/>
      <c r="V105" s="31"/>
      <c r="W105" s="31"/>
      <c r="X105" s="31"/>
      <c r="Y105" s="31"/>
      <c r="Z105" s="31"/>
      <c r="AA105" s="31"/>
      <c r="AB105" s="130">
        <f>70000+850*(95-50)</f>
        <v>108250</v>
      </c>
      <c r="AC105" s="130">
        <f>27000+300*(95-50)</f>
        <v>40500</v>
      </c>
      <c r="AD105" s="130">
        <v>60000</v>
      </c>
      <c r="AE105" s="31"/>
      <c r="AF105" s="31"/>
      <c r="AG105" s="31"/>
      <c r="AH105" s="31"/>
      <c r="AI105" s="31"/>
      <c r="AJ105" s="31"/>
      <c r="AK105" s="31"/>
      <c r="AL105" s="108"/>
      <c r="AM105" s="109">
        <f t="shared" si="79"/>
        <v>208750</v>
      </c>
      <c r="AN105" s="21" t="s">
        <v>63</v>
      </c>
      <c r="AO105" s="21" t="s">
        <v>101</v>
      </c>
      <c r="AP105" s="21"/>
      <c r="AQ105" s="21">
        <f>AM105/2</f>
        <v>104375</v>
      </c>
      <c r="AR105" s="21">
        <f>AM105/2</f>
        <v>104375</v>
      </c>
      <c r="AS105" s="21"/>
      <c r="AT105" s="21"/>
      <c r="AU105" s="21"/>
      <c r="AV105" s="21"/>
      <c r="AW105" s="24"/>
      <c r="AX105" s="24"/>
      <c r="AY105" s="24"/>
      <c r="AZ105" s="44"/>
      <c r="BA105" s="21" t="s">
        <v>86</v>
      </c>
      <c r="BB105" s="3">
        <v>1</v>
      </c>
    </row>
    <row r="106" s="3" customFormat="1" ht="16.5" customHeight="1" spans="1:54">
      <c r="A106" s="1"/>
      <c r="B106" s="1"/>
      <c r="C106" s="1"/>
      <c r="D106" s="1"/>
      <c r="E106" s="40"/>
      <c r="F106" s="40"/>
      <c r="G106" s="18"/>
      <c r="H106" s="1"/>
      <c r="I106" s="1"/>
      <c r="J106" s="1"/>
      <c r="K106" s="1"/>
      <c r="L106" s="36"/>
      <c r="M106" s="1"/>
      <c r="N106" s="1"/>
      <c r="O106" s="19"/>
      <c r="P106" s="1"/>
      <c r="Q106" s="1"/>
      <c r="R106" s="1"/>
      <c r="S106" s="1"/>
      <c r="T106" s="1"/>
      <c r="U106" s="1"/>
      <c r="V106" s="1"/>
      <c r="W106" s="1"/>
      <c r="X106" s="1"/>
      <c r="Y106" s="1"/>
      <c r="Z106" s="1"/>
      <c r="AA106" s="1"/>
      <c r="AB106" s="1"/>
      <c r="AC106" s="1"/>
      <c r="AD106" s="1"/>
      <c r="AE106" s="1"/>
      <c r="AF106" s="1"/>
      <c r="AG106" s="1"/>
      <c r="AH106" s="1"/>
      <c r="AI106" s="1"/>
      <c r="AJ106" s="1"/>
      <c r="AK106" s="1"/>
      <c r="AL106" s="96"/>
      <c r="AM106" s="97"/>
      <c r="AN106" s="97"/>
      <c r="AO106" s="21"/>
      <c r="AP106" s="21"/>
      <c r="AQ106" s="21"/>
      <c r="AR106" s="21"/>
      <c r="AS106" s="21"/>
      <c r="AT106" s="21"/>
      <c r="AU106" s="21"/>
      <c r="AV106" s="21"/>
      <c r="AW106" s="134"/>
      <c r="AX106" s="134"/>
      <c r="AY106" s="134"/>
      <c r="AZ106" s="44"/>
      <c r="BA106" s="97"/>
    </row>
    <row r="107" ht="23.25" customHeight="1" spans="1:54">
      <c r="A107" s="12" t="s">
        <v>29</v>
      </c>
      <c r="B107" s="12"/>
      <c r="C107" s="12"/>
      <c r="D107" s="42">
        <f>SUM(D4:D77)</f>
        <v>36718.648</v>
      </c>
      <c r="E107" s="42">
        <f>SUM(E4:E77)</f>
        <v>1235</v>
      </c>
      <c r="F107" s="42">
        <f>SUM(F4:F77)</f>
        <v>800529.056736</v>
      </c>
      <c r="G107" s="43"/>
      <c r="H107" s="43"/>
      <c r="I107" s="43"/>
      <c r="J107" s="43"/>
      <c r="K107" s="43"/>
      <c r="L107" s="43">
        <f>SUM(L4:L77)</f>
        <v>159</v>
      </c>
      <c r="M107" s="43">
        <f t="shared" ref="M107:AM107" si="85">SUM(M4:M105)</f>
        <v>535500</v>
      </c>
      <c r="N107" s="43">
        <f t="shared" si="85"/>
        <v>265000</v>
      </c>
      <c r="O107" s="43">
        <f t="shared" si="85"/>
        <v>1401686.485</v>
      </c>
      <c r="P107" s="43">
        <f t="shared" si="85"/>
        <v>340490</v>
      </c>
      <c r="Q107" s="43">
        <f t="shared" si="85"/>
        <v>2692890</v>
      </c>
      <c r="R107" s="43">
        <f t="shared" si="85"/>
        <v>807867</v>
      </c>
      <c r="S107" s="43">
        <f t="shared" si="85"/>
        <v>215280</v>
      </c>
      <c r="T107" s="43">
        <f t="shared" si="85"/>
        <v>4039335</v>
      </c>
      <c r="U107" s="43">
        <f t="shared" si="85"/>
        <v>448815</v>
      </c>
      <c r="V107" s="43">
        <f t="shared" si="85"/>
        <v>745200</v>
      </c>
      <c r="W107" s="43">
        <f t="shared" si="85"/>
        <v>496800</v>
      </c>
      <c r="X107" s="43">
        <f t="shared" si="85"/>
        <v>448470</v>
      </c>
      <c r="Y107" s="43">
        <f t="shared" si="85"/>
        <v>0</v>
      </c>
      <c r="Z107" s="43">
        <f t="shared" si="85"/>
        <v>15000</v>
      </c>
      <c r="AA107" s="43">
        <f t="shared" si="85"/>
        <v>2485000</v>
      </c>
      <c r="AB107" s="43">
        <f t="shared" si="85"/>
        <v>108250</v>
      </c>
      <c r="AC107" s="43">
        <f t="shared" si="85"/>
        <v>40500</v>
      </c>
      <c r="AD107" s="43">
        <f t="shared" si="85"/>
        <v>60000</v>
      </c>
      <c r="AE107" s="43">
        <f t="shared" si="85"/>
        <v>607200</v>
      </c>
      <c r="AF107" s="43">
        <f t="shared" si="85"/>
        <v>0</v>
      </c>
      <c r="AG107" s="43">
        <f t="shared" si="85"/>
        <v>48760</v>
      </c>
      <c r="AH107" s="43">
        <f t="shared" si="85"/>
        <v>19200</v>
      </c>
      <c r="AI107" s="43">
        <f t="shared" si="85"/>
        <v>20000</v>
      </c>
      <c r="AJ107" s="43">
        <f t="shared" si="85"/>
        <v>54400</v>
      </c>
      <c r="AK107" s="43">
        <f t="shared" si="85"/>
        <v>47100</v>
      </c>
      <c r="AL107" s="43">
        <f t="shared" si="85"/>
        <v>3146798.697</v>
      </c>
      <c r="AM107" s="43">
        <f t="shared" si="85"/>
        <v>19089542.182</v>
      </c>
      <c r="AN107" s="43"/>
      <c r="AO107" s="43"/>
      <c r="AP107" s="43">
        <f t="shared" ref="AP107:AV107" si="86">SUM(AP4:AP105)</f>
        <v>5161743.0975</v>
      </c>
      <c r="AQ107" s="43">
        <f t="shared" si="86"/>
        <v>4276329.6305</v>
      </c>
      <c r="AR107" s="43">
        <f t="shared" si="86"/>
        <v>657083.96</v>
      </c>
      <c r="AS107" s="43">
        <f t="shared" si="86"/>
        <v>2930128.554</v>
      </c>
      <c r="AT107" s="43">
        <f t="shared" si="86"/>
        <v>5925082.5</v>
      </c>
      <c r="AU107" s="43">
        <f t="shared" si="86"/>
        <v>139174.44</v>
      </c>
      <c r="AV107" s="43">
        <f t="shared" si="86"/>
        <v>0</v>
      </c>
      <c r="AW107" s="1"/>
      <c r="AX107" s="1"/>
      <c r="AY107" s="1"/>
      <c r="AZ107" s="44"/>
      <c r="BA107" s="43"/>
    </row>
    <row r="108" ht="22.05" customHeight="1" spans="1:54">
      <c r="A108" s="45"/>
      <c r="X108" s="46"/>
      <c r="AG108" s="4"/>
      <c r="AM108" s="47">
        <f t="shared" ref="AM108:AV108" si="87">AM107*$AO$108</f>
        <v>9544771.091</v>
      </c>
      <c r="AN108" s="47"/>
      <c r="AO108" s="48">
        <v>0.5</v>
      </c>
      <c r="AP108" s="47">
        <f t="shared" si="87"/>
        <v>2580871.54875</v>
      </c>
      <c r="AQ108" s="47">
        <f t="shared" si="87"/>
        <v>2138164.81525</v>
      </c>
      <c r="AR108" s="47">
        <f t="shared" si="87"/>
        <v>328541.98</v>
      </c>
      <c r="AS108" s="47">
        <f t="shared" si="87"/>
        <v>1465064.277</v>
      </c>
      <c r="AT108" s="47">
        <f t="shared" si="87"/>
        <v>2962541.25</v>
      </c>
      <c r="AU108" s="47">
        <f t="shared" si="87"/>
        <v>69587.22</v>
      </c>
      <c r="AV108" s="47">
        <f t="shared" si="87"/>
        <v>0</v>
      </c>
      <c r="BA108" s="47"/>
    </row>
    <row r="109" ht="18" customHeight="1" spans="1:54">
      <c r="A109" s="50" t="s">
        <v>226</v>
      </c>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5"/>
      <c r="AH109" s="50"/>
      <c r="AI109" s="50"/>
      <c r="AJ109" s="50"/>
      <c r="AK109" s="50"/>
      <c r="AL109" s="50"/>
      <c r="AM109" s="50"/>
      <c r="AN109" s="50"/>
      <c r="AO109" s="50"/>
      <c r="AP109" s="52">
        <f>AP108/AM108</f>
        <v>0.270396379771073</v>
      </c>
      <c r="AQ109" s="52">
        <f>AQ108/AM108</f>
        <v>0.224014258159227</v>
      </c>
      <c r="AR109" s="52">
        <f>AR108/AM108</f>
        <v>0.034421148172929</v>
      </c>
      <c r="AS109" s="52">
        <f>AS108/AM108</f>
        <v>0.153493914419953</v>
      </c>
      <c r="AT109" s="52">
        <f>AT108/AM108</f>
        <v>0.310383687754801</v>
      </c>
      <c r="AU109" s="52">
        <f>AU108/AM108</f>
        <v>0.00729061172201557</v>
      </c>
      <c r="AV109" s="52">
        <f>AV108/AM108</f>
        <v>0</v>
      </c>
      <c r="BA109" s="50"/>
    </row>
    <row r="110" ht="22.95" customHeight="1" spans="1:54">
      <c r="A110" s="53" t="s">
        <v>227</v>
      </c>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4"/>
      <c r="AH110" s="53"/>
      <c r="AI110" s="53"/>
      <c r="AJ110" s="53"/>
      <c r="AK110" s="53"/>
      <c r="AL110" s="53"/>
      <c r="AM110" s="53"/>
      <c r="AN110" s="53"/>
      <c r="AO110" s="53"/>
      <c r="AP110" s="53"/>
      <c r="AQ110" s="53"/>
      <c r="AR110" s="53"/>
      <c r="AS110" s="53"/>
      <c r="AT110" s="53"/>
      <c r="AU110" s="53"/>
      <c r="AV110" s="53"/>
      <c r="BA110" s="53"/>
    </row>
    <row r="111" ht="22.95" customHeight="1" spans="1:54">
      <c r="A111" s="50" t="s">
        <v>228</v>
      </c>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5"/>
      <c r="AH111" s="50"/>
      <c r="AI111" s="50"/>
      <c r="AJ111" s="50"/>
      <c r="AK111" s="50"/>
      <c r="AL111" s="50"/>
      <c r="AM111" s="50"/>
      <c r="AN111" s="50"/>
      <c r="AO111" s="50"/>
      <c r="AP111" s="50"/>
      <c r="AQ111" s="50"/>
      <c r="AR111" s="50"/>
      <c r="AS111" s="50"/>
      <c r="AT111" s="50"/>
      <c r="AU111" s="50"/>
      <c r="AV111" s="50"/>
      <c r="BA111" s="50"/>
    </row>
    <row r="112" ht="22.05" customHeight="1" spans="1:54">
      <c r="A112" s="50" t="s">
        <v>229</v>
      </c>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5"/>
      <c r="AH112" s="50"/>
      <c r="AI112" s="50"/>
      <c r="AJ112" s="50"/>
      <c r="AK112" s="50"/>
      <c r="AL112" s="50"/>
      <c r="AM112" s="50"/>
      <c r="AN112" s="50"/>
      <c r="AO112" s="50"/>
      <c r="AP112" s="50"/>
      <c r="AQ112" s="50"/>
      <c r="AR112" s="50"/>
      <c r="AS112" s="50"/>
      <c r="AT112" s="50"/>
      <c r="AU112" s="50"/>
      <c r="AV112" s="50"/>
      <c r="BA112" s="50"/>
    </row>
    <row r="113" ht="90" customHeight="1" spans="1:53">
      <c r="A113" s="45" t="s">
        <v>230</v>
      </c>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56"/>
      <c r="AH113" s="45"/>
      <c r="AI113" s="45"/>
      <c r="AJ113" s="45"/>
      <c r="AK113" s="45"/>
      <c r="AL113" s="45"/>
      <c r="AM113" s="45"/>
      <c r="AN113" s="45"/>
      <c r="AO113" s="45"/>
      <c r="AP113" s="45"/>
      <c r="AQ113" s="45"/>
      <c r="AR113" s="45"/>
      <c r="AS113" s="45"/>
      <c r="AT113" s="45"/>
      <c r="AU113" s="45"/>
      <c r="AV113" s="45"/>
      <c r="BA113" s="45"/>
    </row>
    <row r="114" ht="93" customHeight="1" spans="1:53">
      <c r="A114" s="135" t="s">
        <v>231</v>
      </c>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5"/>
      <c r="AH114" s="50"/>
      <c r="AI114" s="50"/>
      <c r="AJ114" s="50"/>
      <c r="AK114" s="50"/>
      <c r="AL114" s="50"/>
      <c r="AM114" s="50"/>
      <c r="AN114" s="50"/>
      <c r="AO114" s="50"/>
      <c r="AP114" s="50"/>
      <c r="AQ114" s="50"/>
      <c r="AR114" s="50"/>
      <c r="AS114" s="50"/>
      <c r="AT114" s="50"/>
      <c r="AU114" s="50"/>
      <c r="AV114" s="50"/>
      <c r="BA114" s="50"/>
    </row>
    <row r="115" ht="28.5" customHeight="1" spans="1:53">
      <c r="A115" s="50" t="s">
        <v>232</v>
      </c>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5"/>
      <c r="AH115" s="50"/>
      <c r="AI115" s="50"/>
      <c r="AJ115" s="50"/>
      <c r="AK115" s="50"/>
      <c r="AL115" s="50"/>
      <c r="AM115" s="50"/>
      <c r="AN115" s="50"/>
      <c r="AO115" s="50"/>
      <c r="AP115" s="50"/>
      <c r="AQ115" s="50"/>
      <c r="AR115" s="50"/>
      <c r="AS115" s="50"/>
      <c r="AT115" s="50"/>
      <c r="AU115" s="50"/>
      <c r="AV115" s="50"/>
      <c r="BA115" s="50"/>
    </row>
    <row r="116" ht="34.5" customHeight="1" spans="1:53">
      <c r="A116" s="50" t="s">
        <v>233</v>
      </c>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5"/>
      <c r="AH116" s="50"/>
      <c r="AI116" s="50"/>
      <c r="AJ116" s="50"/>
      <c r="AK116" s="50"/>
      <c r="AL116" s="50"/>
      <c r="AM116" s="50"/>
      <c r="AN116" s="50"/>
      <c r="AO116" s="50"/>
      <c r="AP116" s="50"/>
      <c r="AQ116" s="50"/>
      <c r="AR116" s="50"/>
      <c r="AS116" s="50"/>
      <c r="AT116" s="50"/>
      <c r="AU116" s="50"/>
      <c r="AV116" s="50"/>
      <c r="BA116" s="50"/>
    </row>
    <row r="117" ht="31.5" customHeight="1" spans="1:53">
      <c r="A117" s="50" t="s">
        <v>234</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5"/>
      <c r="AH117" s="50"/>
      <c r="AI117" s="50"/>
      <c r="AJ117" s="50"/>
      <c r="AK117" s="50"/>
      <c r="AL117" s="50"/>
      <c r="AM117" s="50"/>
      <c r="AN117" s="50"/>
      <c r="AO117" s="50"/>
      <c r="AP117" s="50"/>
      <c r="AQ117" s="50"/>
      <c r="AR117" s="50"/>
      <c r="AS117" s="50"/>
      <c r="AT117" s="50"/>
      <c r="AU117" s="50"/>
      <c r="AV117" s="50"/>
      <c r="BA117" s="50"/>
    </row>
    <row r="118" ht="19.5" customHeight="1" spans="1:53">
      <c r="A118" s="45" t="s">
        <v>235</v>
      </c>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56"/>
      <c r="AH118" s="45"/>
      <c r="AI118" s="45"/>
      <c r="AJ118" s="45"/>
      <c r="AK118" s="45"/>
      <c r="AL118" s="45"/>
      <c r="AM118" s="45"/>
      <c r="AN118" s="45"/>
      <c r="AO118" s="45"/>
      <c r="AP118" s="45"/>
      <c r="AQ118" s="45"/>
      <c r="AR118" s="45"/>
      <c r="AS118" s="45"/>
      <c r="AT118" s="45"/>
      <c r="AU118" s="45"/>
      <c r="AV118" s="45"/>
      <c r="BA118" s="45"/>
    </row>
    <row r="119" ht="19.5" customHeight="1" spans="1:53">
      <c r="A119" s="50" t="s">
        <v>236</v>
      </c>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5"/>
      <c r="AH119" s="50"/>
      <c r="AI119" s="50"/>
      <c r="AJ119" s="50"/>
      <c r="AK119" s="50"/>
      <c r="AL119" s="50"/>
      <c r="AM119" s="50"/>
      <c r="AN119" s="50"/>
      <c r="AO119" s="50"/>
      <c r="AP119" s="50"/>
      <c r="AQ119" s="50"/>
      <c r="AR119" s="50"/>
      <c r="AS119" s="50"/>
      <c r="AT119" s="50"/>
      <c r="AU119" s="50"/>
      <c r="AV119" s="50"/>
      <c r="BA119" s="50"/>
    </row>
    <row r="120" ht="19.5" customHeight="1" spans="1:53">
      <c r="A120" s="50" t="s">
        <v>237</v>
      </c>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5"/>
      <c r="AH120" s="50"/>
      <c r="AI120" s="50"/>
      <c r="AJ120" s="50"/>
      <c r="AK120" s="50"/>
      <c r="AL120" s="50"/>
      <c r="AM120" s="50"/>
      <c r="AN120" s="50"/>
      <c r="AO120" s="50"/>
      <c r="AP120" s="50"/>
      <c r="AQ120" s="50"/>
      <c r="AR120" s="50"/>
      <c r="AS120" s="50"/>
      <c r="AT120" s="50"/>
      <c r="AU120" s="50"/>
      <c r="AV120" s="50"/>
      <c r="BA120" s="50"/>
    </row>
    <row r="121" ht="19.5" customHeight="1" spans="1:53">
      <c r="A121" s="50" t="s">
        <v>238</v>
      </c>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5"/>
      <c r="AH121" s="50"/>
      <c r="AI121" s="50"/>
      <c r="AJ121" s="50"/>
      <c r="AK121" s="50"/>
      <c r="AL121" s="50"/>
      <c r="AM121" s="50"/>
      <c r="AN121" s="50"/>
      <c r="AO121" s="50"/>
      <c r="AP121" s="50"/>
      <c r="AQ121" s="50"/>
      <c r="AR121" s="50"/>
      <c r="AS121" s="50"/>
      <c r="AT121" s="50"/>
      <c r="AU121" s="50"/>
      <c r="AV121" s="50"/>
      <c r="BA121" s="50"/>
    </row>
    <row r="124" spans="1:53">
      <c r="AM124" s="4">
        <f>SUM(AM13:AM60)</f>
        <v>7688351.796</v>
      </c>
      <c r="AN124" s="4">
        <f>SUM(AM124:AM127)</f>
        <v>14383200.06</v>
      </c>
    </row>
    <row r="125" spans="1:53">
      <c r="AM125" s="4">
        <f>SUM(AM67:AM76)</f>
        <v>768935.064</v>
      </c>
    </row>
    <row r="126" spans="1:53">
      <c r="AM126" s="4">
        <f>SUM(AM79:AM104)</f>
        <v>5544934.5</v>
      </c>
    </row>
    <row r="127" spans="1:53">
      <c r="AM127" s="4">
        <f>SUM(AM64)</f>
        <v>380978.7</v>
      </c>
    </row>
    <row r="129" spans="39:39">
      <c r="AM129" s="4">
        <f>AM4+AM5+AM6+AM7+AM8+AM9+AM10+AM11+AM12+AM61+AM62+AM63+AM66+AM78</f>
        <v>4301070.042</v>
      </c>
    </row>
    <row r="130" spans="39:39">
      <c r="AM130" s="4" t="e">
        <f>#REF!+AM65+AM77</f>
        <v>#REF!</v>
      </c>
    </row>
  </sheetData>
  <autoFilter xmlns:etc="http://www.wps.cn/officeDocument/2017/etCustomData" ref="A3:BB105" etc:filterBottomFollowUsedRange="0">
    <extLst/>
  </autoFilter>
  <mergeCells count="90">
    <mergeCell ref="A1:BA1"/>
    <mergeCell ref="H2:I2"/>
    <mergeCell ref="M2:N2"/>
    <mergeCell ref="Q2:U2"/>
    <mergeCell ref="V2:W2"/>
    <mergeCell ref="X2:Y2"/>
    <mergeCell ref="AB2:AD2"/>
    <mergeCell ref="A107:C107"/>
    <mergeCell ref="A109:AM109"/>
    <mergeCell ref="A110:AM110"/>
    <mergeCell ref="A111:AM111"/>
    <mergeCell ref="A112:AM112"/>
    <mergeCell ref="A113:AM113"/>
    <mergeCell ref="A114:AM114"/>
    <mergeCell ref="A115:AM115"/>
    <mergeCell ref="A116:AM116"/>
    <mergeCell ref="A117:AM117"/>
    <mergeCell ref="A118:AM118"/>
    <mergeCell ref="A119:AM119"/>
    <mergeCell ref="A120:AM120"/>
    <mergeCell ref="A121:AM121"/>
    <mergeCell ref="A2:A3"/>
    <mergeCell ref="A8:A9"/>
    <mergeCell ref="A13:A23"/>
    <mergeCell ref="A24:A28"/>
    <mergeCell ref="A29:A35"/>
    <mergeCell ref="A36:A38"/>
    <mergeCell ref="A39:A49"/>
    <mergeCell ref="A50:A60"/>
    <mergeCell ref="A61:A63"/>
    <mergeCell ref="A67:A76"/>
    <mergeCell ref="A79:A104"/>
    <mergeCell ref="B2:B3"/>
    <mergeCell ref="C2:C3"/>
    <mergeCell ref="C8:C9"/>
    <mergeCell ref="C13:C23"/>
    <mergeCell ref="C24:C28"/>
    <mergeCell ref="C29:C35"/>
    <mergeCell ref="C36:C38"/>
    <mergeCell ref="C39:C49"/>
    <mergeCell ref="C50:C55"/>
    <mergeCell ref="C56:C60"/>
    <mergeCell ref="D2:D3"/>
    <mergeCell ref="E2:E3"/>
    <mergeCell ref="F2:F3"/>
    <mergeCell ref="G2:G3"/>
    <mergeCell ref="J2:J3"/>
    <mergeCell ref="K2:K3"/>
    <mergeCell ref="L2:L3"/>
    <mergeCell ref="O2:O3"/>
    <mergeCell ref="P2:P3"/>
    <mergeCell ref="Z2:Z3"/>
    <mergeCell ref="AA2:AA3"/>
    <mergeCell ref="AE2:AE3"/>
    <mergeCell ref="AF2:AF3"/>
    <mergeCell ref="AG2:AG3"/>
    <mergeCell ref="AH2:AH3"/>
    <mergeCell ref="AI2:AI3"/>
    <mergeCell ref="AJ2:AJ3"/>
    <mergeCell ref="AK2:AK3"/>
    <mergeCell ref="AL2:AL3"/>
    <mergeCell ref="AM2:AM3"/>
    <mergeCell ref="AN2:AN3"/>
    <mergeCell ref="AO2:AO3"/>
    <mergeCell ref="AP2:AP3"/>
    <mergeCell ref="AQ2:AQ3"/>
    <mergeCell ref="AR2:AR3"/>
    <mergeCell ref="AS2:AS3"/>
    <mergeCell ref="AT2:AT3"/>
    <mergeCell ref="AU2:AU3"/>
    <mergeCell ref="AV2:AV3"/>
    <mergeCell ref="AW2:AW3"/>
    <mergeCell ref="AX2:AX3"/>
    <mergeCell ref="AY2:AY3"/>
    <mergeCell ref="AY8:AY9"/>
    <mergeCell ref="AZ2:AZ3"/>
    <mergeCell ref="AZ8:AZ9"/>
    <mergeCell ref="AZ13:AZ23"/>
    <mergeCell ref="AZ24:AZ28"/>
    <mergeCell ref="AZ29:AZ35"/>
    <mergeCell ref="AZ36:AZ38"/>
    <mergeCell ref="AZ39:AZ49"/>
    <mergeCell ref="AZ50:AZ60"/>
    <mergeCell ref="AZ61:AZ63"/>
    <mergeCell ref="AZ67:AZ76"/>
    <mergeCell ref="AZ79:AZ104"/>
    <mergeCell ref="BA2:BA3"/>
    <mergeCell ref="BA8:BA9"/>
    <mergeCell ref="BA61:BA63"/>
    <mergeCell ref="BB2:BB3"/>
  </mergeCells>
  <pageMargins left="0.700694444444444" right="0.700694444444444" top="0.751388888888889" bottom="0.751388888888889" header="0.298611111111111" footer="0.298611111111111"/>
  <pageSetup paperSize="9" scale="91"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view="pageBreakPreview" zoomScaleNormal="100" workbookViewId="0">
      <selection activeCell="B20" sqref="B20"/>
    </sheetView>
  </sheetViews>
  <sheetFormatPr defaultColWidth="8.5" defaultRowHeight="13.5" outlineLevelRow="5" outlineLevelCol="5"/>
  <cols>
    <col min="1" max="1" width="19.4" style="84" customWidth="1"/>
    <col min="2" max="2" width="41.3833333333333" style="84" customWidth="1"/>
    <col min="3" max="3" width="11.9" style="84"/>
    <col min="4" max="4" width="11.7" style="84"/>
    <col min="5" max="16384" width="8.5" style="84"/>
  </cols>
  <sheetData>
    <row r="1" ht="54" customHeight="1" spans="1:6">
      <c r="A1" s="85" t="s">
        <v>239</v>
      </c>
      <c r="B1" s="85"/>
    </row>
    <row r="2" ht="31.05" customHeight="1" spans="1:6">
      <c r="A2" s="86" t="s">
        <v>44</v>
      </c>
      <c r="B2" s="87" t="s">
        <v>240</v>
      </c>
    </row>
    <row r="3" s="83" customFormat="1" ht="27" customHeight="1" spans="1:6">
      <c r="A3" s="88" t="s">
        <v>241</v>
      </c>
      <c r="B3" s="89">
        <f>'1标'!AM48</f>
        <v>0</v>
      </c>
      <c r="E3" s="90"/>
      <c r="F3" s="90"/>
    </row>
    <row r="4" s="83" customFormat="1" ht="27" customHeight="1" spans="1:6">
      <c r="A4" s="88" t="s">
        <v>242</v>
      </c>
      <c r="B4" s="89">
        <f>'2标'!AM32</f>
        <v>0</v>
      </c>
    </row>
    <row r="5" s="83" customFormat="1" ht="27" customHeight="1" spans="1:6">
      <c r="A5" s="88" t="s">
        <v>243</v>
      </c>
      <c r="B5" s="89">
        <f>'3标'!AM34</f>
        <v>0</v>
      </c>
    </row>
    <row r="6" ht="30" customHeight="1" spans="1:6">
      <c r="A6" s="91" t="s">
        <v>244</v>
      </c>
      <c r="B6" s="92">
        <f>SUM(B3:B5)</f>
        <v>0</v>
      </c>
    </row>
  </sheetData>
  <mergeCells count="1">
    <mergeCell ref="A1:B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B72"/>
  <sheetViews>
    <sheetView zoomScale="85" zoomScaleNormal="85" zoomScaleSheetLayoutView="90" workbookViewId="0">
      <pane xSplit="6" ySplit="3" topLeftCell="G34" activePane="bottomRight" state="frozen"/>
      <selection/>
      <selection pane="topRight"/>
      <selection pane="bottomLeft"/>
      <selection pane="bottomRight" activeCell="X2" sqref="X2:Y2"/>
    </sheetView>
  </sheetViews>
  <sheetFormatPr defaultColWidth="9" defaultRowHeight="14.25"/>
  <cols>
    <col min="1" max="1" width="4" style="4" customWidth="1"/>
    <col min="2" max="2" width="24.2" style="4" customWidth="1"/>
    <col min="3" max="3" width="12.9" style="4" customWidth="1"/>
    <col min="4" max="4" width="8.9" style="4" customWidth="1"/>
    <col min="5" max="5" width="7.9" style="4" customWidth="1"/>
    <col min="6" max="6" width="7.7" style="4" customWidth="1"/>
    <col min="7" max="10" width="6.1" style="4" customWidth="1"/>
    <col min="11" max="11" width="5.3" style="4" customWidth="1"/>
    <col min="12" max="12" width="6.1" style="4" customWidth="1"/>
    <col min="13" max="13" width="6.4" style="4" customWidth="1"/>
    <col min="14" max="14" width="6" style="4" customWidth="1"/>
    <col min="15" max="15" width="9.6" style="4" customWidth="1"/>
    <col min="16" max="16" width="6.5" style="4" customWidth="1"/>
    <col min="17" max="17" width="6.9" style="4" customWidth="1"/>
    <col min="18" max="18" width="7.6" style="4" customWidth="1"/>
    <col min="19" max="19" width="5.9" style="4" customWidth="1"/>
    <col min="20" max="20" width="7.5" style="4" customWidth="1"/>
    <col min="21" max="21" width="5.5" style="4" customWidth="1"/>
    <col min="22" max="22" width="5.7" style="4" customWidth="1"/>
    <col min="23" max="23" width="5.4" style="4" customWidth="1"/>
    <col min="24" max="24" width="9.2" style="4" customWidth="1"/>
    <col min="25" max="25" width="5.6" style="4" customWidth="1"/>
    <col min="26" max="26" width="5.7" style="4" customWidth="1"/>
    <col min="27" max="27" width="6.7" style="4" customWidth="1"/>
    <col min="28" max="28" width="7" style="4" customWidth="1"/>
    <col min="29" max="29" width="6.3" style="4" customWidth="1"/>
    <col min="30" max="30" width="7.5" style="4" customWidth="1"/>
    <col min="31" max="31" width="5.5" style="4" customWidth="1"/>
    <col min="32" max="33" width="5.9" style="4" customWidth="1"/>
    <col min="34" max="34" width="6.2" style="4" customWidth="1"/>
    <col min="35" max="35" width="5.4" style="4" customWidth="1"/>
    <col min="36" max="36" width="5.6" style="4" customWidth="1"/>
    <col min="37" max="37" width="5.2" style="4" customWidth="1"/>
    <col min="38" max="38" width="8.1" style="4" customWidth="1"/>
    <col min="39" max="39" width="11.3" style="4" customWidth="1"/>
    <col min="40" max="40" width="11.3" style="4" hidden="1" customWidth="1"/>
    <col min="41" max="41" width="12.9" style="4" hidden="1" customWidth="1"/>
    <col min="42" max="42" width="11.3" style="4" hidden="1" customWidth="1"/>
    <col min="43" max="43" width="11" hidden="1" customWidth="1"/>
    <col min="44" max="44" width="11.1" hidden="1" customWidth="1"/>
    <col min="45" max="45" width="9.7" hidden="1" customWidth="1"/>
    <col min="46" max="46" width="9.6" hidden="1" customWidth="1"/>
    <col min="47" max="48" width="10.7" hidden="1" customWidth="1"/>
    <col min="49" max="49" width="9.9" style="4" hidden="1" customWidth="1"/>
    <col min="50" max="51" width="9" style="4" hidden="1" customWidth="1"/>
    <col min="52" max="52" width="11.5" style="4" hidden="1" customWidth="1"/>
    <col min="53" max="53" width="8.8" style="4" hidden="1" customWidth="1"/>
    <col min="54" max="16384" width="9" style="4"/>
  </cols>
  <sheetData>
    <row r="1" ht="34.95" customHeight="1" spans="1:53">
      <c r="A1" s="6" t="s">
        <v>245</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ht="27" customHeight="1" spans="1:53">
      <c r="A2" s="1" t="s">
        <v>1</v>
      </c>
      <c r="B2" s="1" t="s">
        <v>2</v>
      </c>
      <c r="C2" s="1" t="s">
        <v>3</v>
      </c>
      <c r="D2" s="1" t="s">
        <v>4</v>
      </c>
      <c r="E2" s="1" t="s">
        <v>5</v>
      </c>
      <c r="F2" s="1" t="s">
        <v>6</v>
      </c>
      <c r="G2" s="1" t="s">
        <v>7</v>
      </c>
      <c r="H2" s="1" t="s">
        <v>8</v>
      </c>
      <c r="I2" s="1"/>
      <c r="J2" s="1" t="s">
        <v>9</v>
      </c>
      <c r="K2" s="1" t="s">
        <v>10</v>
      </c>
      <c r="L2" s="7" t="s">
        <v>246</v>
      </c>
      <c r="M2" s="7" t="s">
        <v>247</v>
      </c>
      <c r="N2" s="1"/>
      <c r="O2" s="7" t="s">
        <v>248</v>
      </c>
      <c r="P2" s="7" t="s">
        <v>249</v>
      </c>
      <c r="Q2" s="7" t="s">
        <v>250</v>
      </c>
      <c r="R2" s="1"/>
      <c r="S2" s="1"/>
      <c r="T2" s="1"/>
      <c r="U2" s="1"/>
      <c r="V2" s="7" t="s">
        <v>251</v>
      </c>
      <c r="W2" s="1"/>
      <c r="X2" s="8" t="s">
        <v>252</v>
      </c>
      <c r="Y2" s="1"/>
      <c r="Z2" s="7" t="s">
        <v>253</v>
      </c>
      <c r="AA2" s="7" t="s">
        <v>254</v>
      </c>
      <c r="AB2" s="7" t="s">
        <v>255</v>
      </c>
      <c r="AC2" s="1"/>
      <c r="AD2" s="1"/>
      <c r="AE2" s="7" t="s">
        <v>256</v>
      </c>
      <c r="AF2" s="7" t="s">
        <v>257</v>
      </c>
      <c r="AG2" s="7" t="s">
        <v>258</v>
      </c>
      <c r="AH2" s="7" t="s">
        <v>259</v>
      </c>
      <c r="AI2" s="7" t="s">
        <v>260</v>
      </c>
      <c r="AJ2" s="7" t="s">
        <v>261</v>
      </c>
      <c r="AK2" s="7" t="s">
        <v>262</v>
      </c>
      <c r="AL2" s="7" t="s">
        <v>263</v>
      </c>
      <c r="AM2" s="9" t="s">
        <v>29</v>
      </c>
      <c r="AN2" s="10" t="s">
        <v>30</v>
      </c>
      <c r="AO2" s="10" t="s">
        <v>31</v>
      </c>
      <c r="AP2" s="10" t="s">
        <v>32</v>
      </c>
      <c r="AQ2" s="10" t="s">
        <v>33</v>
      </c>
      <c r="AR2" s="10" t="s">
        <v>34</v>
      </c>
      <c r="AS2" s="10" t="s">
        <v>35</v>
      </c>
      <c r="AT2" s="10" t="s">
        <v>36</v>
      </c>
      <c r="AU2" s="10" t="s">
        <v>37</v>
      </c>
      <c r="AV2" s="10" t="s">
        <v>38</v>
      </c>
      <c r="AW2" s="9" t="s">
        <v>39</v>
      </c>
      <c r="AX2" s="9" t="s">
        <v>40</v>
      </c>
      <c r="AY2" s="10" t="s">
        <v>41</v>
      </c>
      <c r="AZ2" s="10" t="s">
        <v>42</v>
      </c>
      <c r="BA2" s="10" t="s">
        <v>43</v>
      </c>
    </row>
    <row r="3" ht="48" customHeight="1" spans="1:53">
      <c r="A3" s="1"/>
      <c r="B3" s="1"/>
      <c r="C3" s="1"/>
      <c r="D3" s="1"/>
      <c r="E3" s="1"/>
      <c r="F3" s="1"/>
      <c r="G3" s="1"/>
      <c r="H3" s="1" t="s">
        <v>45</v>
      </c>
      <c r="I3" s="1" t="s">
        <v>46</v>
      </c>
      <c r="J3" s="1"/>
      <c r="K3" s="1"/>
      <c r="L3" s="1"/>
      <c r="M3" s="1" t="s">
        <v>47</v>
      </c>
      <c r="N3" s="1" t="s">
        <v>48</v>
      </c>
      <c r="O3" s="1"/>
      <c r="P3" s="1"/>
      <c r="Q3" s="1" t="s">
        <v>49</v>
      </c>
      <c r="R3" s="1" t="s">
        <v>50</v>
      </c>
      <c r="S3" s="1" t="s">
        <v>51</v>
      </c>
      <c r="T3" s="1" t="s">
        <v>52</v>
      </c>
      <c r="U3" s="1" t="s">
        <v>53</v>
      </c>
      <c r="V3" s="1" t="s">
        <v>54</v>
      </c>
      <c r="W3" s="1" t="s">
        <v>55</v>
      </c>
      <c r="X3" s="11" t="s">
        <v>56</v>
      </c>
      <c r="Y3" s="1" t="s">
        <v>57</v>
      </c>
      <c r="Z3" s="1"/>
      <c r="AA3" s="1"/>
      <c r="AB3" s="1" t="s">
        <v>58</v>
      </c>
      <c r="AC3" s="1" t="s">
        <v>59</v>
      </c>
      <c r="AD3" s="7" t="s">
        <v>264</v>
      </c>
      <c r="AE3" s="1"/>
      <c r="AF3" s="1"/>
      <c r="AG3" s="1"/>
      <c r="AH3" s="1"/>
      <c r="AI3" s="1"/>
      <c r="AJ3" s="1"/>
      <c r="AK3" s="1"/>
      <c r="AL3" s="1"/>
      <c r="AM3" s="9"/>
      <c r="AN3" s="9"/>
      <c r="AO3" s="9"/>
      <c r="AP3" s="9"/>
      <c r="AQ3" s="9"/>
      <c r="AR3" s="9"/>
      <c r="AS3" s="9"/>
      <c r="AT3" s="9"/>
      <c r="AU3" s="9"/>
      <c r="AV3" s="9"/>
      <c r="AW3" s="9"/>
      <c r="AX3" s="9"/>
      <c r="AY3" s="9"/>
      <c r="AZ3" s="9"/>
      <c r="BA3" s="9"/>
    </row>
    <row r="4" s="3" customFormat="1" ht="18" customHeight="1" spans="1:53">
      <c r="A4" s="12">
        <v>1</v>
      </c>
      <c r="B4" s="13" t="s">
        <v>75</v>
      </c>
      <c r="C4" s="67" t="s">
        <v>76</v>
      </c>
      <c r="D4" s="17">
        <v>162.74</v>
      </c>
      <c r="E4" s="16">
        <v>3</v>
      </c>
      <c r="F4" s="17">
        <v>4341.9032</v>
      </c>
      <c r="G4" s="1">
        <v>5</v>
      </c>
      <c r="H4" s="1">
        <v>0</v>
      </c>
      <c r="I4" s="1">
        <v>0</v>
      </c>
      <c r="J4" s="1">
        <v>2</v>
      </c>
      <c r="K4" s="1">
        <v>4</v>
      </c>
      <c r="L4" s="1"/>
      <c r="M4" s="1"/>
      <c r="N4" s="1"/>
      <c r="O4" s="19"/>
      <c r="P4" s="1"/>
      <c r="Q4" s="1"/>
      <c r="R4" s="1"/>
      <c r="S4" s="1"/>
      <c r="T4" s="1"/>
      <c r="U4" s="1"/>
      <c r="V4" s="1"/>
      <c r="W4" s="1"/>
      <c r="X4" s="20"/>
      <c r="Y4" s="1"/>
      <c r="Z4" s="1"/>
      <c r="AA4" s="1"/>
      <c r="AB4" s="1"/>
      <c r="AC4" s="1"/>
      <c r="AD4" s="1"/>
      <c r="AE4" s="1"/>
      <c r="AF4" s="1"/>
      <c r="AG4" s="1"/>
      <c r="AH4" s="1"/>
      <c r="AI4" s="1"/>
      <c r="AJ4" s="1"/>
      <c r="AK4" s="1"/>
      <c r="AL4" s="18"/>
      <c r="AM4" s="18">
        <f t="shared" ref="AM4:AM47" si="0">SUM(M4:AL4)</f>
        <v>0</v>
      </c>
      <c r="AN4" s="21" t="s">
        <v>77</v>
      </c>
      <c r="AO4" s="21" t="s">
        <v>78</v>
      </c>
      <c r="AP4" s="21">
        <f>AM4</f>
        <v>0</v>
      </c>
      <c r="AQ4" s="21"/>
      <c r="AR4" s="21"/>
      <c r="AS4" s="21"/>
      <c r="AT4" s="21"/>
      <c r="AU4" s="21"/>
      <c r="AV4" s="21"/>
      <c r="AW4" s="24" t="s">
        <v>79</v>
      </c>
      <c r="AX4" s="68" t="s">
        <v>66</v>
      </c>
      <c r="AY4" s="24" t="s">
        <v>67</v>
      </c>
      <c r="AZ4" s="24" t="s">
        <v>68</v>
      </c>
      <c r="BA4" s="21" t="s">
        <v>69</v>
      </c>
    </row>
    <row r="5" s="3" customFormat="1" ht="18" customHeight="1" spans="1:53">
      <c r="A5" s="12">
        <v>2</v>
      </c>
      <c r="B5" s="13" t="s">
        <v>163</v>
      </c>
      <c r="C5" s="69" t="s">
        <v>164</v>
      </c>
      <c r="D5" s="17">
        <f>181.2+264+609.56</f>
        <v>1054.76</v>
      </c>
      <c r="E5" s="16">
        <v>28</v>
      </c>
      <c r="F5" s="17">
        <v>30559.257</v>
      </c>
      <c r="G5" s="16">
        <v>26</v>
      </c>
      <c r="H5" s="16">
        <v>0</v>
      </c>
      <c r="I5" s="16">
        <v>0</v>
      </c>
      <c r="J5" s="16">
        <v>9</v>
      </c>
      <c r="K5" s="16">
        <v>2</v>
      </c>
      <c r="L5" s="1"/>
      <c r="M5" s="1"/>
      <c r="N5" s="1"/>
      <c r="O5" s="19"/>
      <c r="P5" s="1"/>
      <c r="Q5" s="1"/>
      <c r="R5" s="1"/>
      <c r="S5" s="1"/>
      <c r="T5" s="1"/>
      <c r="U5" s="1"/>
      <c r="V5" s="1"/>
      <c r="W5" s="1"/>
      <c r="X5" s="20"/>
      <c r="Y5" s="1"/>
      <c r="Z5" s="1"/>
      <c r="AA5" s="1"/>
      <c r="AB5" s="1"/>
      <c r="AC5" s="1"/>
      <c r="AD5" s="1"/>
      <c r="AE5" s="1"/>
      <c r="AF5" s="1"/>
      <c r="AG5" s="1"/>
      <c r="AH5" s="1"/>
      <c r="AI5" s="1"/>
      <c r="AJ5" s="1"/>
      <c r="AK5" s="1"/>
      <c r="AL5" s="18"/>
      <c r="AM5" s="18">
        <f t="shared" si="0"/>
        <v>0</v>
      </c>
      <c r="AN5" s="21" t="s">
        <v>100</v>
      </c>
      <c r="AO5" s="21" t="s">
        <v>165</v>
      </c>
      <c r="AP5" s="21"/>
      <c r="AQ5" s="21">
        <f>AM5*2/3</f>
        <v>0</v>
      </c>
      <c r="AR5" s="21"/>
      <c r="AS5" s="21"/>
      <c r="AT5" s="21"/>
      <c r="AU5" s="21">
        <f>AM5*1/3</f>
        <v>0</v>
      </c>
      <c r="AV5" s="21"/>
      <c r="AW5" s="69" t="s">
        <v>166</v>
      </c>
      <c r="AX5" s="68" t="s">
        <v>83</v>
      </c>
      <c r="AY5" s="24"/>
      <c r="AZ5" s="58" t="s">
        <v>74</v>
      </c>
      <c r="BA5" s="59" t="s">
        <v>86</v>
      </c>
    </row>
    <row r="6" s="3" customFormat="1" ht="18" customHeight="1" spans="1:53">
      <c r="A6" s="12"/>
      <c r="B6" s="13" t="s">
        <v>167</v>
      </c>
      <c r="C6" s="69" t="s">
        <v>164</v>
      </c>
      <c r="D6" s="17">
        <v>92.944</v>
      </c>
      <c r="E6" s="16">
        <v>3</v>
      </c>
      <c r="F6" s="17">
        <v>650.608</v>
      </c>
      <c r="G6" s="16">
        <v>3</v>
      </c>
      <c r="H6" s="16">
        <v>0</v>
      </c>
      <c r="I6" s="16">
        <v>0</v>
      </c>
      <c r="J6" s="16">
        <v>2</v>
      </c>
      <c r="K6" s="16"/>
      <c r="L6" s="1"/>
      <c r="M6" s="1"/>
      <c r="N6" s="1"/>
      <c r="O6" s="19"/>
      <c r="P6" s="1"/>
      <c r="Q6" s="1"/>
      <c r="R6" s="1"/>
      <c r="S6" s="1"/>
      <c r="T6" s="1"/>
      <c r="U6" s="1"/>
      <c r="V6" s="1"/>
      <c r="W6" s="1"/>
      <c r="X6" s="20"/>
      <c r="Y6" s="1"/>
      <c r="Z6" s="1"/>
      <c r="AA6" s="1"/>
      <c r="AB6" s="1"/>
      <c r="AC6" s="1"/>
      <c r="AD6" s="1"/>
      <c r="AE6" s="1"/>
      <c r="AF6" s="1"/>
      <c r="AG6" s="1"/>
      <c r="AH6" s="1"/>
      <c r="AI6" s="1"/>
      <c r="AJ6" s="1"/>
      <c r="AK6" s="1"/>
      <c r="AL6" s="18"/>
      <c r="AM6" s="18">
        <f t="shared" si="0"/>
        <v>0</v>
      </c>
      <c r="AN6" s="21" t="s">
        <v>100</v>
      </c>
      <c r="AO6" s="21" t="s">
        <v>72</v>
      </c>
      <c r="AP6" s="21"/>
      <c r="AQ6" s="21">
        <f>AM6</f>
        <v>0</v>
      </c>
      <c r="AR6" s="21"/>
      <c r="AS6" s="21"/>
      <c r="AT6" s="21"/>
      <c r="AU6" s="21"/>
      <c r="AV6" s="21"/>
      <c r="AW6" s="69" t="s">
        <v>166</v>
      </c>
      <c r="AX6" s="68" t="s">
        <v>83</v>
      </c>
      <c r="AY6" s="24"/>
      <c r="AZ6" s="70"/>
      <c r="BA6" s="71"/>
    </row>
    <row r="7" s="3" customFormat="1" ht="18" customHeight="1" spans="1:53">
      <c r="A7" s="12"/>
      <c r="B7" s="13" t="s">
        <v>168</v>
      </c>
      <c r="C7" s="69" t="s">
        <v>164</v>
      </c>
      <c r="D7" s="17">
        <v>150.864</v>
      </c>
      <c r="E7" s="29">
        <v>3</v>
      </c>
      <c r="F7" s="29">
        <v>1056.048</v>
      </c>
      <c r="G7" s="16">
        <v>3</v>
      </c>
      <c r="H7" s="1">
        <v>0</v>
      </c>
      <c r="I7" s="1">
        <v>0</v>
      </c>
      <c r="J7" s="16">
        <v>2</v>
      </c>
      <c r="K7" s="16">
        <v>2</v>
      </c>
      <c r="L7" s="1"/>
      <c r="M7" s="1"/>
      <c r="N7" s="1"/>
      <c r="O7" s="19"/>
      <c r="P7" s="1"/>
      <c r="Q7" s="1"/>
      <c r="R7" s="1"/>
      <c r="S7" s="1"/>
      <c r="T7" s="1"/>
      <c r="U7" s="1"/>
      <c r="V7" s="1"/>
      <c r="W7" s="1"/>
      <c r="X7" s="20"/>
      <c r="Y7" s="1"/>
      <c r="Z7" s="1"/>
      <c r="AA7" s="1"/>
      <c r="AB7" s="1"/>
      <c r="AC7" s="1"/>
      <c r="AD7" s="1"/>
      <c r="AE7" s="1"/>
      <c r="AF7" s="1"/>
      <c r="AG7" s="1"/>
      <c r="AH7" s="1"/>
      <c r="AI7" s="1"/>
      <c r="AJ7" s="1"/>
      <c r="AK7" s="1"/>
      <c r="AL7" s="18"/>
      <c r="AM7" s="18">
        <f t="shared" si="0"/>
        <v>0</v>
      </c>
      <c r="AN7" s="21" t="s">
        <v>100</v>
      </c>
      <c r="AO7" s="21" t="s">
        <v>72</v>
      </c>
      <c r="AP7" s="21"/>
      <c r="AQ7" s="21">
        <f>AM7</f>
        <v>0</v>
      </c>
      <c r="AR7" s="21"/>
      <c r="AS7" s="21"/>
      <c r="AT7" s="21"/>
      <c r="AU7" s="21"/>
      <c r="AV7" s="21"/>
      <c r="AW7" s="69" t="s">
        <v>166</v>
      </c>
      <c r="AX7" s="68" t="s">
        <v>83</v>
      </c>
      <c r="AY7" s="24"/>
      <c r="AZ7" s="60"/>
      <c r="BA7" s="61"/>
    </row>
    <row r="8" s="3" customFormat="1" ht="18" customHeight="1" spans="1:53">
      <c r="A8" s="1">
        <v>3</v>
      </c>
      <c r="B8" s="13" t="s">
        <v>171</v>
      </c>
      <c r="C8" s="72" t="s">
        <v>172</v>
      </c>
      <c r="D8" s="17">
        <v>64.2</v>
      </c>
      <c r="E8" s="16">
        <v>3</v>
      </c>
      <c r="F8" s="17">
        <v>2112.18</v>
      </c>
      <c r="G8" s="18">
        <v>16</v>
      </c>
      <c r="H8" s="16">
        <v>0</v>
      </c>
      <c r="I8" s="16">
        <v>0</v>
      </c>
      <c r="J8" s="29">
        <v>2</v>
      </c>
      <c r="K8" s="29">
        <v>18</v>
      </c>
      <c r="L8" s="1"/>
      <c r="M8" s="29"/>
      <c r="N8" s="1"/>
      <c r="O8" s="19"/>
      <c r="P8" s="1"/>
      <c r="Q8" s="1"/>
      <c r="R8" s="1"/>
      <c r="S8" s="1"/>
      <c r="T8" s="1"/>
      <c r="U8" s="1"/>
      <c r="V8" s="1"/>
      <c r="W8" s="1"/>
      <c r="X8" s="29"/>
      <c r="Y8" s="29"/>
      <c r="Z8" s="29"/>
      <c r="AA8" s="29"/>
      <c r="AB8" s="29"/>
      <c r="AC8" s="29"/>
      <c r="AD8" s="29"/>
      <c r="AE8" s="1"/>
      <c r="AF8" s="1"/>
      <c r="AG8" s="29"/>
      <c r="AH8" s="29"/>
      <c r="AI8" s="29"/>
      <c r="AJ8" s="29"/>
      <c r="AK8" s="29"/>
      <c r="AL8" s="18"/>
      <c r="AM8" s="18">
        <f t="shared" si="0"/>
        <v>0</v>
      </c>
      <c r="AN8" s="21" t="s">
        <v>77</v>
      </c>
      <c r="AO8" s="21" t="s">
        <v>78</v>
      </c>
      <c r="AP8" s="21">
        <f t="shared" ref="AP8:AP19" si="1">AM8</f>
        <v>0</v>
      </c>
      <c r="AQ8" s="21"/>
      <c r="AR8" s="21"/>
      <c r="AS8" s="21"/>
      <c r="AT8" s="21"/>
      <c r="AU8" s="21"/>
      <c r="AV8" s="21"/>
      <c r="AW8" s="24" t="s">
        <v>265</v>
      </c>
      <c r="AX8" s="68" t="s">
        <v>66</v>
      </c>
      <c r="AY8" s="24" t="s">
        <v>67</v>
      </c>
      <c r="AZ8" s="24" t="s">
        <v>175</v>
      </c>
      <c r="BA8" s="21" t="s">
        <v>69</v>
      </c>
    </row>
    <row r="9" s="3" customFormat="1" ht="18" customHeight="1" spans="1:53">
      <c r="A9" s="12">
        <v>4</v>
      </c>
      <c r="B9" s="13" t="s">
        <v>176</v>
      </c>
      <c r="C9" s="67" t="s">
        <v>177</v>
      </c>
      <c r="D9" s="17">
        <v>180</v>
      </c>
      <c r="E9" s="16">
        <v>4</v>
      </c>
      <c r="F9" s="17">
        <v>7380</v>
      </c>
      <c r="G9" s="16">
        <v>39</v>
      </c>
      <c r="H9" s="16">
        <v>0</v>
      </c>
      <c r="I9" s="16">
        <v>0</v>
      </c>
      <c r="J9" s="16">
        <v>8</v>
      </c>
      <c r="K9" s="16"/>
      <c r="L9" s="1"/>
      <c r="M9" s="1"/>
      <c r="N9" s="1"/>
      <c r="O9" s="19"/>
      <c r="P9" s="1"/>
      <c r="Q9" s="1"/>
      <c r="R9" s="1"/>
      <c r="S9" s="1"/>
      <c r="T9" s="1"/>
      <c r="U9" s="1"/>
      <c r="V9" s="1"/>
      <c r="W9" s="1"/>
      <c r="X9" s="20"/>
      <c r="Y9" s="1"/>
      <c r="Z9" s="27"/>
      <c r="AA9" s="1"/>
      <c r="AB9" s="1"/>
      <c r="AC9" s="1"/>
      <c r="AD9" s="1"/>
      <c r="AE9" s="1"/>
      <c r="AF9" s="1"/>
      <c r="AG9" s="1"/>
      <c r="AH9" s="27"/>
      <c r="AI9" s="1"/>
      <c r="AJ9" s="1"/>
      <c r="AK9" s="1"/>
      <c r="AL9" s="18"/>
      <c r="AM9" s="18">
        <f t="shared" si="0"/>
        <v>0</v>
      </c>
      <c r="AN9" s="21" t="s">
        <v>95</v>
      </c>
      <c r="AO9" s="21" t="s">
        <v>178</v>
      </c>
      <c r="AP9" s="21"/>
      <c r="AQ9" s="21"/>
      <c r="AR9" s="21"/>
      <c r="AS9" s="21"/>
      <c r="AT9" s="21">
        <f>AM9</f>
        <v>0</v>
      </c>
      <c r="AU9" s="21"/>
      <c r="AV9" s="21"/>
      <c r="AW9" s="24" t="s">
        <v>266</v>
      </c>
      <c r="AX9" s="68" t="s">
        <v>66</v>
      </c>
      <c r="AY9" s="24" t="s">
        <v>84</v>
      </c>
      <c r="AZ9" s="24" t="s">
        <v>85</v>
      </c>
      <c r="BA9" s="21" t="s">
        <v>86</v>
      </c>
    </row>
    <row r="10" s="3" customFormat="1" ht="18" customHeight="1" spans="1:53">
      <c r="A10" s="1">
        <v>5</v>
      </c>
      <c r="B10" s="73" t="s">
        <v>267</v>
      </c>
      <c r="C10" s="74" t="s">
        <v>181</v>
      </c>
      <c r="D10" s="17">
        <v>337.24</v>
      </c>
      <c r="E10" s="16">
        <v>16</v>
      </c>
      <c r="F10" s="17">
        <v>7503.6075</v>
      </c>
      <c r="G10" s="18">
        <v>14</v>
      </c>
      <c r="H10" s="1">
        <v>0</v>
      </c>
      <c r="I10" s="1">
        <v>0</v>
      </c>
      <c r="J10" s="1">
        <v>5</v>
      </c>
      <c r="K10" s="1"/>
      <c r="L10" s="1"/>
      <c r="M10" s="1"/>
      <c r="N10" s="1"/>
      <c r="O10" s="19"/>
      <c r="P10" s="1"/>
      <c r="Q10" s="1"/>
      <c r="R10" s="1"/>
      <c r="S10" s="1"/>
      <c r="T10" s="1"/>
      <c r="U10" s="1"/>
      <c r="V10" s="1"/>
      <c r="W10" s="1"/>
      <c r="X10" s="20"/>
      <c r="Y10" s="1"/>
      <c r="Z10" s="1"/>
      <c r="AA10" s="1"/>
      <c r="AB10" s="1"/>
      <c r="AC10" s="1"/>
      <c r="AD10" s="1"/>
      <c r="AE10" s="1"/>
      <c r="AF10" s="1"/>
      <c r="AG10" s="1"/>
      <c r="AH10" s="1"/>
      <c r="AI10" s="1"/>
      <c r="AJ10" s="1"/>
      <c r="AK10" s="1"/>
      <c r="AL10" s="18"/>
      <c r="AM10" s="18">
        <f t="shared" si="0"/>
        <v>0</v>
      </c>
      <c r="AN10" s="21" t="s">
        <v>77</v>
      </c>
      <c r="AO10" s="21" t="s">
        <v>78</v>
      </c>
      <c r="AP10" s="21">
        <f t="shared" si="1"/>
        <v>0</v>
      </c>
      <c r="AQ10" s="21"/>
      <c r="AR10" s="21"/>
      <c r="AS10" s="21"/>
      <c r="AT10" s="21"/>
      <c r="AU10" s="21"/>
      <c r="AV10" s="21"/>
      <c r="AW10" s="75">
        <v>1996.5</v>
      </c>
      <c r="AX10" s="68" t="s">
        <v>268</v>
      </c>
      <c r="AY10" s="24"/>
      <c r="AZ10" s="58" t="s">
        <v>110</v>
      </c>
      <c r="BA10" s="21" t="s">
        <v>69</v>
      </c>
    </row>
    <row r="11" s="3" customFormat="1" ht="18" customHeight="1" spans="1:53">
      <c r="A11" s="1"/>
      <c r="B11" s="73" t="s">
        <v>269</v>
      </c>
      <c r="C11" s="74" t="s">
        <v>181</v>
      </c>
      <c r="D11" s="17">
        <v>185.32</v>
      </c>
      <c r="E11" s="16">
        <v>10</v>
      </c>
      <c r="F11" s="17">
        <v>1482.56</v>
      </c>
      <c r="G11" s="18">
        <v>9</v>
      </c>
      <c r="H11" s="16">
        <v>0</v>
      </c>
      <c r="I11" s="16">
        <v>0</v>
      </c>
      <c r="J11" s="1">
        <v>3</v>
      </c>
      <c r="K11" s="1"/>
      <c r="L11" s="1"/>
      <c r="M11" s="1"/>
      <c r="N11" s="1"/>
      <c r="O11" s="19"/>
      <c r="P11" s="1"/>
      <c r="Q11" s="1"/>
      <c r="R11" s="1"/>
      <c r="S11" s="1"/>
      <c r="T11" s="1"/>
      <c r="U11" s="1"/>
      <c r="V11" s="1"/>
      <c r="W11" s="1"/>
      <c r="X11" s="20"/>
      <c r="Y11" s="1"/>
      <c r="Z11" s="1"/>
      <c r="AA11" s="1"/>
      <c r="AB11" s="1"/>
      <c r="AC11" s="1"/>
      <c r="AD11" s="1"/>
      <c r="AE11" s="1"/>
      <c r="AF11" s="1"/>
      <c r="AG11" s="1"/>
      <c r="AH11" s="1"/>
      <c r="AI11" s="1"/>
      <c r="AJ11" s="1"/>
      <c r="AK11" s="1"/>
      <c r="AL11" s="18"/>
      <c r="AM11" s="18">
        <f t="shared" si="0"/>
        <v>0</v>
      </c>
      <c r="AN11" s="21" t="s">
        <v>77</v>
      </c>
      <c r="AO11" s="21" t="s">
        <v>78</v>
      </c>
      <c r="AP11" s="21">
        <f t="shared" si="1"/>
        <v>0</v>
      </c>
      <c r="AQ11" s="21"/>
      <c r="AR11" s="21"/>
      <c r="AS11" s="21"/>
      <c r="AT11" s="21"/>
      <c r="AU11" s="21"/>
      <c r="AV11" s="21"/>
      <c r="AW11" s="75">
        <v>1996.5</v>
      </c>
      <c r="AX11" s="68" t="s">
        <v>268</v>
      </c>
      <c r="AY11" s="24"/>
      <c r="AZ11" s="70"/>
      <c r="BA11" s="21" t="s">
        <v>69</v>
      </c>
    </row>
    <row r="12" s="3" customFormat="1" ht="18" customHeight="1" spans="1:53">
      <c r="A12" s="1"/>
      <c r="B12" s="73" t="s">
        <v>270</v>
      </c>
      <c r="C12" s="74" t="s">
        <v>181</v>
      </c>
      <c r="D12" s="17">
        <v>107.5</v>
      </c>
      <c r="E12" s="16">
        <v>6</v>
      </c>
      <c r="F12" s="17">
        <v>860</v>
      </c>
      <c r="G12" s="18">
        <v>9</v>
      </c>
      <c r="H12" s="16">
        <v>0</v>
      </c>
      <c r="I12" s="16">
        <v>0</v>
      </c>
      <c r="J12" s="1">
        <v>3</v>
      </c>
      <c r="K12" s="1"/>
      <c r="L12" s="1"/>
      <c r="M12" s="1"/>
      <c r="N12" s="1"/>
      <c r="O12" s="19"/>
      <c r="P12" s="1"/>
      <c r="Q12" s="1"/>
      <c r="R12" s="1"/>
      <c r="S12" s="1"/>
      <c r="T12" s="1"/>
      <c r="U12" s="1"/>
      <c r="V12" s="1"/>
      <c r="W12" s="1"/>
      <c r="X12" s="20"/>
      <c r="Y12" s="1"/>
      <c r="Z12" s="1"/>
      <c r="AA12" s="1"/>
      <c r="AB12" s="1"/>
      <c r="AC12" s="1"/>
      <c r="AD12" s="1"/>
      <c r="AE12" s="1"/>
      <c r="AF12" s="1"/>
      <c r="AG12" s="1"/>
      <c r="AH12" s="1"/>
      <c r="AI12" s="1"/>
      <c r="AJ12" s="1"/>
      <c r="AK12" s="1"/>
      <c r="AL12" s="18"/>
      <c r="AM12" s="18">
        <f t="shared" si="0"/>
        <v>0</v>
      </c>
      <c r="AN12" s="21" t="s">
        <v>77</v>
      </c>
      <c r="AO12" s="21" t="s">
        <v>78</v>
      </c>
      <c r="AP12" s="21">
        <f t="shared" si="1"/>
        <v>0</v>
      </c>
      <c r="AQ12" s="21"/>
      <c r="AR12" s="21"/>
      <c r="AS12" s="21"/>
      <c r="AT12" s="21"/>
      <c r="AU12" s="21"/>
      <c r="AV12" s="21"/>
      <c r="AW12" s="75">
        <v>1996.5</v>
      </c>
      <c r="AX12" s="68" t="s">
        <v>268</v>
      </c>
      <c r="AY12" s="24"/>
      <c r="AZ12" s="70"/>
      <c r="BA12" s="21" t="s">
        <v>69</v>
      </c>
    </row>
    <row r="13" s="3" customFormat="1" ht="18" customHeight="1" spans="1:53">
      <c r="A13" s="1"/>
      <c r="B13" s="73" t="s">
        <v>271</v>
      </c>
      <c r="C13" s="74" t="s">
        <v>181</v>
      </c>
      <c r="D13" s="17">
        <v>529.84</v>
      </c>
      <c r="E13" s="16">
        <v>25</v>
      </c>
      <c r="F13" s="17">
        <v>4238.72</v>
      </c>
      <c r="G13" s="18">
        <v>21</v>
      </c>
      <c r="H13" s="1">
        <v>0</v>
      </c>
      <c r="I13" s="1">
        <v>0</v>
      </c>
      <c r="J13" s="1">
        <v>7</v>
      </c>
      <c r="K13" s="1"/>
      <c r="L13" s="1"/>
      <c r="M13" s="1"/>
      <c r="N13" s="1"/>
      <c r="O13" s="19"/>
      <c r="P13" s="1"/>
      <c r="Q13" s="1"/>
      <c r="R13" s="1"/>
      <c r="S13" s="1"/>
      <c r="T13" s="1"/>
      <c r="U13" s="1"/>
      <c r="V13" s="1"/>
      <c r="W13" s="1"/>
      <c r="X13" s="20"/>
      <c r="Y13" s="1"/>
      <c r="Z13" s="1"/>
      <c r="AA13" s="1"/>
      <c r="AB13" s="1"/>
      <c r="AC13" s="1"/>
      <c r="AD13" s="1"/>
      <c r="AE13" s="1"/>
      <c r="AF13" s="1"/>
      <c r="AG13" s="1"/>
      <c r="AH13" s="1"/>
      <c r="AI13" s="1"/>
      <c r="AJ13" s="1"/>
      <c r="AK13" s="1"/>
      <c r="AL13" s="18"/>
      <c r="AM13" s="18">
        <f t="shared" si="0"/>
        <v>0</v>
      </c>
      <c r="AN13" s="21" t="s">
        <v>77</v>
      </c>
      <c r="AO13" s="21" t="s">
        <v>78</v>
      </c>
      <c r="AP13" s="21">
        <f t="shared" si="1"/>
        <v>0</v>
      </c>
      <c r="AQ13" s="21"/>
      <c r="AR13" s="21"/>
      <c r="AS13" s="21"/>
      <c r="AT13" s="21"/>
      <c r="AU13" s="21"/>
      <c r="AV13" s="21"/>
      <c r="AW13" s="75">
        <v>1996.5</v>
      </c>
      <c r="AX13" s="68" t="s">
        <v>268</v>
      </c>
      <c r="AY13" s="24"/>
      <c r="AZ13" s="70"/>
      <c r="BA13" s="21" t="s">
        <v>69</v>
      </c>
    </row>
    <row r="14" s="3" customFormat="1" ht="18" customHeight="1" spans="1:53">
      <c r="A14" s="1"/>
      <c r="B14" s="73" t="s">
        <v>272</v>
      </c>
      <c r="C14" s="74" t="s">
        <v>181</v>
      </c>
      <c r="D14" s="17">
        <v>468.826</v>
      </c>
      <c r="E14" s="16">
        <v>24</v>
      </c>
      <c r="F14" s="17">
        <v>3750.608</v>
      </c>
      <c r="G14" s="18">
        <v>21</v>
      </c>
      <c r="H14" s="16">
        <v>0</v>
      </c>
      <c r="I14" s="16">
        <v>0</v>
      </c>
      <c r="J14" s="1">
        <v>6</v>
      </c>
      <c r="K14" s="1"/>
      <c r="L14" s="1"/>
      <c r="M14" s="1"/>
      <c r="N14" s="1"/>
      <c r="O14" s="19"/>
      <c r="P14" s="1"/>
      <c r="Q14" s="1"/>
      <c r="R14" s="1"/>
      <c r="S14" s="1"/>
      <c r="T14" s="1"/>
      <c r="U14" s="1"/>
      <c r="V14" s="1"/>
      <c r="W14" s="1"/>
      <c r="X14" s="20"/>
      <c r="Y14" s="1"/>
      <c r="Z14" s="1"/>
      <c r="AA14" s="1"/>
      <c r="AB14" s="1"/>
      <c r="AC14" s="1"/>
      <c r="AD14" s="1"/>
      <c r="AE14" s="1"/>
      <c r="AF14" s="1"/>
      <c r="AG14" s="1"/>
      <c r="AH14" s="1"/>
      <c r="AI14" s="1"/>
      <c r="AJ14" s="1"/>
      <c r="AK14" s="1"/>
      <c r="AL14" s="18"/>
      <c r="AM14" s="18">
        <f t="shared" si="0"/>
        <v>0</v>
      </c>
      <c r="AN14" s="21" t="s">
        <v>77</v>
      </c>
      <c r="AO14" s="21" t="s">
        <v>78</v>
      </c>
      <c r="AP14" s="21">
        <f t="shared" si="1"/>
        <v>0</v>
      </c>
      <c r="AQ14" s="21"/>
      <c r="AR14" s="21"/>
      <c r="AS14" s="21"/>
      <c r="AT14" s="21"/>
      <c r="AU14" s="21"/>
      <c r="AV14" s="21"/>
      <c r="AW14" s="75">
        <v>1996.5</v>
      </c>
      <c r="AX14" s="68" t="s">
        <v>268</v>
      </c>
      <c r="AY14" s="24"/>
      <c r="AZ14" s="70"/>
      <c r="BA14" s="21" t="s">
        <v>69</v>
      </c>
    </row>
    <row r="15" s="3" customFormat="1" ht="18" customHeight="1" spans="1:53">
      <c r="A15" s="1"/>
      <c r="B15" s="73" t="s">
        <v>186</v>
      </c>
      <c r="C15" s="74" t="s">
        <v>181</v>
      </c>
      <c r="D15" s="17">
        <v>16.1</v>
      </c>
      <c r="E15" s="16">
        <v>1</v>
      </c>
      <c r="F15" s="17">
        <v>128.8</v>
      </c>
      <c r="G15" s="18">
        <v>3</v>
      </c>
      <c r="H15" s="16">
        <v>0</v>
      </c>
      <c r="I15" s="16">
        <v>0</v>
      </c>
      <c r="J15" s="1">
        <v>0</v>
      </c>
      <c r="K15" s="1"/>
      <c r="L15" s="1"/>
      <c r="M15" s="1"/>
      <c r="N15" s="1"/>
      <c r="O15" s="19"/>
      <c r="P15" s="1"/>
      <c r="Q15" s="1"/>
      <c r="R15" s="1"/>
      <c r="S15" s="1"/>
      <c r="T15" s="1"/>
      <c r="U15" s="1"/>
      <c r="V15" s="1"/>
      <c r="W15" s="1"/>
      <c r="X15" s="29"/>
      <c r="Y15" s="1"/>
      <c r="Z15" s="1"/>
      <c r="AA15" s="1"/>
      <c r="AB15" s="1"/>
      <c r="AC15" s="1"/>
      <c r="AD15" s="1"/>
      <c r="AE15" s="1"/>
      <c r="AF15" s="1"/>
      <c r="AG15" s="1"/>
      <c r="AH15" s="1"/>
      <c r="AI15" s="1"/>
      <c r="AJ15" s="1"/>
      <c r="AK15" s="1"/>
      <c r="AL15" s="18"/>
      <c r="AM15" s="18">
        <f t="shared" si="0"/>
        <v>0</v>
      </c>
      <c r="AN15" s="21" t="s">
        <v>77</v>
      </c>
      <c r="AO15" s="21" t="s">
        <v>78</v>
      </c>
      <c r="AP15" s="21">
        <f t="shared" si="1"/>
        <v>0</v>
      </c>
      <c r="AQ15" s="21"/>
      <c r="AR15" s="21"/>
      <c r="AS15" s="21"/>
      <c r="AT15" s="21"/>
      <c r="AU15" s="21"/>
      <c r="AV15" s="21"/>
      <c r="AW15" s="75">
        <v>1996.5</v>
      </c>
      <c r="AX15" s="68" t="s">
        <v>268</v>
      </c>
      <c r="AY15" s="24"/>
      <c r="AZ15" s="70"/>
      <c r="BA15" s="21" t="s">
        <v>69</v>
      </c>
    </row>
    <row r="16" s="3" customFormat="1" ht="18" customHeight="1" spans="1:53">
      <c r="A16" s="1"/>
      <c r="B16" s="73" t="s">
        <v>187</v>
      </c>
      <c r="C16" s="74" t="s">
        <v>181</v>
      </c>
      <c r="D16" s="17">
        <v>16.1</v>
      </c>
      <c r="E16" s="16">
        <v>1</v>
      </c>
      <c r="F16" s="17">
        <v>128.8</v>
      </c>
      <c r="G16" s="18">
        <v>3</v>
      </c>
      <c r="H16" s="1">
        <v>0</v>
      </c>
      <c r="I16" s="1">
        <v>0</v>
      </c>
      <c r="J16" s="1">
        <v>0</v>
      </c>
      <c r="K16" s="1"/>
      <c r="L16" s="1"/>
      <c r="M16" s="1"/>
      <c r="N16" s="1"/>
      <c r="O16" s="19"/>
      <c r="P16" s="1"/>
      <c r="Q16" s="1"/>
      <c r="R16" s="1"/>
      <c r="S16" s="1"/>
      <c r="T16" s="1"/>
      <c r="U16" s="1"/>
      <c r="V16" s="1"/>
      <c r="W16" s="1"/>
      <c r="X16" s="29"/>
      <c r="Y16" s="1"/>
      <c r="Z16" s="1"/>
      <c r="AA16" s="1"/>
      <c r="AB16" s="1"/>
      <c r="AC16" s="1"/>
      <c r="AD16" s="1"/>
      <c r="AE16" s="1"/>
      <c r="AF16" s="1"/>
      <c r="AG16" s="1"/>
      <c r="AH16" s="1"/>
      <c r="AI16" s="1"/>
      <c r="AJ16" s="1"/>
      <c r="AK16" s="1"/>
      <c r="AL16" s="18"/>
      <c r="AM16" s="18">
        <f t="shared" si="0"/>
        <v>0</v>
      </c>
      <c r="AN16" s="21" t="s">
        <v>77</v>
      </c>
      <c r="AO16" s="21" t="s">
        <v>78</v>
      </c>
      <c r="AP16" s="21">
        <f t="shared" si="1"/>
        <v>0</v>
      </c>
      <c r="AQ16" s="21"/>
      <c r="AR16" s="21"/>
      <c r="AS16" s="21"/>
      <c r="AT16" s="21"/>
      <c r="AU16" s="21"/>
      <c r="AV16" s="21"/>
      <c r="AW16" s="75">
        <v>1996.5</v>
      </c>
      <c r="AX16" s="68" t="s">
        <v>268</v>
      </c>
      <c r="AY16" s="24"/>
      <c r="AZ16" s="70"/>
      <c r="BA16" s="21" t="s">
        <v>69</v>
      </c>
    </row>
    <row r="17" s="3" customFormat="1" ht="18" customHeight="1" spans="1:53">
      <c r="A17" s="1"/>
      <c r="B17" s="73" t="s">
        <v>188</v>
      </c>
      <c r="C17" s="74" t="s">
        <v>181</v>
      </c>
      <c r="D17" s="17">
        <v>16.114</v>
      </c>
      <c r="E17" s="16">
        <v>1</v>
      </c>
      <c r="F17" s="17">
        <v>128.912</v>
      </c>
      <c r="G17" s="18">
        <v>3</v>
      </c>
      <c r="H17" s="16">
        <v>0</v>
      </c>
      <c r="I17" s="16">
        <v>0</v>
      </c>
      <c r="J17" s="1">
        <v>0</v>
      </c>
      <c r="K17" s="1"/>
      <c r="L17" s="1"/>
      <c r="M17" s="1"/>
      <c r="N17" s="1"/>
      <c r="O17" s="19"/>
      <c r="P17" s="1"/>
      <c r="Q17" s="1"/>
      <c r="R17" s="1"/>
      <c r="S17" s="1"/>
      <c r="T17" s="1"/>
      <c r="U17" s="1"/>
      <c r="V17" s="1"/>
      <c r="W17" s="1"/>
      <c r="X17" s="29"/>
      <c r="Y17" s="1"/>
      <c r="Z17" s="1"/>
      <c r="AA17" s="1"/>
      <c r="AB17" s="1"/>
      <c r="AC17" s="1"/>
      <c r="AD17" s="1"/>
      <c r="AE17" s="1"/>
      <c r="AF17" s="1"/>
      <c r="AG17" s="1"/>
      <c r="AH17" s="1"/>
      <c r="AI17" s="1"/>
      <c r="AJ17" s="1"/>
      <c r="AK17" s="1"/>
      <c r="AL17" s="18"/>
      <c r="AM17" s="18">
        <f t="shared" si="0"/>
        <v>0</v>
      </c>
      <c r="AN17" s="21" t="s">
        <v>77</v>
      </c>
      <c r="AO17" s="21" t="s">
        <v>78</v>
      </c>
      <c r="AP17" s="21">
        <f t="shared" si="1"/>
        <v>0</v>
      </c>
      <c r="AQ17" s="21"/>
      <c r="AR17" s="21"/>
      <c r="AS17" s="21"/>
      <c r="AT17" s="21"/>
      <c r="AU17" s="21"/>
      <c r="AV17" s="21"/>
      <c r="AW17" s="75">
        <v>1996.5</v>
      </c>
      <c r="AX17" s="68" t="s">
        <v>268</v>
      </c>
      <c r="AY17" s="24"/>
      <c r="AZ17" s="70"/>
      <c r="BA17" s="21" t="s">
        <v>69</v>
      </c>
    </row>
    <row r="18" s="3" customFormat="1" ht="18" customHeight="1" spans="1:53">
      <c r="A18" s="1"/>
      <c r="B18" s="73" t="s">
        <v>189</v>
      </c>
      <c r="C18" s="74" t="s">
        <v>181</v>
      </c>
      <c r="D18" s="17">
        <v>24.272</v>
      </c>
      <c r="E18" s="16">
        <v>1</v>
      </c>
      <c r="F18" s="17">
        <v>194.176</v>
      </c>
      <c r="G18" s="18">
        <v>3</v>
      </c>
      <c r="H18" s="16">
        <v>0</v>
      </c>
      <c r="I18" s="16">
        <v>0</v>
      </c>
      <c r="J18" s="1">
        <v>0</v>
      </c>
      <c r="K18" s="1"/>
      <c r="L18" s="1"/>
      <c r="M18" s="1"/>
      <c r="N18" s="1"/>
      <c r="O18" s="19"/>
      <c r="P18" s="1"/>
      <c r="Q18" s="1"/>
      <c r="R18" s="1"/>
      <c r="S18" s="1"/>
      <c r="T18" s="1"/>
      <c r="U18" s="1"/>
      <c r="V18" s="1"/>
      <c r="W18" s="1"/>
      <c r="X18" s="29"/>
      <c r="Y18" s="1"/>
      <c r="Z18" s="1"/>
      <c r="AA18" s="1"/>
      <c r="AB18" s="1"/>
      <c r="AC18" s="1"/>
      <c r="AD18" s="1"/>
      <c r="AE18" s="1"/>
      <c r="AF18" s="1"/>
      <c r="AG18" s="1"/>
      <c r="AH18" s="1"/>
      <c r="AI18" s="1"/>
      <c r="AJ18" s="1"/>
      <c r="AK18" s="1"/>
      <c r="AL18" s="18"/>
      <c r="AM18" s="18">
        <f t="shared" si="0"/>
        <v>0</v>
      </c>
      <c r="AN18" s="21" t="s">
        <v>77</v>
      </c>
      <c r="AO18" s="21" t="s">
        <v>78</v>
      </c>
      <c r="AP18" s="21">
        <f t="shared" si="1"/>
        <v>0</v>
      </c>
      <c r="AQ18" s="21"/>
      <c r="AR18" s="21"/>
      <c r="AS18" s="21"/>
      <c r="AT18" s="21"/>
      <c r="AU18" s="21"/>
      <c r="AV18" s="21"/>
      <c r="AW18" s="75">
        <v>1996.5</v>
      </c>
      <c r="AX18" s="68" t="s">
        <v>268</v>
      </c>
      <c r="AY18" s="24"/>
      <c r="AZ18" s="70"/>
      <c r="BA18" s="21" t="s">
        <v>69</v>
      </c>
    </row>
    <row r="19" s="3" customFormat="1" ht="18" customHeight="1" spans="1:53">
      <c r="A19" s="1"/>
      <c r="B19" s="73" t="s">
        <v>190</v>
      </c>
      <c r="C19" s="74" t="s">
        <v>181</v>
      </c>
      <c r="D19" s="17">
        <v>16.1</v>
      </c>
      <c r="E19" s="16">
        <v>1</v>
      </c>
      <c r="F19" s="17">
        <v>128.8</v>
      </c>
      <c r="G19" s="18">
        <v>3</v>
      </c>
      <c r="H19" s="1">
        <v>0</v>
      </c>
      <c r="I19" s="1">
        <v>0</v>
      </c>
      <c r="J19" s="1">
        <v>0</v>
      </c>
      <c r="K19" s="1"/>
      <c r="L19" s="1"/>
      <c r="M19" s="1"/>
      <c r="N19" s="1"/>
      <c r="O19" s="19"/>
      <c r="P19" s="1"/>
      <c r="Q19" s="1"/>
      <c r="R19" s="1"/>
      <c r="S19" s="1"/>
      <c r="T19" s="1"/>
      <c r="U19" s="1"/>
      <c r="V19" s="1"/>
      <c r="W19" s="1"/>
      <c r="X19" s="29"/>
      <c r="Y19" s="1"/>
      <c r="Z19" s="1"/>
      <c r="AA19" s="1"/>
      <c r="AB19" s="1"/>
      <c r="AC19" s="1"/>
      <c r="AD19" s="1"/>
      <c r="AE19" s="1"/>
      <c r="AF19" s="1"/>
      <c r="AG19" s="1"/>
      <c r="AH19" s="1"/>
      <c r="AI19" s="1"/>
      <c r="AJ19" s="1"/>
      <c r="AK19" s="1"/>
      <c r="AL19" s="18"/>
      <c r="AM19" s="18">
        <f t="shared" si="0"/>
        <v>0</v>
      </c>
      <c r="AN19" s="21" t="s">
        <v>77</v>
      </c>
      <c r="AO19" s="21" t="s">
        <v>78</v>
      </c>
      <c r="AP19" s="21">
        <f t="shared" si="1"/>
        <v>0</v>
      </c>
      <c r="AQ19" s="21"/>
      <c r="AR19" s="21"/>
      <c r="AS19" s="21"/>
      <c r="AT19" s="21"/>
      <c r="AU19" s="21"/>
      <c r="AV19" s="21"/>
      <c r="AW19" s="75">
        <v>1996.5</v>
      </c>
      <c r="AX19" s="68" t="s">
        <v>268</v>
      </c>
      <c r="AY19" s="24"/>
      <c r="AZ19" s="60"/>
      <c r="BA19" s="21" t="s">
        <v>69</v>
      </c>
    </row>
    <row r="20" s="3" customFormat="1" ht="18" customHeight="1" spans="1:53">
      <c r="A20" s="1">
        <v>6</v>
      </c>
      <c r="B20" s="13" t="s">
        <v>191</v>
      </c>
      <c r="C20" s="67" t="s">
        <v>192</v>
      </c>
      <c r="D20" s="17">
        <v>60.04</v>
      </c>
      <c r="E20" s="16">
        <v>3</v>
      </c>
      <c r="F20" s="17">
        <v>1831.22</v>
      </c>
      <c r="G20" s="18">
        <v>19</v>
      </c>
      <c r="H20" s="16">
        <v>0</v>
      </c>
      <c r="I20" s="16">
        <v>0</v>
      </c>
      <c r="J20" s="1">
        <v>4</v>
      </c>
      <c r="K20" s="1">
        <v>10</v>
      </c>
      <c r="L20" s="36"/>
      <c r="M20" s="1"/>
      <c r="N20" s="1"/>
      <c r="O20" s="19"/>
      <c r="P20" s="1"/>
      <c r="Q20" s="1"/>
      <c r="R20" s="1"/>
      <c r="S20" s="1"/>
      <c r="T20" s="1"/>
      <c r="U20" s="1"/>
      <c r="V20" s="1"/>
      <c r="W20" s="1"/>
      <c r="X20" s="29"/>
      <c r="Y20" s="1"/>
      <c r="Z20" s="1"/>
      <c r="AA20" s="1"/>
      <c r="AB20" s="1"/>
      <c r="AC20" s="1"/>
      <c r="AD20" s="1"/>
      <c r="AE20" s="1"/>
      <c r="AF20" s="1"/>
      <c r="AG20" s="1"/>
      <c r="AH20" s="1"/>
      <c r="AI20" s="1"/>
      <c r="AJ20" s="1"/>
      <c r="AK20" s="1"/>
      <c r="AL20" s="18"/>
      <c r="AM20" s="18">
        <f t="shared" si="0"/>
        <v>0</v>
      </c>
      <c r="AN20" s="21" t="s">
        <v>77</v>
      </c>
      <c r="AO20" s="21" t="s">
        <v>193</v>
      </c>
      <c r="AQ20" s="21">
        <f>AM20/2</f>
        <v>0</v>
      </c>
      <c r="AR20" s="21"/>
      <c r="AS20" s="21"/>
      <c r="AT20" s="21"/>
      <c r="AU20" s="21">
        <f>AM20/2</f>
        <v>0</v>
      </c>
      <c r="AV20" s="21"/>
      <c r="AW20" s="24" t="s">
        <v>273</v>
      </c>
      <c r="AX20" s="68" t="s">
        <v>66</v>
      </c>
      <c r="AY20" s="24" t="s">
        <v>67</v>
      </c>
      <c r="AZ20" s="24" t="s">
        <v>175</v>
      </c>
      <c r="BA20" s="21" t="s">
        <v>69</v>
      </c>
    </row>
    <row r="21" s="3" customFormat="1" ht="18" customHeight="1" spans="1:53">
      <c r="A21" s="76">
        <v>7</v>
      </c>
      <c r="B21" s="73" t="s">
        <v>197</v>
      </c>
      <c r="C21" s="74" t="s">
        <v>198</v>
      </c>
      <c r="D21" s="17">
        <v>255</v>
      </c>
      <c r="E21" s="16">
        <v>2</v>
      </c>
      <c r="F21" s="17">
        <v>10072.5</v>
      </c>
      <c r="G21" s="18">
        <v>4</v>
      </c>
      <c r="H21" s="16">
        <v>0</v>
      </c>
      <c r="I21" s="16">
        <v>0</v>
      </c>
      <c r="J21" s="1">
        <v>2</v>
      </c>
      <c r="K21" s="1"/>
      <c r="L21" s="18"/>
      <c r="M21" s="1"/>
      <c r="N21" s="1"/>
      <c r="O21" s="19"/>
      <c r="P21" s="1"/>
      <c r="Q21" s="1"/>
      <c r="R21" s="1"/>
      <c r="S21" s="1"/>
      <c r="T21" s="1"/>
      <c r="U21" s="1"/>
      <c r="V21" s="1"/>
      <c r="W21" s="1"/>
      <c r="X21" s="20"/>
      <c r="Y21" s="1"/>
      <c r="Z21" s="1"/>
      <c r="AA21" s="1"/>
      <c r="AB21" s="1"/>
      <c r="AC21" s="1"/>
      <c r="AD21" s="1"/>
      <c r="AE21" s="1"/>
      <c r="AF21" s="1"/>
      <c r="AG21" s="1"/>
      <c r="AH21" s="1"/>
      <c r="AI21" s="1"/>
      <c r="AJ21" s="29"/>
      <c r="AK21" s="29"/>
      <c r="AL21" s="18"/>
      <c r="AM21" s="18">
        <f t="shared" si="0"/>
        <v>0</v>
      </c>
      <c r="AN21" s="21" t="s">
        <v>95</v>
      </c>
      <c r="AO21" s="21" t="s">
        <v>178</v>
      </c>
      <c r="AP21" s="21"/>
      <c r="AQ21" s="21"/>
      <c r="AR21" s="21"/>
      <c r="AS21" s="21"/>
      <c r="AT21" s="21">
        <f t="shared" ref="AT21:AT46" si="2">AM21</f>
        <v>0</v>
      </c>
      <c r="AU21" s="21"/>
      <c r="AV21" s="21"/>
      <c r="AW21" s="69">
        <v>2022</v>
      </c>
      <c r="AX21" s="68" t="s">
        <v>199</v>
      </c>
      <c r="AY21" s="24"/>
      <c r="AZ21" s="58" t="s">
        <v>110</v>
      </c>
      <c r="BA21" s="21" t="s">
        <v>86</v>
      </c>
    </row>
    <row r="22" s="3" customFormat="1" ht="18" customHeight="1" spans="1:53">
      <c r="A22" s="77"/>
      <c r="B22" s="73" t="s">
        <v>200</v>
      </c>
      <c r="C22" s="74" t="s">
        <v>198</v>
      </c>
      <c r="D22" s="17">
        <v>3448.5</v>
      </c>
      <c r="E22" s="16">
        <v>109</v>
      </c>
      <c r="F22" s="17">
        <v>95526.43</v>
      </c>
      <c r="G22" s="18">
        <f>261+88</f>
        <v>349</v>
      </c>
      <c r="H22" s="1">
        <v>0</v>
      </c>
      <c r="I22" s="1">
        <v>0</v>
      </c>
      <c r="J22" s="1">
        <v>39</v>
      </c>
      <c r="K22" s="1"/>
      <c r="L22" s="18"/>
      <c r="M22" s="1"/>
      <c r="N22" s="1"/>
      <c r="O22" s="19"/>
      <c r="P22" s="1"/>
      <c r="Q22" s="1"/>
      <c r="R22" s="1"/>
      <c r="S22" s="1"/>
      <c r="T22" s="1"/>
      <c r="U22" s="1"/>
      <c r="V22" s="1"/>
      <c r="W22" s="1"/>
      <c r="X22" s="20"/>
      <c r="Y22" s="1"/>
      <c r="Z22" s="1"/>
      <c r="AA22" s="1"/>
      <c r="AB22" s="1"/>
      <c r="AC22" s="1"/>
      <c r="AD22" s="1"/>
      <c r="AE22" s="1"/>
      <c r="AF22" s="1"/>
      <c r="AG22" s="1"/>
      <c r="AH22" s="1"/>
      <c r="AI22" s="1"/>
      <c r="AJ22" s="29"/>
      <c r="AK22" s="29"/>
      <c r="AL22" s="18"/>
      <c r="AM22" s="18">
        <f t="shared" si="0"/>
        <v>0</v>
      </c>
      <c r="AN22" s="21" t="s">
        <v>95</v>
      </c>
      <c r="AO22" s="21" t="s">
        <v>178</v>
      </c>
      <c r="AP22" s="21"/>
      <c r="AQ22" s="21"/>
      <c r="AR22" s="21"/>
      <c r="AS22" s="21"/>
      <c r="AT22" s="10">
        <f t="shared" si="2"/>
        <v>0</v>
      </c>
      <c r="AU22" s="21"/>
      <c r="AV22" s="21"/>
      <c r="AW22" s="69">
        <v>2022</v>
      </c>
      <c r="AX22" s="68" t="s">
        <v>199</v>
      </c>
      <c r="AY22" s="24"/>
      <c r="AZ22" s="70"/>
      <c r="BA22" s="21" t="s">
        <v>111</v>
      </c>
    </row>
    <row r="23" s="3" customFormat="1" ht="18" customHeight="1" spans="1:53">
      <c r="A23" s="77"/>
      <c r="B23" s="73" t="s">
        <v>201</v>
      </c>
      <c r="C23" s="74" t="s">
        <v>198</v>
      </c>
      <c r="D23" s="17">
        <v>300</v>
      </c>
      <c r="E23" s="16">
        <v>9</v>
      </c>
      <c r="F23" s="17">
        <v>2253</v>
      </c>
      <c r="G23" s="18">
        <f>6+4</f>
        <v>10</v>
      </c>
      <c r="H23" s="16">
        <v>0</v>
      </c>
      <c r="I23" s="16">
        <v>0</v>
      </c>
      <c r="J23" s="1">
        <v>4</v>
      </c>
      <c r="K23" s="1"/>
      <c r="L23" s="36"/>
      <c r="M23" s="1"/>
      <c r="N23" s="1"/>
      <c r="O23" s="19"/>
      <c r="P23" s="1"/>
      <c r="Q23" s="1"/>
      <c r="R23" s="1"/>
      <c r="S23" s="1"/>
      <c r="T23" s="1"/>
      <c r="U23" s="1"/>
      <c r="V23" s="1"/>
      <c r="W23" s="1"/>
      <c r="X23" s="20"/>
      <c r="Y23" s="1"/>
      <c r="Z23" s="1"/>
      <c r="AA23" s="1"/>
      <c r="AB23" s="1"/>
      <c r="AC23" s="1"/>
      <c r="AD23" s="1"/>
      <c r="AE23" s="1"/>
      <c r="AF23" s="1"/>
      <c r="AG23" s="1"/>
      <c r="AH23" s="1"/>
      <c r="AI23" s="1"/>
      <c r="AJ23" s="1"/>
      <c r="AK23" s="1"/>
      <c r="AL23" s="18"/>
      <c r="AM23" s="18">
        <f t="shared" si="0"/>
        <v>0</v>
      </c>
      <c r="AN23" s="21" t="s">
        <v>95</v>
      </c>
      <c r="AO23" s="21" t="s">
        <v>178</v>
      </c>
      <c r="AP23" s="21"/>
      <c r="AQ23" s="21"/>
      <c r="AR23" s="21"/>
      <c r="AS23" s="21"/>
      <c r="AT23" s="21">
        <f t="shared" si="2"/>
        <v>0</v>
      </c>
      <c r="AU23" s="21"/>
      <c r="AV23" s="21"/>
      <c r="AW23" s="69">
        <v>2022</v>
      </c>
      <c r="AX23" s="68" t="s">
        <v>199</v>
      </c>
      <c r="AY23" s="24"/>
      <c r="AZ23" s="70"/>
      <c r="BA23" s="21" t="s">
        <v>111</v>
      </c>
    </row>
    <row r="24" s="3" customFormat="1" ht="18" customHeight="1" spans="1:53">
      <c r="A24" s="77"/>
      <c r="B24" s="73" t="s">
        <v>202</v>
      </c>
      <c r="C24" s="74" t="s">
        <v>198</v>
      </c>
      <c r="D24" s="17">
        <v>261</v>
      </c>
      <c r="E24" s="16">
        <v>7</v>
      </c>
      <c r="F24" s="17">
        <v>2148</v>
      </c>
      <c r="G24" s="18">
        <f>5+3</f>
        <v>8</v>
      </c>
      <c r="H24" s="16">
        <v>0</v>
      </c>
      <c r="I24" s="16">
        <v>0</v>
      </c>
      <c r="J24" s="1">
        <v>3</v>
      </c>
      <c r="K24" s="1"/>
      <c r="L24" s="36"/>
      <c r="M24" s="1"/>
      <c r="N24" s="1"/>
      <c r="O24" s="19"/>
      <c r="P24" s="1"/>
      <c r="Q24" s="1"/>
      <c r="R24" s="1"/>
      <c r="S24" s="1"/>
      <c r="T24" s="1"/>
      <c r="U24" s="1"/>
      <c r="V24" s="1"/>
      <c r="W24" s="1"/>
      <c r="X24" s="20"/>
      <c r="Y24" s="1"/>
      <c r="Z24" s="1"/>
      <c r="AA24" s="1"/>
      <c r="AB24" s="1"/>
      <c r="AC24" s="1"/>
      <c r="AD24" s="1"/>
      <c r="AE24" s="1"/>
      <c r="AF24" s="1"/>
      <c r="AG24" s="1"/>
      <c r="AH24" s="1"/>
      <c r="AI24" s="1"/>
      <c r="AJ24" s="1"/>
      <c r="AK24" s="1"/>
      <c r="AL24" s="18"/>
      <c r="AM24" s="18">
        <f t="shared" si="0"/>
        <v>0</v>
      </c>
      <c r="AN24" s="21" t="s">
        <v>95</v>
      </c>
      <c r="AO24" s="21" t="s">
        <v>178</v>
      </c>
      <c r="AP24" s="21"/>
      <c r="AQ24" s="21"/>
      <c r="AR24" s="21"/>
      <c r="AS24" s="21"/>
      <c r="AT24" s="21">
        <f t="shared" si="2"/>
        <v>0</v>
      </c>
      <c r="AU24" s="21"/>
      <c r="AV24" s="21"/>
      <c r="AW24" s="69">
        <v>2022</v>
      </c>
      <c r="AX24" s="68" t="s">
        <v>199</v>
      </c>
      <c r="AY24" s="24"/>
      <c r="AZ24" s="70"/>
      <c r="BA24" s="21" t="s">
        <v>111</v>
      </c>
    </row>
    <row r="25" s="3" customFormat="1" ht="18" customHeight="1" spans="1:53">
      <c r="A25" s="77"/>
      <c r="B25" s="73" t="s">
        <v>203</v>
      </c>
      <c r="C25" s="74" t="s">
        <v>198</v>
      </c>
      <c r="D25" s="17">
        <v>88</v>
      </c>
      <c r="E25" s="16">
        <v>2</v>
      </c>
      <c r="F25" s="17">
        <v>718</v>
      </c>
      <c r="G25" s="18">
        <f>2+2</f>
        <v>4</v>
      </c>
      <c r="H25" s="1">
        <v>0</v>
      </c>
      <c r="I25" s="1">
        <v>0</v>
      </c>
      <c r="J25" s="1">
        <v>1</v>
      </c>
      <c r="K25" s="1"/>
      <c r="L25" s="36"/>
      <c r="M25" s="1"/>
      <c r="N25" s="1"/>
      <c r="O25" s="19"/>
      <c r="P25" s="1"/>
      <c r="Q25" s="1"/>
      <c r="R25" s="1"/>
      <c r="S25" s="1"/>
      <c r="T25" s="1"/>
      <c r="U25" s="1"/>
      <c r="V25" s="1"/>
      <c r="W25" s="1"/>
      <c r="X25" s="29"/>
      <c r="Y25" s="1"/>
      <c r="Z25" s="1"/>
      <c r="AA25" s="1"/>
      <c r="AB25" s="1"/>
      <c r="AC25" s="1"/>
      <c r="AD25" s="1"/>
      <c r="AE25" s="1"/>
      <c r="AF25" s="1"/>
      <c r="AG25" s="1"/>
      <c r="AH25" s="1"/>
      <c r="AI25" s="1"/>
      <c r="AJ25" s="1"/>
      <c r="AK25" s="1"/>
      <c r="AL25" s="18"/>
      <c r="AM25" s="18">
        <f t="shared" si="0"/>
        <v>0</v>
      </c>
      <c r="AN25" s="21" t="s">
        <v>95</v>
      </c>
      <c r="AO25" s="21" t="s">
        <v>178</v>
      </c>
      <c r="AP25" s="21"/>
      <c r="AQ25" s="21"/>
      <c r="AR25" s="21"/>
      <c r="AS25" s="21"/>
      <c r="AT25" s="21">
        <f t="shared" si="2"/>
        <v>0</v>
      </c>
      <c r="AU25" s="21"/>
      <c r="AV25" s="21"/>
      <c r="AW25" s="69">
        <v>2022</v>
      </c>
      <c r="AX25" s="68" t="s">
        <v>199</v>
      </c>
      <c r="AY25" s="24"/>
      <c r="AZ25" s="70"/>
      <c r="BA25" s="21" t="s">
        <v>111</v>
      </c>
    </row>
    <row r="26" s="3" customFormat="1" ht="18" customHeight="1" spans="1:53">
      <c r="A26" s="77"/>
      <c r="B26" s="73" t="s">
        <v>204</v>
      </c>
      <c r="C26" s="74" t="s">
        <v>198</v>
      </c>
      <c r="D26" s="17">
        <v>251</v>
      </c>
      <c r="E26" s="16">
        <v>9</v>
      </c>
      <c r="F26" s="17">
        <v>1879</v>
      </c>
      <c r="G26" s="18">
        <f>9+7</f>
        <v>16</v>
      </c>
      <c r="H26" s="16">
        <v>0</v>
      </c>
      <c r="I26" s="16">
        <v>0</v>
      </c>
      <c r="J26" s="1">
        <v>3</v>
      </c>
      <c r="K26" s="1">
        <v>4</v>
      </c>
      <c r="L26" s="36"/>
      <c r="M26" s="1"/>
      <c r="N26" s="1"/>
      <c r="O26" s="19"/>
      <c r="P26" s="1"/>
      <c r="Q26" s="1"/>
      <c r="R26" s="1"/>
      <c r="S26" s="1"/>
      <c r="T26" s="1"/>
      <c r="U26" s="1"/>
      <c r="V26" s="1"/>
      <c r="W26" s="1"/>
      <c r="X26" s="20"/>
      <c r="Y26" s="1"/>
      <c r="Z26" s="1"/>
      <c r="AA26" s="1"/>
      <c r="AB26" s="1"/>
      <c r="AC26" s="1"/>
      <c r="AD26" s="1"/>
      <c r="AE26" s="1"/>
      <c r="AF26" s="1"/>
      <c r="AG26" s="1"/>
      <c r="AH26" s="1"/>
      <c r="AI26" s="1"/>
      <c r="AJ26" s="1"/>
      <c r="AK26" s="1"/>
      <c r="AL26" s="18"/>
      <c r="AM26" s="18">
        <f t="shared" si="0"/>
        <v>0</v>
      </c>
      <c r="AN26" s="21" t="s">
        <v>95</v>
      </c>
      <c r="AO26" s="21" t="s">
        <v>178</v>
      </c>
      <c r="AP26" s="21"/>
      <c r="AQ26" s="21"/>
      <c r="AR26" s="21"/>
      <c r="AS26" s="21"/>
      <c r="AT26" s="21">
        <f t="shared" si="2"/>
        <v>0</v>
      </c>
      <c r="AU26" s="21"/>
      <c r="AV26" s="21"/>
      <c r="AW26" s="69">
        <v>2022</v>
      </c>
      <c r="AX26" s="68" t="s">
        <v>199</v>
      </c>
      <c r="AY26" s="24"/>
      <c r="AZ26" s="70"/>
      <c r="BA26" s="21" t="s">
        <v>111</v>
      </c>
    </row>
    <row r="27" s="3" customFormat="1" ht="18" customHeight="1" spans="1:53">
      <c r="A27" s="77"/>
      <c r="B27" s="73" t="s">
        <v>205</v>
      </c>
      <c r="C27" s="74" t="s">
        <v>198</v>
      </c>
      <c r="D27" s="17">
        <v>238</v>
      </c>
      <c r="E27" s="16">
        <v>6</v>
      </c>
      <c r="F27" s="17">
        <v>1788</v>
      </c>
      <c r="G27" s="18">
        <f>4+5</f>
        <v>9</v>
      </c>
      <c r="H27" s="16">
        <v>0</v>
      </c>
      <c r="I27" s="16">
        <v>0</v>
      </c>
      <c r="J27" s="1">
        <v>3</v>
      </c>
      <c r="K27" s="1"/>
      <c r="L27" s="36"/>
      <c r="M27" s="1"/>
      <c r="N27" s="1"/>
      <c r="O27" s="19"/>
      <c r="P27" s="1"/>
      <c r="Q27" s="1"/>
      <c r="R27" s="1"/>
      <c r="S27" s="1"/>
      <c r="T27" s="1"/>
      <c r="U27" s="1"/>
      <c r="V27" s="1"/>
      <c r="W27" s="1"/>
      <c r="X27" s="20"/>
      <c r="Y27" s="1"/>
      <c r="Z27" s="1"/>
      <c r="AA27" s="1"/>
      <c r="AB27" s="1"/>
      <c r="AC27" s="1"/>
      <c r="AD27" s="1"/>
      <c r="AE27" s="1"/>
      <c r="AF27" s="1"/>
      <c r="AG27" s="1"/>
      <c r="AH27" s="1"/>
      <c r="AI27" s="1"/>
      <c r="AJ27" s="1"/>
      <c r="AK27" s="1"/>
      <c r="AL27" s="18"/>
      <c r="AM27" s="18">
        <f t="shared" si="0"/>
        <v>0</v>
      </c>
      <c r="AN27" s="21" t="s">
        <v>95</v>
      </c>
      <c r="AO27" s="21" t="s">
        <v>178</v>
      </c>
      <c r="AP27" s="21"/>
      <c r="AQ27" s="21"/>
      <c r="AR27" s="21"/>
      <c r="AS27" s="21"/>
      <c r="AT27" s="21">
        <f t="shared" si="2"/>
        <v>0</v>
      </c>
      <c r="AU27" s="21"/>
      <c r="AV27" s="21"/>
      <c r="AW27" s="69">
        <v>2022</v>
      </c>
      <c r="AX27" s="68" t="s">
        <v>199</v>
      </c>
      <c r="AY27" s="24"/>
      <c r="AZ27" s="70"/>
      <c r="BA27" s="21" t="s">
        <v>111</v>
      </c>
    </row>
    <row r="28" s="3" customFormat="1" ht="18" customHeight="1" spans="1:53">
      <c r="A28" s="77"/>
      <c r="B28" s="73" t="s">
        <v>206</v>
      </c>
      <c r="C28" s="74" t="s">
        <v>198</v>
      </c>
      <c r="D28" s="17">
        <v>246</v>
      </c>
      <c r="E28" s="16">
        <v>7</v>
      </c>
      <c r="F28" s="17">
        <v>2576</v>
      </c>
      <c r="G28" s="18">
        <f>8+7</f>
        <v>15</v>
      </c>
      <c r="H28" s="1">
        <v>0</v>
      </c>
      <c r="I28" s="1">
        <v>0</v>
      </c>
      <c r="J28" s="1">
        <v>3</v>
      </c>
      <c r="K28" s="1"/>
      <c r="L28" s="36"/>
      <c r="M28" s="1"/>
      <c r="N28" s="1"/>
      <c r="O28" s="19"/>
      <c r="P28" s="1"/>
      <c r="Q28" s="1"/>
      <c r="R28" s="1"/>
      <c r="S28" s="1"/>
      <c r="T28" s="1"/>
      <c r="U28" s="1"/>
      <c r="V28" s="1"/>
      <c r="W28" s="1"/>
      <c r="X28" s="20"/>
      <c r="Y28" s="1"/>
      <c r="Z28" s="1"/>
      <c r="AA28" s="1"/>
      <c r="AB28" s="1"/>
      <c r="AC28" s="1"/>
      <c r="AD28" s="1"/>
      <c r="AE28" s="1"/>
      <c r="AF28" s="1"/>
      <c r="AG28" s="1"/>
      <c r="AH28" s="1"/>
      <c r="AI28" s="1"/>
      <c r="AJ28" s="1"/>
      <c r="AK28" s="1"/>
      <c r="AL28" s="18"/>
      <c r="AM28" s="18">
        <f t="shared" si="0"/>
        <v>0</v>
      </c>
      <c r="AN28" s="21" t="s">
        <v>95</v>
      </c>
      <c r="AO28" s="21" t="s">
        <v>178</v>
      </c>
      <c r="AP28" s="21"/>
      <c r="AQ28" s="21"/>
      <c r="AR28" s="21"/>
      <c r="AS28" s="21"/>
      <c r="AT28" s="21">
        <f t="shared" si="2"/>
        <v>0</v>
      </c>
      <c r="AU28" s="21"/>
      <c r="AV28" s="21"/>
      <c r="AW28" s="69">
        <v>2022</v>
      </c>
      <c r="AX28" s="68" t="s">
        <v>199</v>
      </c>
      <c r="AY28" s="24"/>
      <c r="AZ28" s="70"/>
      <c r="BA28" s="21" t="s">
        <v>111</v>
      </c>
    </row>
    <row r="29" s="3" customFormat="1" ht="18" customHeight="1" spans="1:53">
      <c r="A29" s="77"/>
      <c r="B29" s="73" t="s">
        <v>207</v>
      </c>
      <c r="C29" s="74" t="s">
        <v>198</v>
      </c>
      <c r="D29" s="17">
        <v>263</v>
      </c>
      <c r="E29" s="16">
        <v>7</v>
      </c>
      <c r="F29" s="17">
        <v>2183</v>
      </c>
      <c r="G29" s="18">
        <f>5+5</f>
        <v>10</v>
      </c>
      <c r="H29" s="16">
        <v>0</v>
      </c>
      <c r="I29" s="16">
        <v>0</v>
      </c>
      <c r="J29" s="1">
        <v>3</v>
      </c>
      <c r="K29" s="1"/>
      <c r="L29" s="36"/>
      <c r="M29" s="1"/>
      <c r="N29" s="1"/>
      <c r="O29" s="19"/>
      <c r="P29" s="1"/>
      <c r="Q29" s="1"/>
      <c r="R29" s="1"/>
      <c r="S29" s="1"/>
      <c r="T29" s="1"/>
      <c r="U29" s="1"/>
      <c r="V29" s="1"/>
      <c r="W29" s="1"/>
      <c r="X29" s="20"/>
      <c r="Y29" s="1"/>
      <c r="Z29" s="1"/>
      <c r="AA29" s="1"/>
      <c r="AB29" s="1"/>
      <c r="AC29" s="1"/>
      <c r="AD29" s="1"/>
      <c r="AE29" s="1"/>
      <c r="AF29" s="1"/>
      <c r="AG29" s="1"/>
      <c r="AH29" s="1"/>
      <c r="AI29" s="1"/>
      <c r="AJ29" s="1"/>
      <c r="AK29" s="1"/>
      <c r="AL29" s="18"/>
      <c r="AM29" s="18">
        <f t="shared" si="0"/>
        <v>0</v>
      </c>
      <c r="AN29" s="21" t="s">
        <v>95</v>
      </c>
      <c r="AO29" s="21" t="s">
        <v>178</v>
      </c>
      <c r="AP29" s="21"/>
      <c r="AQ29" s="21"/>
      <c r="AR29" s="21"/>
      <c r="AS29" s="21"/>
      <c r="AT29" s="21">
        <f t="shared" si="2"/>
        <v>0</v>
      </c>
      <c r="AU29" s="21"/>
      <c r="AV29" s="21"/>
      <c r="AW29" s="69">
        <v>2022</v>
      </c>
      <c r="AX29" s="68" t="s">
        <v>199</v>
      </c>
      <c r="AY29" s="24"/>
      <c r="AZ29" s="70"/>
      <c r="BA29" s="21" t="s">
        <v>111</v>
      </c>
    </row>
    <row r="30" s="3" customFormat="1" ht="18" customHeight="1" spans="1:53">
      <c r="A30" s="77"/>
      <c r="B30" s="73" t="s">
        <v>208</v>
      </c>
      <c r="C30" s="74" t="s">
        <v>198</v>
      </c>
      <c r="D30" s="17">
        <v>172</v>
      </c>
      <c r="E30" s="16">
        <v>6</v>
      </c>
      <c r="F30" s="17">
        <v>1190</v>
      </c>
      <c r="G30" s="18">
        <f>4+5</f>
        <v>9</v>
      </c>
      <c r="H30" s="16">
        <v>0</v>
      </c>
      <c r="I30" s="16">
        <v>0</v>
      </c>
      <c r="J30" s="1">
        <v>3</v>
      </c>
      <c r="K30" s="1"/>
      <c r="L30" s="36"/>
      <c r="M30" s="1"/>
      <c r="N30" s="1"/>
      <c r="O30" s="19"/>
      <c r="P30" s="1"/>
      <c r="Q30" s="1"/>
      <c r="R30" s="1"/>
      <c r="S30" s="1"/>
      <c r="T30" s="1"/>
      <c r="U30" s="1"/>
      <c r="V30" s="1"/>
      <c r="W30" s="1"/>
      <c r="X30" s="20"/>
      <c r="Y30" s="1"/>
      <c r="Z30" s="1"/>
      <c r="AA30" s="1"/>
      <c r="AB30" s="1"/>
      <c r="AC30" s="1"/>
      <c r="AD30" s="1"/>
      <c r="AE30" s="1"/>
      <c r="AF30" s="1"/>
      <c r="AG30" s="1"/>
      <c r="AH30" s="1"/>
      <c r="AI30" s="1"/>
      <c r="AJ30" s="1"/>
      <c r="AK30" s="1"/>
      <c r="AL30" s="18"/>
      <c r="AM30" s="18">
        <f t="shared" si="0"/>
        <v>0</v>
      </c>
      <c r="AN30" s="21" t="s">
        <v>95</v>
      </c>
      <c r="AO30" s="21" t="s">
        <v>178</v>
      </c>
      <c r="AP30" s="21"/>
      <c r="AQ30" s="21"/>
      <c r="AR30" s="21"/>
      <c r="AS30" s="21"/>
      <c r="AT30" s="21">
        <f t="shared" si="2"/>
        <v>0</v>
      </c>
      <c r="AU30" s="21"/>
      <c r="AV30" s="21"/>
      <c r="AW30" s="69">
        <v>2022</v>
      </c>
      <c r="AX30" s="68" t="s">
        <v>199</v>
      </c>
      <c r="AY30" s="24"/>
      <c r="AZ30" s="70"/>
      <c r="BA30" s="21" t="s">
        <v>111</v>
      </c>
    </row>
    <row r="31" s="3" customFormat="1" ht="18" customHeight="1" spans="1:53">
      <c r="A31" s="77"/>
      <c r="B31" s="73" t="s">
        <v>209</v>
      </c>
      <c r="C31" s="74" t="s">
        <v>198</v>
      </c>
      <c r="D31" s="17">
        <v>64</v>
      </c>
      <c r="E31" s="16">
        <v>2</v>
      </c>
      <c r="F31" s="17">
        <v>514</v>
      </c>
      <c r="G31" s="18">
        <f>1+3</f>
        <v>4</v>
      </c>
      <c r="H31" s="1">
        <v>0</v>
      </c>
      <c r="I31" s="1">
        <v>0</v>
      </c>
      <c r="J31" s="1">
        <v>2</v>
      </c>
      <c r="K31" s="1"/>
      <c r="L31" s="36"/>
      <c r="M31" s="1"/>
      <c r="N31" s="1"/>
      <c r="O31" s="19"/>
      <c r="P31" s="1"/>
      <c r="Q31" s="1"/>
      <c r="R31" s="1"/>
      <c r="S31" s="1"/>
      <c r="T31" s="1"/>
      <c r="U31" s="1"/>
      <c r="V31" s="1"/>
      <c r="W31" s="1"/>
      <c r="X31" s="29"/>
      <c r="Y31" s="1"/>
      <c r="Z31" s="1"/>
      <c r="AA31" s="1"/>
      <c r="AB31" s="1"/>
      <c r="AC31" s="1"/>
      <c r="AD31" s="1"/>
      <c r="AE31" s="1"/>
      <c r="AF31" s="1"/>
      <c r="AG31" s="1"/>
      <c r="AH31" s="1"/>
      <c r="AI31" s="1"/>
      <c r="AJ31" s="1"/>
      <c r="AK31" s="1"/>
      <c r="AL31" s="18"/>
      <c r="AM31" s="18">
        <f t="shared" si="0"/>
        <v>0</v>
      </c>
      <c r="AN31" s="21" t="s">
        <v>95</v>
      </c>
      <c r="AO31" s="21" t="s">
        <v>178</v>
      </c>
      <c r="AP31" s="21"/>
      <c r="AQ31" s="21"/>
      <c r="AR31" s="21"/>
      <c r="AS31" s="21"/>
      <c r="AT31" s="21">
        <f t="shared" si="2"/>
        <v>0</v>
      </c>
      <c r="AU31" s="21"/>
      <c r="AV31" s="21"/>
      <c r="AW31" s="69">
        <v>2022</v>
      </c>
      <c r="AX31" s="68" t="s">
        <v>199</v>
      </c>
      <c r="AY31" s="24"/>
      <c r="AZ31" s="70"/>
      <c r="BA31" s="21" t="s">
        <v>111</v>
      </c>
    </row>
    <row r="32" s="3" customFormat="1" ht="18" customHeight="1" spans="1:53">
      <c r="A32" s="77"/>
      <c r="B32" s="73" t="s">
        <v>210</v>
      </c>
      <c r="C32" s="74" t="s">
        <v>198</v>
      </c>
      <c r="D32" s="17">
        <v>395</v>
      </c>
      <c r="E32" s="16">
        <v>13</v>
      </c>
      <c r="F32" s="17">
        <v>4403</v>
      </c>
      <c r="G32" s="18">
        <f>11+11</f>
        <v>22</v>
      </c>
      <c r="H32" s="16">
        <v>0</v>
      </c>
      <c r="I32" s="16">
        <v>0</v>
      </c>
      <c r="J32" s="1">
        <v>5</v>
      </c>
      <c r="K32" s="1"/>
      <c r="L32" s="18"/>
      <c r="M32" s="1"/>
      <c r="N32" s="1"/>
      <c r="O32" s="19"/>
      <c r="P32" s="1"/>
      <c r="Q32" s="1"/>
      <c r="R32" s="1"/>
      <c r="S32" s="1"/>
      <c r="T32" s="1"/>
      <c r="U32" s="1"/>
      <c r="V32" s="1"/>
      <c r="W32" s="1"/>
      <c r="X32" s="20"/>
      <c r="Y32" s="1"/>
      <c r="Z32" s="1"/>
      <c r="AA32" s="1"/>
      <c r="AB32" s="1"/>
      <c r="AC32" s="1"/>
      <c r="AD32" s="1"/>
      <c r="AE32" s="1"/>
      <c r="AF32" s="1"/>
      <c r="AG32" s="1"/>
      <c r="AH32" s="1"/>
      <c r="AI32" s="1"/>
      <c r="AJ32" s="1"/>
      <c r="AK32" s="1"/>
      <c r="AL32" s="18"/>
      <c r="AM32" s="18">
        <f t="shared" si="0"/>
        <v>0</v>
      </c>
      <c r="AN32" s="21" t="s">
        <v>95</v>
      </c>
      <c r="AO32" s="21" t="s">
        <v>178</v>
      </c>
      <c r="AP32" s="21"/>
      <c r="AQ32" s="21"/>
      <c r="AR32" s="21"/>
      <c r="AS32" s="21"/>
      <c r="AT32" s="21">
        <f t="shared" si="2"/>
        <v>0</v>
      </c>
      <c r="AU32" s="21"/>
      <c r="AV32" s="21"/>
      <c r="AW32" s="69">
        <v>2022</v>
      </c>
      <c r="AX32" s="68" t="s">
        <v>199</v>
      </c>
      <c r="AY32" s="24"/>
      <c r="AZ32" s="70"/>
      <c r="BA32" s="21" t="s">
        <v>111</v>
      </c>
    </row>
    <row r="33" s="3" customFormat="1" ht="18" customHeight="1" spans="1:54">
      <c r="A33" s="77"/>
      <c r="B33" s="73" t="s">
        <v>211</v>
      </c>
      <c r="C33" s="74" t="s">
        <v>198</v>
      </c>
      <c r="D33" s="17">
        <v>568</v>
      </c>
      <c r="E33" s="16">
        <v>15</v>
      </c>
      <c r="F33" s="17">
        <v>4718</v>
      </c>
      <c r="G33" s="18">
        <f>8+10</f>
        <v>18</v>
      </c>
      <c r="H33" s="16">
        <v>0</v>
      </c>
      <c r="I33" s="16">
        <v>0</v>
      </c>
      <c r="J33" s="1">
        <v>6</v>
      </c>
      <c r="K33" s="1"/>
      <c r="L33" s="18"/>
      <c r="M33" s="1"/>
      <c r="N33" s="1"/>
      <c r="O33" s="19"/>
      <c r="P33" s="1"/>
      <c r="Q33" s="1"/>
      <c r="R33" s="1"/>
      <c r="S33" s="1"/>
      <c r="T33" s="1"/>
      <c r="U33" s="1"/>
      <c r="V33" s="1"/>
      <c r="W33" s="1"/>
      <c r="X33" s="20"/>
      <c r="Y33" s="1"/>
      <c r="Z33" s="1"/>
      <c r="AA33" s="1"/>
      <c r="AB33" s="1"/>
      <c r="AC33" s="1"/>
      <c r="AD33" s="1"/>
      <c r="AE33" s="1"/>
      <c r="AF33" s="1"/>
      <c r="AG33" s="1"/>
      <c r="AH33" s="1"/>
      <c r="AI33" s="1"/>
      <c r="AJ33" s="29"/>
      <c r="AK33" s="29"/>
      <c r="AL33" s="18"/>
      <c r="AM33" s="18">
        <f t="shared" si="0"/>
        <v>0</v>
      </c>
      <c r="AN33" s="21" t="s">
        <v>95</v>
      </c>
      <c r="AO33" s="21" t="s">
        <v>178</v>
      </c>
      <c r="AP33" s="21"/>
      <c r="AQ33" s="21"/>
      <c r="AR33" s="21"/>
      <c r="AS33" s="21"/>
      <c r="AT33" s="21">
        <f t="shared" si="2"/>
        <v>0</v>
      </c>
      <c r="AU33" s="21"/>
      <c r="AV33" s="21"/>
      <c r="AW33" s="69">
        <v>2022</v>
      </c>
      <c r="AX33" s="68" t="s">
        <v>199</v>
      </c>
      <c r="AY33" s="24"/>
      <c r="AZ33" s="70"/>
      <c r="BA33" s="21" t="s">
        <v>111</v>
      </c>
    </row>
    <row r="34" s="3" customFormat="1" ht="18" customHeight="1" spans="1:54">
      <c r="A34" s="77"/>
      <c r="B34" s="73" t="s">
        <v>212</v>
      </c>
      <c r="C34" s="74" t="s">
        <v>198</v>
      </c>
      <c r="D34" s="17">
        <v>507</v>
      </c>
      <c r="E34" s="16">
        <v>17</v>
      </c>
      <c r="F34" s="17">
        <v>4387</v>
      </c>
      <c r="G34" s="18">
        <f>11+11</f>
        <v>22</v>
      </c>
      <c r="H34" s="1">
        <v>0</v>
      </c>
      <c r="I34" s="1">
        <v>0</v>
      </c>
      <c r="J34" s="1">
        <v>6</v>
      </c>
      <c r="K34" s="1"/>
      <c r="L34" s="18"/>
      <c r="M34" s="1"/>
      <c r="N34" s="1"/>
      <c r="O34" s="19"/>
      <c r="P34" s="1"/>
      <c r="Q34" s="1"/>
      <c r="R34" s="1"/>
      <c r="S34" s="1"/>
      <c r="T34" s="1"/>
      <c r="U34" s="1"/>
      <c r="V34" s="1"/>
      <c r="W34" s="1"/>
      <c r="X34" s="20"/>
      <c r="Y34" s="1"/>
      <c r="Z34" s="1"/>
      <c r="AA34" s="1"/>
      <c r="AB34" s="1"/>
      <c r="AC34" s="1"/>
      <c r="AD34" s="1"/>
      <c r="AE34" s="1"/>
      <c r="AF34" s="1"/>
      <c r="AG34" s="1"/>
      <c r="AH34" s="1"/>
      <c r="AI34" s="1"/>
      <c r="AJ34" s="29"/>
      <c r="AK34" s="29"/>
      <c r="AL34" s="18"/>
      <c r="AM34" s="18">
        <f t="shared" si="0"/>
        <v>0</v>
      </c>
      <c r="AN34" s="21" t="s">
        <v>95</v>
      </c>
      <c r="AO34" s="21" t="s">
        <v>178</v>
      </c>
      <c r="AP34" s="21"/>
      <c r="AQ34" s="21"/>
      <c r="AR34" s="21"/>
      <c r="AS34" s="21"/>
      <c r="AT34" s="21">
        <f t="shared" si="2"/>
        <v>0</v>
      </c>
      <c r="AU34" s="21"/>
      <c r="AV34" s="21"/>
      <c r="AW34" s="69">
        <v>2022</v>
      </c>
      <c r="AX34" s="68" t="s">
        <v>199</v>
      </c>
      <c r="AY34" s="24"/>
      <c r="AZ34" s="70"/>
      <c r="BA34" s="21" t="s">
        <v>111</v>
      </c>
    </row>
    <row r="35" s="3" customFormat="1" ht="18" customHeight="1" spans="1:54">
      <c r="A35" s="77"/>
      <c r="B35" s="73" t="s">
        <v>213</v>
      </c>
      <c r="C35" s="74" t="s">
        <v>198</v>
      </c>
      <c r="D35" s="17">
        <v>928.5</v>
      </c>
      <c r="E35" s="16">
        <v>25</v>
      </c>
      <c r="F35" s="17">
        <v>20651.5</v>
      </c>
      <c r="G35" s="18">
        <f>34+26</f>
        <v>60</v>
      </c>
      <c r="H35" s="16">
        <v>0</v>
      </c>
      <c r="I35" s="16">
        <v>0</v>
      </c>
      <c r="J35" s="1">
        <v>10</v>
      </c>
      <c r="K35" s="1"/>
      <c r="L35" s="18"/>
      <c r="M35" s="1"/>
      <c r="N35" s="1"/>
      <c r="O35" s="19"/>
      <c r="P35" s="1"/>
      <c r="Q35" s="1"/>
      <c r="R35" s="1"/>
      <c r="S35" s="1"/>
      <c r="T35" s="1"/>
      <c r="U35" s="1"/>
      <c r="V35" s="1"/>
      <c r="W35" s="1"/>
      <c r="X35" s="20"/>
      <c r="Y35" s="1"/>
      <c r="Z35" s="1"/>
      <c r="AA35" s="1"/>
      <c r="AB35" s="1"/>
      <c r="AC35" s="1"/>
      <c r="AD35" s="1"/>
      <c r="AE35" s="1"/>
      <c r="AF35" s="1"/>
      <c r="AG35" s="1"/>
      <c r="AH35" s="1"/>
      <c r="AI35" s="1"/>
      <c r="AJ35" s="29"/>
      <c r="AK35" s="29"/>
      <c r="AL35" s="18"/>
      <c r="AM35" s="18">
        <f t="shared" si="0"/>
        <v>0</v>
      </c>
      <c r="AN35" s="21" t="s">
        <v>95</v>
      </c>
      <c r="AO35" s="21" t="s">
        <v>178</v>
      </c>
      <c r="AP35" s="21"/>
      <c r="AQ35" s="21"/>
      <c r="AR35" s="21"/>
      <c r="AS35" s="21"/>
      <c r="AT35" s="21">
        <f t="shared" si="2"/>
        <v>0</v>
      </c>
      <c r="AU35" s="21"/>
      <c r="AV35" s="21"/>
      <c r="AW35" s="69">
        <v>2022</v>
      </c>
      <c r="AX35" s="68" t="s">
        <v>199</v>
      </c>
      <c r="AY35" s="24"/>
      <c r="AZ35" s="70"/>
      <c r="BA35" s="21" t="s">
        <v>111</v>
      </c>
    </row>
    <row r="36" s="3" customFormat="1" ht="18" customHeight="1" spans="1:54">
      <c r="A36" s="77"/>
      <c r="B36" s="73" t="s">
        <v>214</v>
      </c>
      <c r="C36" s="74" t="s">
        <v>198</v>
      </c>
      <c r="D36" s="17">
        <v>138</v>
      </c>
      <c r="E36" s="16">
        <v>5</v>
      </c>
      <c r="F36" s="17">
        <v>1035</v>
      </c>
      <c r="G36" s="18">
        <f t="shared" ref="G36:G39" si="3">3+4</f>
        <v>7</v>
      </c>
      <c r="H36" s="16">
        <v>0</v>
      </c>
      <c r="I36" s="16">
        <v>0</v>
      </c>
      <c r="J36" s="1">
        <v>3</v>
      </c>
      <c r="K36" s="1"/>
      <c r="L36" s="36"/>
      <c r="M36" s="1"/>
      <c r="N36" s="1"/>
      <c r="O36" s="19"/>
      <c r="P36" s="1"/>
      <c r="Q36" s="1"/>
      <c r="R36" s="1"/>
      <c r="S36" s="1"/>
      <c r="T36" s="1"/>
      <c r="U36" s="1"/>
      <c r="V36" s="1"/>
      <c r="W36" s="1"/>
      <c r="X36" s="20"/>
      <c r="Y36" s="1"/>
      <c r="Z36" s="1"/>
      <c r="AA36" s="1"/>
      <c r="AB36" s="1"/>
      <c r="AC36" s="1"/>
      <c r="AD36" s="1"/>
      <c r="AE36" s="1"/>
      <c r="AF36" s="1"/>
      <c r="AG36" s="1"/>
      <c r="AH36" s="1"/>
      <c r="AI36" s="1"/>
      <c r="AJ36" s="1"/>
      <c r="AK36" s="1"/>
      <c r="AL36" s="18"/>
      <c r="AM36" s="18">
        <f t="shared" si="0"/>
        <v>0</v>
      </c>
      <c r="AN36" s="21" t="s">
        <v>95</v>
      </c>
      <c r="AO36" s="21" t="s">
        <v>178</v>
      </c>
      <c r="AP36" s="21"/>
      <c r="AQ36" s="21"/>
      <c r="AR36" s="21"/>
      <c r="AS36" s="21"/>
      <c r="AT36" s="21">
        <f t="shared" si="2"/>
        <v>0</v>
      </c>
      <c r="AU36" s="21"/>
      <c r="AV36" s="21"/>
      <c r="AW36" s="69">
        <v>2022</v>
      </c>
      <c r="AX36" s="68" t="s">
        <v>199</v>
      </c>
      <c r="AY36" s="24"/>
      <c r="AZ36" s="70"/>
      <c r="BA36" s="21" t="s">
        <v>111</v>
      </c>
    </row>
    <row r="37" s="3" customFormat="1" ht="18" customHeight="1" spans="1:54">
      <c r="A37" s="77"/>
      <c r="B37" s="73" t="s">
        <v>215</v>
      </c>
      <c r="C37" s="74" t="s">
        <v>198</v>
      </c>
      <c r="D37" s="17">
        <v>136</v>
      </c>
      <c r="E37" s="16">
        <v>5</v>
      </c>
      <c r="F37" s="17">
        <v>1020</v>
      </c>
      <c r="G37" s="18">
        <f t="shared" si="3"/>
        <v>7</v>
      </c>
      <c r="H37" s="1">
        <v>0</v>
      </c>
      <c r="I37" s="1">
        <v>0</v>
      </c>
      <c r="J37" s="1">
        <v>3</v>
      </c>
      <c r="K37" s="1"/>
      <c r="L37" s="36"/>
      <c r="M37" s="1"/>
      <c r="N37" s="1"/>
      <c r="O37" s="19"/>
      <c r="P37" s="1"/>
      <c r="Q37" s="1"/>
      <c r="R37" s="1"/>
      <c r="S37" s="1"/>
      <c r="T37" s="1"/>
      <c r="U37" s="1"/>
      <c r="V37" s="1"/>
      <c r="W37" s="1"/>
      <c r="X37" s="20"/>
      <c r="Y37" s="1"/>
      <c r="Z37" s="1"/>
      <c r="AA37" s="1"/>
      <c r="AB37" s="1"/>
      <c r="AC37" s="1"/>
      <c r="AD37" s="1"/>
      <c r="AE37" s="1"/>
      <c r="AF37" s="1"/>
      <c r="AG37" s="1"/>
      <c r="AH37" s="1"/>
      <c r="AI37" s="1"/>
      <c r="AJ37" s="1"/>
      <c r="AK37" s="1"/>
      <c r="AL37" s="18"/>
      <c r="AM37" s="18">
        <f t="shared" si="0"/>
        <v>0</v>
      </c>
      <c r="AN37" s="21" t="s">
        <v>95</v>
      </c>
      <c r="AO37" s="21" t="s">
        <v>178</v>
      </c>
      <c r="AP37" s="21"/>
      <c r="AQ37" s="21"/>
      <c r="AR37" s="21"/>
      <c r="AS37" s="21"/>
      <c r="AT37" s="21">
        <f t="shared" si="2"/>
        <v>0</v>
      </c>
      <c r="AU37" s="21"/>
      <c r="AV37" s="21"/>
      <c r="AW37" s="69">
        <v>2022</v>
      </c>
      <c r="AX37" s="68" t="s">
        <v>199</v>
      </c>
      <c r="AY37" s="24"/>
      <c r="AZ37" s="70"/>
      <c r="BA37" s="21" t="s">
        <v>111</v>
      </c>
    </row>
    <row r="38" s="3" customFormat="1" ht="18" customHeight="1" spans="1:54">
      <c r="A38" s="77"/>
      <c r="B38" s="73" t="s">
        <v>216</v>
      </c>
      <c r="C38" s="74" t="s">
        <v>198</v>
      </c>
      <c r="D38" s="17">
        <v>3794.85</v>
      </c>
      <c r="E38" s="16">
        <v>117</v>
      </c>
      <c r="F38" s="17">
        <v>105523</v>
      </c>
      <c r="G38" s="18">
        <f>268+118</f>
        <v>386</v>
      </c>
      <c r="H38" s="16">
        <v>0</v>
      </c>
      <c r="I38" s="16">
        <v>0</v>
      </c>
      <c r="J38" s="1">
        <v>36</v>
      </c>
      <c r="K38" s="1"/>
      <c r="L38" s="18"/>
      <c r="M38" s="1"/>
      <c r="N38" s="1"/>
      <c r="O38" s="19"/>
      <c r="P38" s="1"/>
      <c r="Q38" s="1"/>
      <c r="R38" s="1"/>
      <c r="S38" s="1"/>
      <c r="T38" s="1"/>
      <c r="U38" s="1"/>
      <c r="V38" s="1"/>
      <c r="W38" s="1"/>
      <c r="X38" s="20"/>
      <c r="Y38" s="1"/>
      <c r="Z38" s="1"/>
      <c r="AA38" s="1"/>
      <c r="AB38" s="1"/>
      <c r="AC38" s="1"/>
      <c r="AD38" s="1"/>
      <c r="AE38" s="1"/>
      <c r="AF38" s="1"/>
      <c r="AG38" s="1"/>
      <c r="AH38" s="1"/>
      <c r="AI38" s="1"/>
      <c r="AJ38" s="1"/>
      <c r="AK38" s="1"/>
      <c r="AL38" s="18"/>
      <c r="AM38" s="18">
        <f t="shared" si="0"/>
        <v>0</v>
      </c>
      <c r="AN38" s="21" t="s">
        <v>95</v>
      </c>
      <c r="AO38" s="21" t="s">
        <v>178</v>
      </c>
      <c r="AP38" s="21"/>
      <c r="AQ38" s="21"/>
      <c r="AR38" s="21"/>
      <c r="AS38" s="21"/>
      <c r="AT38" s="10">
        <f t="shared" si="2"/>
        <v>0</v>
      </c>
      <c r="AU38" s="21"/>
      <c r="AV38" s="21"/>
      <c r="AW38" s="69">
        <v>2022</v>
      </c>
      <c r="AX38" s="68" t="s">
        <v>199</v>
      </c>
      <c r="AY38" s="24"/>
      <c r="AZ38" s="70"/>
      <c r="BA38" s="21" t="s">
        <v>111</v>
      </c>
    </row>
    <row r="39" s="3" customFormat="1" ht="18" customHeight="1" spans="1:54">
      <c r="A39" s="77"/>
      <c r="B39" s="73" t="s">
        <v>217</v>
      </c>
      <c r="C39" s="74" t="s">
        <v>198</v>
      </c>
      <c r="D39" s="17">
        <v>264</v>
      </c>
      <c r="E39" s="16">
        <v>5</v>
      </c>
      <c r="F39" s="17">
        <v>1749</v>
      </c>
      <c r="G39" s="18">
        <f t="shared" si="3"/>
        <v>7</v>
      </c>
      <c r="H39" s="16">
        <v>0</v>
      </c>
      <c r="I39" s="16">
        <v>0</v>
      </c>
      <c r="J39" s="1">
        <v>3</v>
      </c>
      <c r="K39" s="1"/>
      <c r="L39" s="36"/>
      <c r="M39" s="1"/>
      <c r="N39" s="1"/>
      <c r="O39" s="19"/>
      <c r="P39" s="1"/>
      <c r="Q39" s="1"/>
      <c r="R39" s="1"/>
      <c r="S39" s="1"/>
      <c r="T39" s="1"/>
      <c r="U39" s="1"/>
      <c r="V39" s="1"/>
      <c r="W39" s="1"/>
      <c r="X39" s="20"/>
      <c r="Y39" s="1"/>
      <c r="Z39" s="1"/>
      <c r="AA39" s="1"/>
      <c r="AB39" s="1"/>
      <c r="AC39" s="1"/>
      <c r="AD39" s="1"/>
      <c r="AE39" s="1"/>
      <c r="AF39" s="1"/>
      <c r="AG39" s="1"/>
      <c r="AH39" s="1"/>
      <c r="AI39" s="1"/>
      <c r="AJ39" s="1"/>
      <c r="AK39" s="1"/>
      <c r="AL39" s="18"/>
      <c r="AM39" s="18">
        <f t="shared" si="0"/>
        <v>0</v>
      </c>
      <c r="AN39" s="21" t="s">
        <v>95</v>
      </c>
      <c r="AO39" s="21" t="s">
        <v>178</v>
      </c>
      <c r="AP39" s="21"/>
      <c r="AQ39" s="21"/>
      <c r="AR39" s="21"/>
      <c r="AS39" s="21"/>
      <c r="AT39" s="21">
        <f t="shared" si="2"/>
        <v>0</v>
      </c>
      <c r="AU39" s="21"/>
      <c r="AV39" s="21"/>
      <c r="AW39" s="69">
        <v>2022</v>
      </c>
      <c r="AX39" s="68" t="s">
        <v>199</v>
      </c>
      <c r="AY39" s="24"/>
      <c r="AZ39" s="70"/>
      <c r="BA39" s="21" t="s">
        <v>111</v>
      </c>
    </row>
    <row r="40" s="3" customFormat="1" ht="18" customHeight="1" spans="1:54">
      <c r="A40" s="77"/>
      <c r="B40" s="73" t="s">
        <v>218</v>
      </c>
      <c r="C40" s="74" t="s">
        <v>198</v>
      </c>
      <c r="D40" s="17">
        <v>242</v>
      </c>
      <c r="E40" s="16">
        <v>6</v>
      </c>
      <c r="F40" s="17">
        <v>1815</v>
      </c>
      <c r="G40" s="18">
        <f>4+5</f>
        <v>9</v>
      </c>
      <c r="H40" s="1">
        <v>0</v>
      </c>
      <c r="I40" s="1">
        <v>0</v>
      </c>
      <c r="J40" s="1">
        <v>3</v>
      </c>
      <c r="K40" s="1"/>
      <c r="L40" s="36"/>
      <c r="M40" s="1"/>
      <c r="N40" s="1"/>
      <c r="O40" s="19"/>
      <c r="P40" s="1"/>
      <c r="Q40" s="1"/>
      <c r="R40" s="1"/>
      <c r="S40" s="1"/>
      <c r="T40" s="1"/>
      <c r="U40" s="1"/>
      <c r="V40" s="1"/>
      <c r="W40" s="1"/>
      <c r="X40" s="20"/>
      <c r="Y40" s="1"/>
      <c r="Z40" s="1"/>
      <c r="AA40" s="1"/>
      <c r="AB40" s="1"/>
      <c r="AC40" s="1"/>
      <c r="AD40" s="1"/>
      <c r="AE40" s="1"/>
      <c r="AF40" s="1"/>
      <c r="AG40" s="1"/>
      <c r="AH40" s="1"/>
      <c r="AI40" s="1"/>
      <c r="AJ40" s="1"/>
      <c r="AK40" s="1"/>
      <c r="AL40" s="18"/>
      <c r="AM40" s="18">
        <f t="shared" si="0"/>
        <v>0</v>
      </c>
      <c r="AN40" s="21" t="s">
        <v>95</v>
      </c>
      <c r="AO40" s="21" t="s">
        <v>178</v>
      </c>
      <c r="AP40" s="21"/>
      <c r="AQ40" s="21"/>
      <c r="AR40" s="21"/>
      <c r="AS40" s="21"/>
      <c r="AT40" s="21">
        <f t="shared" si="2"/>
        <v>0</v>
      </c>
      <c r="AU40" s="21"/>
      <c r="AV40" s="21"/>
      <c r="AW40" s="69">
        <v>2022</v>
      </c>
      <c r="AX40" s="68" t="s">
        <v>199</v>
      </c>
      <c r="AY40" s="24"/>
      <c r="AZ40" s="70"/>
      <c r="BA40" s="21" t="s">
        <v>111</v>
      </c>
    </row>
    <row r="41" s="3" customFormat="1" ht="18" customHeight="1" spans="1:54">
      <c r="A41" s="77"/>
      <c r="B41" s="73" t="s">
        <v>219</v>
      </c>
      <c r="C41" s="74" t="s">
        <v>198</v>
      </c>
      <c r="D41" s="17">
        <v>191</v>
      </c>
      <c r="E41" s="16">
        <v>5</v>
      </c>
      <c r="F41" s="17">
        <v>1428</v>
      </c>
      <c r="G41" s="18">
        <f t="shared" ref="G41:G44" si="4">3+4</f>
        <v>7</v>
      </c>
      <c r="H41" s="16">
        <v>0</v>
      </c>
      <c r="I41" s="16">
        <v>0</v>
      </c>
      <c r="J41" s="1">
        <v>3</v>
      </c>
      <c r="K41" s="1"/>
      <c r="L41" s="36"/>
      <c r="M41" s="1"/>
      <c r="N41" s="1"/>
      <c r="O41" s="19"/>
      <c r="P41" s="1"/>
      <c r="Q41" s="1"/>
      <c r="R41" s="1"/>
      <c r="S41" s="1"/>
      <c r="T41" s="1"/>
      <c r="U41" s="1"/>
      <c r="V41" s="1"/>
      <c r="W41" s="1"/>
      <c r="X41" s="20"/>
      <c r="Y41" s="1"/>
      <c r="Z41" s="1"/>
      <c r="AA41" s="1"/>
      <c r="AB41" s="1"/>
      <c r="AC41" s="1"/>
      <c r="AD41" s="1"/>
      <c r="AE41" s="1"/>
      <c r="AF41" s="1"/>
      <c r="AG41" s="1"/>
      <c r="AH41" s="1"/>
      <c r="AI41" s="1"/>
      <c r="AJ41" s="1"/>
      <c r="AK41" s="1"/>
      <c r="AL41" s="18"/>
      <c r="AM41" s="18">
        <f t="shared" si="0"/>
        <v>0</v>
      </c>
      <c r="AN41" s="21" t="s">
        <v>95</v>
      </c>
      <c r="AO41" s="21" t="s">
        <v>178</v>
      </c>
      <c r="AP41" s="21"/>
      <c r="AQ41" s="21"/>
      <c r="AR41" s="21"/>
      <c r="AS41" s="21"/>
      <c r="AT41" s="21">
        <f t="shared" si="2"/>
        <v>0</v>
      </c>
      <c r="AU41" s="21"/>
      <c r="AV41" s="21"/>
      <c r="AW41" s="69">
        <v>2022</v>
      </c>
      <c r="AX41" s="68" t="s">
        <v>199</v>
      </c>
      <c r="AY41" s="24"/>
      <c r="AZ41" s="70"/>
      <c r="BA41" s="21" t="s">
        <v>111</v>
      </c>
    </row>
    <row r="42" s="3" customFormat="1" ht="18" customHeight="1" spans="1:54">
      <c r="A42" s="77"/>
      <c r="B42" s="73" t="s">
        <v>220</v>
      </c>
      <c r="C42" s="74" t="s">
        <v>198</v>
      </c>
      <c r="D42" s="17">
        <v>193</v>
      </c>
      <c r="E42" s="16">
        <v>5</v>
      </c>
      <c r="F42" s="17">
        <v>1578</v>
      </c>
      <c r="G42" s="18">
        <f t="shared" si="4"/>
        <v>7</v>
      </c>
      <c r="H42" s="16">
        <v>0</v>
      </c>
      <c r="I42" s="16">
        <v>0</v>
      </c>
      <c r="J42" s="1">
        <v>3</v>
      </c>
      <c r="K42" s="1"/>
      <c r="L42" s="36"/>
      <c r="M42" s="1"/>
      <c r="N42" s="1"/>
      <c r="O42" s="19"/>
      <c r="P42" s="1"/>
      <c r="Q42" s="1"/>
      <c r="R42" s="1"/>
      <c r="S42" s="1"/>
      <c r="T42" s="1"/>
      <c r="U42" s="1"/>
      <c r="V42" s="1"/>
      <c r="W42" s="1"/>
      <c r="X42" s="20"/>
      <c r="Y42" s="1"/>
      <c r="Z42" s="1"/>
      <c r="AA42" s="1"/>
      <c r="AB42" s="1"/>
      <c r="AC42" s="1"/>
      <c r="AD42" s="1"/>
      <c r="AE42" s="1"/>
      <c r="AF42" s="1"/>
      <c r="AG42" s="1"/>
      <c r="AH42" s="1"/>
      <c r="AI42" s="1"/>
      <c r="AJ42" s="1"/>
      <c r="AK42" s="1"/>
      <c r="AL42" s="18"/>
      <c r="AM42" s="18">
        <f t="shared" si="0"/>
        <v>0</v>
      </c>
      <c r="AN42" s="21" t="s">
        <v>95</v>
      </c>
      <c r="AO42" s="21" t="s">
        <v>178</v>
      </c>
      <c r="AP42" s="21"/>
      <c r="AQ42" s="21"/>
      <c r="AR42" s="21"/>
      <c r="AS42" s="21"/>
      <c r="AT42" s="21">
        <f t="shared" si="2"/>
        <v>0</v>
      </c>
      <c r="AU42" s="21"/>
      <c r="AV42" s="21"/>
      <c r="AW42" s="69">
        <v>2022</v>
      </c>
      <c r="AX42" s="68" t="s">
        <v>199</v>
      </c>
      <c r="AY42" s="24"/>
      <c r="AZ42" s="70"/>
      <c r="BA42" s="21" t="s">
        <v>111</v>
      </c>
    </row>
    <row r="43" s="3" customFormat="1" ht="18" customHeight="1" spans="1:54">
      <c r="A43" s="77"/>
      <c r="B43" s="73" t="s">
        <v>221</v>
      </c>
      <c r="C43" s="74" t="s">
        <v>198</v>
      </c>
      <c r="D43" s="17">
        <v>220</v>
      </c>
      <c r="E43" s="16">
        <v>5</v>
      </c>
      <c r="F43" s="17">
        <v>1797</v>
      </c>
      <c r="G43" s="18">
        <f t="shared" si="4"/>
        <v>7</v>
      </c>
      <c r="H43" s="1">
        <v>0</v>
      </c>
      <c r="I43" s="1">
        <v>0</v>
      </c>
      <c r="J43" s="1">
        <v>3</v>
      </c>
      <c r="K43" s="1"/>
      <c r="L43" s="36"/>
      <c r="M43" s="1"/>
      <c r="N43" s="1"/>
      <c r="O43" s="19"/>
      <c r="P43" s="1"/>
      <c r="Q43" s="1"/>
      <c r="R43" s="1"/>
      <c r="S43" s="1"/>
      <c r="T43" s="1"/>
      <c r="U43" s="1"/>
      <c r="V43" s="1"/>
      <c r="W43" s="1"/>
      <c r="X43" s="20"/>
      <c r="Y43" s="1"/>
      <c r="Z43" s="1"/>
      <c r="AA43" s="1"/>
      <c r="AB43" s="1"/>
      <c r="AC43" s="1"/>
      <c r="AD43" s="1"/>
      <c r="AE43" s="1"/>
      <c r="AF43" s="1"/>
      <c r="AG43" s="1"/>
      <c r="AH43" s="1"/>
      <c r="AI43" s="1"/>
      <c r="AJ43" s="1"/>
      <c r="AK43" s="1"/>
      <c r="AL43" s="18"/>
      <c r="AM43" s="18">
        <f t="shared" si="0"/>
        <v>0</v>
      </c>
      <c r="AN43" s="21" t="s">
        <v>95</v>
      </c>
      <c r="AO43" s="21" t="s">
        <v>178</v>
      </c>
      <c r="AP43" s="21"/>
      <c r="AQ43" s="21"/>
      <c r="AR43" s="21"/>
      <c r="AS43" s="21"/>
      <c r="AT43" s="21">
        <f t="shared" si="2"/>
        <v>0</v>
      </c>
      <c r="AU43" s="21"/>
      <c r="AV43" s="21"/>
      <c r="AW43" s="69">
        <v>2022</v>
      </c>
      <c r="AX43" s="68" t="s">
        <v>199</v>
      </c>
      <c r="AY43" s="24"/>
      <c r="AZ43" s="70"/>
      <c r="BA43" s="21" t="s">
        <v>111</v>
      </c>
    </row>
    <row r="44" s="3" customFormat="1" ht="18" customHeight="1" spans="1:54">
      <c r="A44" s="77"/>
      <c r="B44" s="73" t="s">
        <v>222</v>
      </c>
      <c r="C44" s="74" t="s">
        <v>198</v>
      </c>
      <c r="D44" s="17">
        <v>221</v>
      </c>
      <c r="E44" s="16">
        <v>5</v>
      </c>
      <c r="F44" s="17">
        <v>1653</v>
      </c>
      <c r="G44" s="18">
        <f t="shared" si="4"/>
        <v>7</v>
      </c>
      <c r="H44" s="16">
        <v>0</v>
      </c>
      <c r="I44" s="16">
        <v>0</v>
      </c>
      <c r="J44" s="1">
        <v>3</v>
      </c>
      <c r="K44" s="1"/>
      <c r="L44" s="36"/>
      <c r="M44" s="1"/>
      <c r="N44" s="1"/>
      <c r="O44" s="19"/>
      <c r="P44" s="1"/>
      <c r="Q44" s="1"/>
      <c r="R44" s="1"/>
      <c r="S44" s="1"/>
      <c r="T44" s="1"/>
      <c r="U44" s="1"/>
      <c r="V44" s="1"/>
      <c r="W44" s="1"/>
      <c r="X44" s="20"/>
      <c r="Y44" s="1"/>
      <c r="Z44" s="1"/>
      <c r="AA44" s="1"/>
      <c r="AB44" s="1"/>
      <c r="AC44" s="1"/>
      <c r="AD44" s="1"/>
      <c r="AE44" s="1"/>
      <c r="AF44" s="1"/>
      <c r="AG44" s="1"/>
      <c r="AH44" s="1"/>
      <c r="AI44" s="1"/>
      <c r="AJ44" s="1"/>
      <c r="AK44" s="1"/>
      <c r="AL44" s="18"/>
      <c r="AM44" s="18">
        <f t="shared" si="0"/>
        <v>0</v>
      </c>
      <c r="AN44" s="21" t="s">
        <v>95</v>
      </c>
      <c r="AO44" s="21" t="s">
        <v>178</v>
      </c>
      <c r="AP44" s="21"/>
      <c r="AQ44" s="21"/>
      <c r="AR44" s="21"/>
      <c r="AS44" s="21"/>
      <c r="AT44" s="21">
        <f t="shared" si="2"/>
        <v>0</v>
      </c>
      <c r="AU44" s="21"/>
      <c r="AV44" s="21"/>
      <c r="AW44" s="69">
        <v>2022</v>
      </c>
      <c r="AX44" s="68" t="s">
        <v>199</v>
      </c>
      <c r="AY44" s="24"/>
      <c r="AZ44" s="70"/>
      <c r="BA44" s="21" t="s">
        <v>111</v>
      </c>
    </row>
    <row r="45" s="3" customFormat="1" ht="18" customHeight="1" spans="1:54">
      <c r="A45" s="77"/>
      <c r="B45" s="73" t="s">
        <v>223</v>
      </c>
      <c r="C45" s="74" t="s">
        <v>198</v>
      </c>
      <c r="D45" s="17">
        <v>186</v>
      </c>
      <c r="E45" s="16">
        <v>6</v>
      </c>
      <c r="F45" s="17">
        <v>1395</v>
      </c>
      <c r="G45" s="18">
        <f>6+5</f>
        <v>11</v>
      </c>
      <c r="H45" s="16">
        <v>0</v>
      </c>
      <c r="I45" s="16">
        <v>0</v>
      </c>
      <c r="J45" s="1">
        <v>3</v>
      </c>
      <c r="K45" s="1"/>
      <c r="L45" s="36"/>
      <c r="M45" s="1"/>
      <c r="N45" s="1"/>
      <c r="O45" s="19"/>
      <c r="P45" s="1"/>
      <c r="Q45" s="1"/>
      <c r="R45" s="1"/>
      <c r="S45" s="1"/>
      <c r="T45" s="1"/>
      <c r="U45" s="1"/>
      <c r="V45" s="1"/>
      <c r="W45" s="1"/>
      <c r="X45" s="20"/>
      <c r="Y45" s="1"/>
      <c r="Z45" s="1"/>
      <c r="AA45" s="1"/>
      <c r="AB45" s="1"/>
      <c r="AC45" s="1"/>
      <c r="AD45" s="1"/>
      <c r="AE45" s="1"/>
      <c r="AF45" s="1"/>
      <c r="AG45" s="1"/>
      <c r="AH45" s="1"/>
      <c r="AI45" s="1"/>
      <c r="AJ45" s="1"/>
      <c r="AK45" s="1"/>
      <c r="AL45" s="18"/>
      <c r="AM45" s="18">
        <f t="shared" si="0"/>
        <v>0</v>
      </c>
      <c r="AN45" s="21" t="s">
        <v>95</v>
      </c>
      <c r="AO45" s="21" t="s">
        <v>178</v>
      </c>
      <c r="AP45" s="21"/>
      <c r="AQ45" s="21"/>
      <c r="AR45" s="21"/>
      <c r="AS45" s="21"/>
      <c r="AT45" s="21">
        <f t="shared" si="2"/>
        <v>0</v>
      </c>
      <c r="AU45" s="21"/>
      <c r="AV45" s="21"/>
      <c r="AW45" s="69">
        <v>2022</v>
      </c>
      <c r="AX45" s="68" t="s">
        <v>199</v>
      </c>
      <c r="AY45" s="24"/>
      <c r="AZ45" s="70"/>
      <c r="BA45" s="21" t="s">
        <v>111</v>
      </c>
    </row>
    <row r="46" s="3" customFormat="1" ht="18" customHeight="1" spans="1:54">
      <c r="A46" s="78"/>
      <c r="B46" s="73" t="s">
        <v>224</v>
      </c>
      <c r="C46" s="74" t="s">
        <v>198</v>
      </c>
      <c r="D46" s="17">
        <v>273</v>
      </c>
      <c r="E46" s="16">
        <v>10</v>
      </c>
      <c r="F46" s="17">
        <v>2307</v>
      </c>
      <c r="G46" s="18">
        <f>10+8</f>
        <v>18</v>
      </c>
      <c r="H46" s="1">
        <v>0</v>
      </c>
      <c r="I46" s="1">
        <v>0</v>
      </c>
      <c r="J46" s="1">
        <v>5</v>
      </c>
      <c r="K46" s="1">
        <v>4</v>
      </c>
      <c r="L46" s="18"/>
      <c r="M46" s="1"/>
      <c r="N46" s="1"/>
      <c r="O46" s="19"/>
      <c r="P46" s="1"/>
      <c r="Q46" s="1"/>
      <c r="R46" s="1"/>
      <c r="S46" s="1"/>
      <c r="T46" s="1"/>
      <c r="U46" s="1"/>
      <c r="V46" s="1"/>
      <c r="W46" s="1"/>
      <c r="X46" s="20"/>
      <c r="Y46" s="1"/>
      <c r="Z46" s="1"/>
      <c r="AA46" s="1"/>
      <c r="AB46" s="1"/>
      <c r="AC46" s="1"/>
      <c r="AD46" s="1"/>
      <c r="AE46" s="1"/>
      <c r="AF46" s="1"/>
      <c r="AG46" s="1"/>
      <c r="AH46" s="1"/>
      <c r="AI46" s="1"/>
      <c r="AJ46" s="1"/>
      <c r="AK46" s="1"/>
      <c r="AL46" s="18"/>
      <c r="AM46" s="18">
        <f t="shared" si="0"/>
        <v>0</v>
      </c>
      <c r="AN46" s="21" t="s">
        <v>95</v>
      </c>
      <c r="AO46" s="21" t="s">
        <v>178</v>
      </c>
      <c r="AP46" s="21"/>
      <c r="AQ46" s="21"/>
      <c r="AR46" s="21"/>
      <c r="AS46" s="21"/>
      <c r="AT46" s="21">
        <f t="shared" si="2"/>
        <v>0</v>
      </c>
      <c r="AU46" s="21"/>
      <c r="AV46" s="21"/>
      <c r="AW46" s="69">
        <v>2022</v>
      </c>
      <c r="AX46" s="68" t="s">
        <v>199</v>
      </c>
      <c r="AY46" s="58"/>
      <c r="AZ46" s="70"/>
      <c r="BA46" s="21" t="s">
        <v>111</v>
      </c>
    </row>
    <row r="47" s="3" customFormat="1" ht="18" customHeight="1" spans="1:54">
      <c r="A47" s="12">
        <v>8</v>
      </c>
      <c r="B47" s="73" t="s">
        <v>225</v>
      </c>
      <c r="C47" s="24"/>
      <c r="D47" s="17"/>
      <c r="E47" s="16"/>
      <c r="F47" s="17"/>
      <c r="G47" s="18"/>
      <c r="H47" s="1"/>
      <c r="I47" s="1"/>
      <c r="J47" s="1"/>
      <c r="K47" s="1"/>
      <c r="L47" s="79"/>
      <c r="M47" s="1"/>
      <c r="N47" s="1"/>
      <c r="O47" s="19"/>
      <c r="P47" s="1"/>
      <c r="Q47" s="1"/>
      <c r="R47" s="1"/>
      <c r="S47" s="1"/>
      <c r="T47" s="1"/>
      <c r="U47" s="1"/>
      <c r="V47" s="1"/>
      <c r="W47" s="1"/>
      <c r="X47" s="1"/>
      <c r="Y47" s="1"/>
      <c r="Z47" s="1"/>
      <c r="AA47" s="1"/>
      <c r="AB47" s="1"/>
      <c r="AC47" s="1"/>
      <c r="AD47" s="1"/>
      <c r="AE47" s="1"/>
      <c r="AF47" s="1"/>
      <c r="AG47" s="1"/>
      <c r="AH47" s="1"/>
      <c r="AI47" s="1"/>
      <c r="AJ47" s="1"/>
      <c r="AK47" s="1"/>
      <c r="AL47" s="18"/>
      <c r="AM47" s="18">
        <f t="shared" si="0"/>
        <v>0</v>
      </c>
      <c r="AN47" s="21" t="s">
        <v>63</v>
      </c>
      <c r="AO47" s="21" t="s">
        <v>101</v>
      </c>
      <c r="AP47" s="21"/>
      <c r="AQ47" s="21">
        <f>AM47/2</f>
        <v>0</v>
      </c>
      <c r="AR47" s="21">
        <f>AM47/2</f>
        <v>0</v>
      </c>
      <c r="AS47" s="21"/>
      <c r="AT47" s="21"/>
      <c r="AU47" s="21"/>
      <c r="AV47" s="21"/>
      <c r="AW47" s="24"/>
      <c r="AX47" s="24"/>
      <c r="AY47" s="24"/>
      <c r="AZ47" s="80"/>
      <c r="BA47" s="21" t="s">
        <v>86</v>
      </c>
      <c r="BB47" s="81"/>
    </row>
    <row r="48" ht="23.25" customHeight="1" spans="1:54">
      <c r="A48" s="12" t="s">
        <v>29</v>
      </c>
      <c r="B48" s="12"/>
      <c r="C48" s="12"/>
      <c r="D48" s="42">
        <f>SUM(D4:D47)</f>
        <v>17326.81</v>
      </c>
      <c r="E48" s="42">
        <f>SUM(E4:E47)</f>
        <v>543</v>
      </c>
      <c r="F48" s="42">
        <f t="shared" ref="F48:K48" si="5">SUM(F4:F47)</f>
        <v>342783.6297</v>
      </c>
      <c r="G48" s="42">
        <f t="shared" si="5"/>
        <v>1233</v>
      </c>
      <c r="H48" s="42">
        <f t="shared" si="5"/>
        <v>0</v>
      </c>
      <c r="I48" s="42">
        <f t="shared" si="5"/>
        <v>0</v>
      </c>
      <c r="J48" s="42">
        <f t="shared" si="5"/>
        <v>214</v>
      </c>
      <c r="K48" s="42">
        <f t="shared" si="5"/>
        <v>44</v>
      </c>
      <c r="L48" s="43">
        <f>SUM(L4:L20)</f>
        <v>0</v>
      </c>
      <c r="M48" s="43">
        <f t="shared" ref="M48:AM48" si="6">SUM(M4:M47)</f>
        <v>0</v>
      </c>
      <c r="N48" s="43">
        <f t="shared" si="6"/>
        <v>0</v>
      </c>
      <c r="O48" s="43">
        <f t="shared" si="6"/>
        <v>0</v>
      </c>
      <c r="P48" s="43">
        <f t="shared" si="6"/>
        <v>0</v>
      </c>
      <c r="Q48" s="43">
        <f t="shared" si="6"/>
        <v>0</v>
      </c>
      <c r="R48" s="43">
        <f t="shared" si="6"/>
        <v>0</v>
      </c>
      <c r="S48" s="43">
        <f t="shared" si="6"/>
        <v>0</v>
      </c>
      <c r="T48" s="43">
        <f t="shared" si="6"/>
        <v>0</v>
      </c>
      <c r="U48" s="43">
        <f t="shared" si="6"/>
        <v>0</v>
      </c>
      <c r="V48" s="43">
        <f t="shared" si="6"/>
        <v>0</v>
      </c>
      <c r="W48" s="43">
        <f t="shared" si="6"/>
        <v>0</v>
      </c>
      <c r="X48" s="43">
        <f t="shared" si="6"/>
        <v>0</v>
      </c>
      <c r="Y48" s="43">
        <f t="shared" si="6"/>
        <v>0</v>
      </c>
      <c r="Z48" s="43">
        <f t="shared" si="6"/>
        <v>0</v>
      </c>
      <c r="AA48" s="43">
        <f t="shared" si="6"/>
        <v>0</v>
      </c>
      <c r="AB48" s="43">
        <f t="shared" si="6"/>
        <v>0</v>
      </c>
      <c r="AC48" s="43">
        <f t="shared" si="6"/>
        <v>0</v>
      </c>
      <c r="AD48" s="43">
        <f t="shared" si="6"/>
        <v>0</v>
      </c>
      <c r="AE48" s="43">
        <f t="shared" si="6"/>
        <v>0</v>
      </c>
      <c r="AF48" s="43">
        <f t="shared" si="6"/>
        <v>0</v>
      </c>
      <c r="AG48" s="43">
        <f t="shared" si="6"/>
        <v>0</v>
      </c>
      <c r="AH48" s="43">
        <f t="shared" si="6"/>
        <v>0</v>
      </c>
      <c r="AI48" s="43">
        <f t="shared" si="6"/>
        <v>0</v>
      </c>
      <c r="AJ48" s="43">
        <f t="shared" si="6"/>
        <v>0</v>
      </c>
      <c r="AK48" s="43">
        <f t="shared" si="6"/>
        <v>0</v>
      </c>
      <c r="AL48" s="43">
        <f t="shared" si="6"/>
        <v>0</v>
      </c>
      <c r="AM48" s="43">
        <f t="shared" si="6"/>
        <v>0</v>
      </c>
      <c r="AN48" s="43"/>
      <c r="AO48" s="43"/>
      <c r="AP48" s="43">
        <f t="shared" ref="AP48:AV48" si="7">SUM(AP4:AP47)</f>
        <v>0</v>
      </c>
      <c r="AQ48" s="43">
        <f t="shared" si="7"/>
        <v>0</v>
      </c>
      <c r="AR48" s="43">
        <f t="shared" si="7"/>
        <v>0</v>
      </c>
      <c r="AS48" s="43">
        <f t="shared" si="7"/>
        <v>0</v>
      </c>
      <c r="AT48" s="43">
        <f t="shared" si="7"/>
        <v>0</v>
      </c>
      <c r="AU48" s="43">
        <f t="shared" si="7"/>
        <v>0</v>
      </c>
      <c r="AV48" s="43">
        <f t="shared" si="7"/>
        <v>0</v>
      </c>
      <c r="AW48" s="1"/>
      <c r="AX48" s="1"/>
      <c r="AY48" s="1"/>
      <c r="AZ48" s="80"/>
      <c r="BA48" s="43"/>
    </row>
    <row r="49" ht="179" customHeight="1" spans="1:53">
      <c r="A49" s="45"/>
      <c r="B49" s="45" t="s">
        <v>274</v>
      </c>
      <c r="C49" s="49"/>
      <c r="D49" s="49"/>
      <c r="E49" s="49"/>
      <c r="F49" s="49"/>
      <c r="X49" s="46"/>
      <c r="AM49" s="47"/>
      <c r="AN49" s="47"/>
      <c r="AO49" s="48">
        <v>0.5</v>
      </c>
      <c r="AP49" s="47">
        <f t="shared" ref="AP49:AV49" si="8">AP48*$AO$49</f>
        <v>0</v>
      </c>
      <c r="AQ49" s="47">
        <f t="shared" si="8"/>
        <v>0</v>
      </c>
      <c r="AR49" s="47">
        <f t="shared" si="8"/>
        <v>0</v>
      </c>
      <c r="AS49" s="47">
        <f t="shared" si="8"/>
        <v>0</v>
      </c>
      <c r="AT49" s="47">
        <f t="shared" si="8"/>
        <v>0</v>
      </c>
      <c r="AU49" s="47">
        <f t="shared" si="8"/>
        <v>0</v>
      </c>
      <c r="AV49" s="47">
        <f t="shared" si="8"/>
        <v>0</v>
      </c>
      <c r="BA49" s="47"/>
    </row>
    <row r="50" ht="18" customHeight="1" spans="1:53">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82" t="e">
        <f>AP49/AM49</f>
        <v>#DIV/0!</v>
      </c>
      <c r="AQ50" s="82" t="e">
        <f>AQ49/AM49</f>
        <v>#DIV/0!</v>
      </c>
      <c r="AR50" s="82" t="e">
        <f>AR49/AM49</f>
        <v>#DIV/0!</v>
      </c>
      <c r="AS50" s="82" t="e">
        <f>AS49/AM49</f>
        <v>#DIV/0!</v>
      </c>
      <c r="AT50" s="82" t="e">
        <f>AT49/AM49</f>
        <v>#DIV/0!</v>
      </c>
      <c r="AU50" s="82" t="e">
        <f>AU49/AM49</f>
        <v>#DIV/0!</v>
      </c>
      <c r="AV50" s="82" t="e">
        <f>AV49/AM49</f>
        <v>#DIV/0!</v>
      </c>
      <c r="BA50" s="50"/>
    </row>
    <row r="51" ht="22.95" customHeight="1" spans="1:53">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BA51" s="53"/>
    </row>
    <row r="52" ht="22.95" customHeight="1" spans="1:53">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BA52" s="50"/>
    </row>
    <row r="53" ht="22.05" customHeight="1" spans="1:53">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BA53" s="50"/>
    </row>
    <row r="54" ht="90" customHeight="1" spans="1:53">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BA54" s="45"/>
    </row>
    <row r="55" ht="93" customHeight="1" spans="1:53">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BA55" s="50"/>
    </row>
    <row r="56" ht="28.5" customHeight="1" spans="1:53">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BA56" s="50"/>
    </row>
    <row r="57" ht="34.5" customHeight="1" spans="1:53">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BA57" s="50"/>
    </row>
    <row r="58" ht="31.5" customHeight="1" spans="1:53">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BA58" s="50"/>
    </row>
    <row r="59" ht="19.5" customHeight="1" spans="1:53">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BA59" s="45"/>
    </row>
    <row r="60" ht="19.5" customHeight="1" spans="1:53">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BA60" s="50"/>
    </row>
    <row r="61" ht="19.5" customHeight="1" spans="1:53">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BA61" s="50"/>
    </row>
    <row r="62" ht="19.5" customHeight="1" spans="1:53">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BA62" s="50"/>
    </row>
    <row r="65" hidden="1" spans="40:40">
      <c r="AN65" s="4">
        <f>SUM(AM65:AM68)</f>
        <v>0</v>
      </c>
    </row>
    <row r="66" hidden="1"/>
    <row r="67" hidden="1"/>
    <row r="68" hidden="1"/>
    <row r="69" hidden="1"/>
    <row r="70" hidden="1"/>
    <row r="71" hidden="1"/>
    <row r="72" hidden="1"/>
  </sheetData>
  <autoFilter xmlns:etc="http://www.wps.cn/officeDocument/2017/etCustomData" ref="A3:BA50" etc:filterBottomFollowUsedRange="0">
    <extLst/>
  </autoFilter>
  <mergeCells count="66">
    <mergeCell ref="A1:BA1"/>
    <mergeCell ref="H2:I2"/>
    <mergeCell ref="M2:N2"/>
    <mergeCell ref="Q2:U2"/>
    <mergeCell ref="V2:W2"/>
    <mergeCell ref="X2:Y2"/>
    <mergeCell ref="AB2:AD2"/>
    <mergeCell ref="A48:C48"/>
    <mergeCell ref="B49:F49"/>
    <mergeCell ref="A50:AM50"/>
    <mergeCell ref="A51:AM51"/>
    <mergeCell ref="A52:AM52"/>
    <mergeCell ref="A53:AM53"/>
    <mergeCell ref="A54:AM54"/>
    <mergeCell ref="A55:AM55"/>
    <mergeCell ref="A56:AM56"/>
    <mergeCell ref="A57:AM57"/>
    <mergeCell ref="A58:AM58"/>
    <mergeCell ref="A59:AM59"/>
    <mergeCell ref="A60:AM60"/>
    <mergeCell ref="A61:AM61"/>
    <mergeCell ref="A62:AM62"/>
    <mergeCell ref="A2:A3"/>
    <mergeCell ref="A5:A7"/>
    <mergeCell ref="A10:A19"/>
    <mergeCell ref="A21:A46"/>
    <mergeCell ref="B2:B3"/>
    <mergeCell ref="C2:C3"/>
    <mergeCell ref="D2:D3"/>
    <mergeCell ref="E2:E3"/>
    <mergeCell ref="F2:F3"/>
    <mergeCell ref="G2:G3"/>
    <mergeCell ref="J2:J3"/>
    <mergeCell ref="K2:K3"/>
    <mergeCell ref="L2:L3"/>
    <mergeCell ref="O2:O3"/>
    <mergeCell ref="P2:P3"/>
    <mergeCell ref="Z2:Z3"/>
    <mergeCell ref="AA2:AA3"/>
    <mergeCell ref="AE2:AE3"/>
    <mergeCell ref="AF2:AF3"/>
    <mergeCell ref="AG2:AG3"/>
    <mergeCell ref="AH2:AH3"/>
    <mergeCell ref="AI2:AI3"/>
    <mergeCell ref="AJ2:AJ3"/>
    <mergeCell ref="AK2:AK3"/>
    <mergeCell ref="AL2:AL3"/>
    <mergeCell ref="AM2:AM3"/>
    <mergeCell ref="AN2:AN3"/>
    <mergeCell ref="AO2:AO3"/>
    <mergeCell ref="AP2:AP3"/>
    <mergeCell ref="AQ2:AQ3"/>
    <mergeCell ref="AR2:AR3"/>
    <mergeCell ref="AS2:AS3"/>
    <mergeCell ref="AT2:AT3"/>
    <mergeCell ref="AU2:AU3"/>
    <mergeCell ref="AV2:AV3"/>
    <mergeCell ref="AW2:AW3"/>
    <mergeCell ref="AX2:AX3"/>
    <mergeCell ref="AY2:AY3"/>
    <mergeCell ref="AZ2:AZ3"/>
    <mergeCell ref="AZ5:AZ7"/>
    <mergeCell ref="AZ10:AZ19"/>
    <mergeCell ref="AZ21:AZ46"/>
    <mergeCell ref="BA2:BA3"/>
    <mergeCell ref="BA5:BA7"/>
  </mergeCells>
  <pageMargins left="0.700694444444444" right="0.700694444444444" top="0.751388888888889" bottom="0.751388888888889" header="0.298611111111111" footer="0.298611111111111"/>
  <pageSetup paperSize="9" scale="43" fitToHeight="0"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55"/>
  <sheetViews>
    <sheetView zoomScaleSheetLayoutView="90" workbookViewId="0">
      <pane xSplit="6" ySplit="3" topLeftCell="L24" activePane="bottomRight" state="frozen"/>
      <selection/>
      <selection pane="topRight"/>
      <selection pane="bottomLeft"/>
      <selection pane="bottomRight" activeCell="X2" sqref="X2:Y2"/>
    </sheetView>
  </sheetViews>
  <sheetFormatPr defaultColWidth="9" defaultRowHeight="14.25"/>
  <cols>
    <col min="1" max="1" width="4" style="4" customWidth="1"/>
    <col min="2" max="2" width="24.2" style="4" customWidth="1"/>
    <col min="3" max="3" width="12.9" style="4" customWidth="1"/>
    <col min="4" max="4" width="8.9" style="4" customWidth="1"/>
    <col min="5" max="5" width="7.9" style="4" customWidth="1"/>
    <col min="6" max="6" width="7.7" style="4" customWidth="1"/>
    <col min="7" max="10" width="6.1" style="4" customWidth="1"/>
    <col min="11" max="11" width="5.3" style="4" customWidth="1"/>
    <col min="12" max="12" width="6.1" style="4" customWidth="1"/>
    <col min="13" max="13" width="6.4" style="4" customWidth="1"/>
    <col min="14" max="14" width="6" style="4" customWidth="1"/>
    <col min="15" max="15" width="9.6" style="4" customWidth="1"/>
    <col min="16" max="16" width="6.5" style="4" customWidth="1"/>
    <col min="17" max="17" width="6.9" style="4" customWidth="1"/>
    <col min="18" max="18" width="7.6" style="4" customWidth="1"/>
    <col min="19" max="19" width="5.9" style="4" customWidth="1"/>
    <col min="20" max="20" width="7.5" style="4" customWidth="1"/>
    <col min="21" max="21" width="5.5" style="4" customWidth="1"/>
    <col min="22" max="22" width="5.7" style="4" customWidth="1"/>
    <col min="23" max="23" width="5.4" style="4" customWidth="1"/>
    <col min="24" max="24" width="9.2" style="4" customWidth="1"/>
    <col min="25" max="25" width="5.6" style="4" customWidth="1"/>
    <col min="26" max="26" width="5.7" style="4" customWidth="1"/>
    <col min="27" max="27" width="6.7" style="4" customWidth="1"/>
    <col min="28" max="28" width="5.6" style="4" customWidth="1"/>
    <col min="29" max="29" width="5.2" style="4" customWidth="1"/>
    <col min="30" max="30" width="7.5" style="4" customWidth="1"/>
    <col min="31" max="31" width="5.5" style="4" customWidth="1"/>
    <col min="32" max="32" width="5.9" style="4" customWidth="1"/>
    <col min="33" max="33" width="5.9" style="5" customWidth="1"/>
    <col min="34" max="34" width="6.2" style="4" customWidth="1"/>
    <col min="35" max="35" width="5.4" style="4" customWidth="1"/>
    <col min="36" max="36" width="5.6" style="4" customWidth="1"/>
    <col min="37" max="37" width="5.2" style="4" customWidth="1"/>
    <col min="38" max="38" width="8.1" style="4" customWidth="1"/>
    <col min="39" max="39" width="11.3" style="4" customWidth="1"/>
    <col min="40" max="40" width="11.3" style="4" hidden="1" customWidth="1"/>
    <col min="41" max="41" width="12.9" style="4" hidden="1" customWidth="1"/>
    <col min="42" max="42" width="11.3" style="4" hidden="1" customWidth="1"/>
    <col min="43" max="43" width="11" hidden="1" customWidth="1"/>
    <col min="44" max="44" width="11.1" hidden="1" customWidth="1"/>
    <col min="45" max="45" width="9.7" hidden="1" customWidth="1"/>
    <col min="46" max="46" width="9.6" hidden="1" customWidth="1"/>
    <col min="47" max="48" width="10.7" hidden="1" customWidth="1"/>
    <col min="49" max="49" width="9.9" style="4" hidden="1" customWidth="1"/>
    <col min="50" max="51" width="9" style="4" hidden="1" customWidth="1"/>
    <col min="52" max="52" width="11.5" style="4" hidden="1" customWidth="1"/>
    <col min="53" max="53" width="8.8" style="4" hidden="1" customWidth="1"/>
    <col min="54" max="16384" width="9" style="4"/>
  </cols>
  <sheetData>
    <row r="1" ht="34.95" customHeight="1" spans="1:53">
      <c r="A1" s="6" t="s">
        <v>275</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ht="27" customHeight="1" spans="1:53">
      <c r="A2" s="1" t="s">
        <v>1</v>
      </c>
      <c r="B2" s="1" t="s">
        <v>2</v>
      </c>
      <c r="C2" s="1" t="s">
        <v>3</v>
      </c>
      <c r="D2" s="1" t="s">
        <v>4</v>
      </c>
      <c r="E2" s="1" t="s">
        <v>5</v>
      </c>
      <c r="F2" s="1" t="s">
        <v>6</v>
      </c>
      <c r="G2" s="1" t="s">
        <v>7</v>
      </c>
      <c r="H2" s="1" t="s">
        <v>8</v>
      </c>
      <c r="I2" s="1"/>
      <c r="J2" s="1" t="s">
        <v>9</v>
      </c>
      <c r="K2" s="1" t="s">
        <v>10</v>
      </c>
      <c r="L2" s="7" t="s">
        <v>246</v>
      </c>
      <c r="M2" s="7" t="s">
        <v>247</v>
      </c>
      <c r="N2" s="1"/>
      <c r="O2" s="7" t="s">
        <v>248</v>
      </c>
      <c r="P2" s="7" t="s">
        <v>249</v>
      </c>
      <c r="Q2" s="7" t="s">
        <v>250</v>
      </c>
      <c r="R2" s="1"/>
      <c r="S2" s="1"/>
      <c r="T2" s="1"/>
      <c r="U2" s="1"/>
      <c r="V2" s="7" t="s">
        <v>251</v>
      </c>
      <c r="W2" s="1"/>
      <c r="X2" s="8" t="s">
        <v>252</v>
      </c>
      <c r="Y2" s="1"/>
      <c r="Z2" s="7" t="s">
        <v>253</v>
      </c>
      <c r="AA2" s="7" t="s">
        <v>254</v>
      </c>
      <c r="AB2" s="7" t="s">
        <v>255</v>
      </c>
      <c r="AC2" s="1"/>
      <c r="AD2" s="1"/>
      <c r="AE2" s="7" t="s">
        <v>256</v>
      </c>
      <c r="AF2" s="7" t="s">
        <v>257</v>
      </c>
      <c r="AG2" s="7" t="s">
        <v>258</v>
      </c>
      <c r="AH2" s="7" t="s">
        <v>259</v>
      </c>
      <c r="AI2" s="7" t="s">
        <v>260</v>
      </c>
      <c r="AJ2" s="7" t="s">
        <v>261</v>
      </c>
      <c r="AK2" s="7" t="s">
        <v>262</v>
      </c>
      <c r="AL2" s="7" t="s">
        <v>263</v>
      </c>
      <c r="AM2" s="9" t="s">
        <v>29</v>
      </c>
      <c r="AN2" s="10" t="s">
        <v>30</v>
      </c>
      <c r="AO2" s="10" t="s">
        <v>31</v>
      </c>
      <c r="AP2" s="10" t="s">
        <v>32</v>
      </c>
      <c r="AQ2" s="10" t="s">
        <v>33</v>
      </c>
      <c r="AR2" s="10" t="s">
        <v>34</v>
      </c>
      <c r="AS2" s="10" t="s">
        <v>35</v>
      </c>
      <c r="AT2" s="10" t="s">
        <v>36</v>
      </c>
      <c r="AU2" s="10" t="s">
        <v>37</v>
      </c>
      <c r="AV2" s="10" t="s">
        <v>38</v>
      </c>
      <c r="AW2" s="9" t="s">
        <v>39</v>
      </c>
      <c r="AX2" s="9" t="s">
        <v>40</v>
      </c>
      <c r="AY2" s="10" t="s">
        <v>41</v>
      </c>
      <c r="AZ2" s="10" t="s">
        <v>42</v>
      </c>
      <c r="BA2" s="10" t="s">
        <v>43</v>
      </c>
    </row>
    <row r="3" ht="48" customHeight="1" spans="1:53">
      <c r="A3" s="1"/>
      <c r="B3" s="1"/>
      <c r="C3" s="1"/>
      <c r="D3" s="1"/>
      <c r="E3" s="1"/>
      <c r="F3" s="1"/>
      <c r="G3" s="1"/>
      <c r="H3" s="1" t="s">
        <v>45</v>
      </c>
      <c r="I3" s="1" t="s">
        <v>46</v>
      </c>
      <c r="J3" s="1"/>
      <c r="K3" s="1"/>
      <c r="L3" s="1"/>
      <c r="M3" s="1" t="s">
        <v>47</v>
      </c>
      <c r="N3" s="1" t="s">
        <v>48</v>
      </c>
      <c r="O3" s="1"/>
      <c r="P3" s="1"/>
      <c r="Q3" s="1" t="s">
        <v>49</v>
      </c>
      <c r="R3" s="1" t="s">
        <v>50</v>
      </c>
      <c r="S3" s="1" t="s">
        <v>51</v>
      </c>
      <c r="T3" s="1" t="s">
        <v>52</v>
      </c>
      <c r="U3" s="1" t="s">
        <v>53</v>
      </c>
      <c r="V3" s="1" t="s">
        <v>54</v>
      </c>
      <c r="W3" s="1" t="s">
        <v>55</v>
      </c>
      <c r="X3" s="11" t="s">
        <v>56</v>
      </c>
      <c r="Y3" s="1" t="s">
        <v>57</v>
      </c>
      <c r="Z3" s="1"/>
      <c r="AA3" s="1"/>
      <c r="AB3" s="1" t="s">
        <v>58</v>
      </c>
      <c r="AC3" s="1" t="s">
        <v>59</v>
      </c>
      <c r="AD3" s="1" t="s">
        <v>60</v>
      </c>
      <c r="AE3" s="1"/>
      <c r="AF3" s="1"/>
      <c r="AG3" s="1"/>
      <c r="AH3" s="1"/>
      <c r="AI3" s="1"/>
      <c r="AJ3" s="1"/>
      <c r="AK3" s="1"/>
      <c r="AL3" s="1"/>
      <c r="AM3" s="9"/>
      <c r="AN3" s="9"/>
      <c r="AO3" s="9"/>
      <c r="AP3" s="9"/>
      <c r="AQ3" s="9"/>
      <c r="AR3" s="9"/>
      <c r="AS3" s="9"/>
      <c r="AT3" s="9"/>
      <c r="AU3" s="9"/>
      <c r="AV3" s="9"/>
      <c r="AW3" s="9"/>
      <c r="AX3" s="9"/>
      <c r="AY3" s="9"/>
      <c r="AZ3" s="9"/>
      <c r="BA3" s="9"/>
    </row>
    <row r="4" s="3" customFormat="1" ht="18" customHeight="1" spans="1:53">
      <c r="A4" s="12">
        <v>1</v>
      </c>
      <c r="B4" s="13" t="s">
        <v>87</v>
      </c>
      <c r="C4" s="14" t="s">
        <v>88</v>
      </c>
      <c r="D4" s="17">
        <v>1056.5</v>
      </c>
      <c r="E4" s="16">
        <v>36</v>
      </c>
      <c r="F4" s="17">
        <v>34864.5</v>
      </c>
      <c r="G4" s="16">
        <v>36</v>
      </c>
      <c r="H4" s="16">
        <v>0</v>
      </c>
      <c r="I4" s="16">
        <v>0</v>
      </c>
      <c r="J4" s="16">
        <v>9</v>
      </c>
      <c r="K4" s="25"/>
      <c r="L4" s="16"/>
      <c r="M4" s="1"/>
      <c r="N4" s="1"/>
      <c r="O4" s="19"/>
      <c r="P4" s="1"/>
      <c r="Q4" s="1"/>
      <c r="R4" s="1"/>
      <c r="S4" s="1"/>
      <c r="T4" s="1"/>
      <c r="U4" s="1"/>
      <c r="V4" s="1"/>
      <c r="W4" s="1"/>
      <c r="X4" s="20"/>
      <c r="Y4" s="31"/>
      <c r="Z4" s="1"/>
      <c r="AA4" s="1"/>
      <c r="AB4" s="28"/>
      <c r="AC4" s="28"/>
      <c r="AD4" s="28"/>
      <c r="AE4" s="1"/>
      <c r="AF4" s="1"/>
      <c r="AG4" s="1"/>
      <c r="AH4" s="1"/>
      <c r="AI4" s="1"/>
      <c r="AJ4" s="29"/>
      <c r="AK4" s="29"/>
      <c r="AL4" s="57"/>
      <c r="AM4" s="57">
        <f t="shared" ref="AM4:AM31" si="0">SUM(M4:AL4)</f>
        <v>0</v>
      </c>
      <c r="AN4" s="21" t="s">
        <v>63</v>
      </c>
      <c r="AO4" s="21" t="s">
        <v>72</v>
      </c>
      <c r="AP4" s="21"/>
      <c r="AQ4" s="21">
        <f>AM4</f>
        <v>0</v>
      </c>
      <c r="AR4" s="21"/>
      <c r="AS4" s="21"/>
      <c r="AT4" s="21"/>
      <c r="AU4" s="21"/>
      <c r="AV4" s="21"/>
      <c r="AW4" s="26" t="s">
        <v>89</v>
      </c>
      <c r="AX4" s="23" t="s">
        <v>83</v>
      </c>
      <c r="AY4" s="58" t="s">
        <v>84</v>
      </c>
      <c r="AZ4" s="35" t="s">
        <v>90</v>
      </c>
      <c r="BA4" s="59" t="s">
        <v>86</v>
      </c>
    </row>
    <row r="5" s="3" customFormat="1" ht="18" customHeight="1" spans="1:53">
      <c r="A5" s="12"/>
      <c r="B5" s="13" t="s">
        <v>91</v>
      </c>
      <c r="C5" s="14"/>
      <c r="D5" s="17">
        <v>133.37</v>
      </c>
      <c r="E5" s="16">
        <v>5</v>
      </c>
      <c r="F5" s="17">
        <v>2400.66</v>
      </c>
      <c r="G5" s="16">
        <v>10</v>
      </c>
      <c r="H5" s="16">
        <v>0</v>
      </c>
      <c r="I5" s="16">
        <v>0</v>
      </c>
      <c r="J5" s="16">
        <v>2</v>
      </c>
      <c r="K5" s="25"/>
      <c r="L5" s="16"/>
      <c r="M5" s="1"/>
      <c r="N5" s="1"/>
      <c r="O5" s="19"/>
      <c r="P5" s="1"/>
      <c r="Q5" s="1"/>
      <c r="R5" s="1"/>
      <c r="S5" s="1"/>
      <c r="T5" s="1"/>
      <c r="U5" s="1"/>
      <c r="V5" s="1"/>
      <c r="W5" s="1"/>
      <c r="X5" s="20"/>
      <c r="Y5" s="31"/>
      <c r="Z5" s="31"/>
      <c r="AA5" s="1"/>
      <c r="AB5" s="31"/>
      <c r="AC5" s="31"/>
      <c r="AD5" s="31"/>
      <c r="AE5" s="1"/>
      <c r="AF5" s="1"/>
      <c r="AG5" s="31"/>
      <c r="AH5" s="31"/>
      <c r="AI5" s="31"/>
      <c r="AJ5" s="31"/>
      <c r="AK5" s="31"/>
      <c r="AL5" s="57"/>
      <c r="AM5" s="57">
        <f t="shared" si="0"/>
        <v>0</v>
      </c>
      <c r="AN5" s="21" t="s">
        <v>63</v>
      </c>
      <c r="AO5" s="21" t="s">
        <v>72</v>
      </c>
      <c r="AP5" s="21"/>
      <c r="AQ5" s="21">
        <f>AM5</f>
        <v>0</v>
      </c>
      <c r="AR5" s="21"/>
      <c r="AS5" s="21"/>
      <c r="AT5" s="21"/>
      <c r="AU5" s="21"/>
      <c r="AV5" s="21"/>
      <c r="AW5" s="32" t="s">
        <v>92</v>
      </c>
      <c r="AX5" s="23" t="s">
        <v>83</v>
      </c>
      <c r="AY5" s="60"/>
      <c r="AZ5" s="38"/>
      <c r="BA5" s="61"/>
    </row>
    <row r="6" s="3" customFormat="1" ht="18" customHeight="1" spans="1:53">
      <c r="A6" s="12">
        <v>2</v>
      </c>
      <c r="B6" s="13" t="s">
        <v>98</v>
      </c>
      <c r="C6" s="30" t="s">
        <v>99</v>
      </c>
      <c r="D6" s="17">
        <v>221.24</v>
      </c>
      <c r="E6" s="34">
        <v>8</v>
      </c>
      <c r="F6" s="15">
        <v>5442.504</v>
      </c>
      <c r="G6" s="18">
        <v>31</v>
      </c>
      <c r="H6" s="16">
        <v>0</v>
      </c>
      <c r="I6" s="16">
        <v>0</v>
      </c>
      <c r="J6" s="1">
        <v>20</v>
      </c>
      <c r="K6" s="1">
        <v>4</v>
      </c>
      <c r="L6" s="19"/>
      <c r="M6" s="1"/>
      <c r="N6" s="1"/>
      <c r="O6" s="19"/>
      <c r="P6" s="1"/>
      <c r="Q6" s="1"/>
      <c r="R6" s="1"/>
      <c r="S6" s="1"/>
      <c r="T6" s="1"/>
      <c r="U6" s="1"/>
      <c r="V6" s="1"/>
      <c r="W6" s="1"/>
      <c r="X6" s="20"/>
      <c r="Y6" s="31"/>
      <c r="Z6" s="31"/>
      <c r="AA6" s="1"/>
      <c r="AB6" s="31"/>
      <c r="AC6" s="31"/>
      <c r="AD6" s="31"/>
      <c r="AE6" s="1"/>
      <c r="AF6" s="1"/>
      <c r="AG6" s="31"/>
      <c r="AH6" s="31"/>
      <c r="AI6" s="31"/>
      <c r="AJ6" s="31"/>
      <c r="AK6" s="31"/>
      <c r="AL6" s="57"/>
      <c r="AM6" s="57">
        <f t="shared" si="0"/>
        <v>0</v>
      </c>
      <c r="AN6" s="21" t="s">
        <v>100</v>
      </c>
      <c r="AO6" s="21" t="s">
        <v>101</v>
      </c>
      <c r="AP6" s="21"/>
      <c r="AQ6" s="21">
        <f>AM6/2</f>
        <v>0</v>
      </c>
      <c r="AR6" s="21">
        <f>AM6/2</f>
        <v>0</v>
      </c>
      <c r="AS6" s="21"/>
      <c r="AT6" s="21"/>
      <c r="AU6" s="21"/>
      <c r="AV6" s="21"/>
      <c r="AW6" s="22" t="s">
        <v>102</v>
      </c>
      <c r="AX6" s="23" t="s">
        <v>66</v>
      </c>
      <c r="AY6" s="24" t="s">
        <v>67</v>
      </c>
      <c r="AZ6" s="22" t="s">
        <v>68</v>
      </c>
      <c r="BA6" s="21" t="s">
        <v>103</v>
      </c>
    </row>
    <row r="7" s="3" customFormat="1" ht="18" customHeight="1" spans="1:53">
      <c r="A7" s="12">
        <v>3</v>
      </c>
      <c r="B7" s="62" t="s">
        <v>104</v>
      </c>
      <c r="C7" s="63" t="s">
        <v>105</v>
      </c>
      <c r="D7" s="17">
        <v>540</v>
      </c>
      <c r="E7" s="34">
        <v>17</v>
      </c>
      <c r="F7" s="15">
        <v>21600</v>
      </c>
      <c r="G7" s="18">
        <v>175</v>
      </c>
      <c r="H7" s="16">
        <v>0</v>
      </c>
      <c r="I7" s="16">
        <v>0</v>
      </c>
      <c r="J7" s="1">
        <v>12</v>
      </c>
      <c r="K7" s="1">
        <v>8</v>
      </c>
      <c r="L7" s="19"/>
      <c r="M7" s="1"/>
      <c r="N7" s="1"/>
      <c r="O7" s="19"/>
      <c r="P7" s="1"/>
      <c r="Q7" s="1"/>
      <c r="R7" s="1"/>
      <c r="S7" s="1"/>
      <c r="T7" s="1"/>
      <c r="U7" s="1"/>
      <c r="V7" s="1"/>
      <c r="W7" s="1"/>
      <c r="X7" s="20"/>
      <c r="Y7" s="1"/>
      <c r="Z7" s="1"/>
      <c r="AA7" s="1"/>
      <c r="AB7" s="1"/>
      <c r="AC7" s="1"/>
      <c r="AD7" s="1"/>
      <c r="AE7" s="1"/>
      <c r="AF7" s="1"/>
      <c r="AG7" s="1"/>
      <c r="AH7" s="1"/>
      <c r="AI7" s="1"/>
      <c r="AJ7" s="1"/>
      <c r="AK7" s="1"/>
      <c r="AL7" s="57"/>
      <c r="AM7" s="57">
        <f t="shared" si="0"/>
        <v>0</v>
      </c>
      <c r="AN7" s="21" t="s">
        <v>95</v>
      </c>
      <c r="AO7" s="21" t="s">
        <v>78</v>
      </c>
      <c r="AP7" s="21">
        <f t="shared" ref="AP7:AP18" si="1">AM7</f>
        <v>0</v>
      </c>
      <c r="AQ7" s="21"/>
      <c r="AR7" s="21"/>
      <c r="AS7" s="21"/>
      <c r="AT7" s="21"/>
      <c r="AU7" s="21"/>
      <c r="AV7" s="21"/>
      <c r="AW7" s="22" t="s">
        <v>106</v>
      </c>
      <c r="AX7" s="23" t="s">
        <v>66</v>
      </c>
      <c r="AY7" s="24" t="s">
        <v>84</v>
      </c>
      <c r="AZ7" s="22" t="s">
        <v>68</v>
      </c>
      <c r="BA7" s="21" t="s">
        <v>86</v>
      </c>
    </row>
    <row r="8" s="3" customFormat="1" ht="18" customHeight="1" spans="1:53">
      <c r="A8" s="40">
        <v>4</v>
      </c>
      <c r="B8" s="13" t="s">
        <v>107</v>
      </c>
      <c r="C8" s="64" t="s">
        <v>105</v>
      </c>
      <c r="D8" s="17">
        <f>503.9+1082.12+458.2</f>
        <v>2044.22</v>
      </c>
      <c r="E8" s="34">
        <v>68</v>
      </c>
      <c r="F8" s="15">
        <v>50083.39</v>
      </c>
      <c r="G8" s="18">
        <v>43</v>
      </c>
      <c r="H8" s="16">
        <v>0</v>
      </c>
      <c r="I8" s="16">
        <v>0</v>
      </c>
      <c r="J8" s="1">
        <v>13</v>
      </c>
      <c r="K8" s="31"/>
      <c r="L8" s="1"/>
      <c r="M8" s="1"/>
      <c r="N8" s="1"/>
      <c r="O8" s="19"/>
      <c r="P8" s="1"/>
      <c r="Q8" s="1"/>
      <c r="R8" s="1"/>
      <c r="S8" s="1"/>
      <c r="T8" s="1"/>
      <c r="U8" s="1"/>
      <c r="V8" s="1"/>
      <c r="W8" s="1"/>
      <c r="X8" s="20"/>
      <c r="Y8" s="31"/>
      <c r="Z8" s="31"/>
      <c r="AA8" s="1"/>
      <c r="AB8" s="31"/>
      <c r="AC8" s="31"/>
      <c r="AD8" s="31"/>
      <c r="AE8" s="1"/>
      <c r="AF8" s="1"/>
      <c r="AG8" s="31"/>
      <c r="AH8" s="31"/>
      <c r="AI8" s="31"/>
      <c r="AJ8" s="31"/>
      <c r="AK8" s="31"/>
      <c r="AL8" s="57"/>
      <c r="AM8" s="57">
        <f t="shared" si="0"/>
        <v>0</v>
      </c>
      <c r="AN8" s="21" t="s">
        <v>95</v>
      </c>
      <c r="AO8" s="21" t="s">
        <v>78</v>
      </c>
      <c r="AP8" s="21">
        <f t="shared" si="1"/>
        <v>0</v>
      </c>
      <c r="AQ8" s="21"/>
      <c r="AR8" s="21"/>
      <c r="AS8" s="21"/>
      <c r="AT8" s="21"/>
      <c r="AU8" s="21"/>
      <c r="AV8" s="21"/>
      <c r="AW8" s="32" t="s">
        <v>108</v>
      </c>
      <c r="AX8" s="23" t="s">
        <v>109</v>
      </c>
      <c r="AY8" s="24"/>
      <c r="AZ8" s="35" t="s">
        <v>110</v>
      </c>
      <c r="BA8" s="21" t="s">
        <v>111</v>
      </c>
    </row>
    <row r="9" s="3" customFormat="1" ht="18" customHeight="1" spans="1:53">
      <c r="A9" s="40"/>
      <c r="B9" s="13" t="s">
        <v>112</v>
      </c>
      <c r="C9" s="64"/>
      <c r="D9" s="17">
        <f>958.45+734.6</f>
        <v>1693.05</v>
      </c>
      <c r="E9" s="34">
        <v>57</v>
      </c>
      <c r="F9" s="15">
        <v>41479.725</v>
      </c>
      <c r="G9" s="18">
        <v>38</v>
      </c>
      <c r="H9" s="16">
        <v>0</v>
      </c>
      <c r="I9" s="16">
        <v>0</v>
      </c>
      <c r="J9" s="1">
        <v>14</v>
      </c>
      <c r="K9" s="31"/>
      <c r="L9" s="1"/>
      <c r="M9" s="1"/>
      <c r="N9" s="1"/>
      <c r="O9" s="19"/>
      <c r="P9" s="1"/>
      <c r="Q9" s="1"/>
      <c r="R9" s="1"/>
      <c r="S9" s="1"/>
      <c r="T9" s="1"/>
      <c r="U9" s="1"/>
      <c r="V9" s="1"/>
      <c r="W9" s="1"/>
      <c r="X9" s="20"/>
      <c r="Y9" s="31"/>
      <c r="Z9" s="31"/>
      <c r="AA9" s="1"/>
      <c r="AB9" s="31"/>
      <c r="AC9" s="31"/>
      <c r="AD9" s="31"/>
      <c r="AE9" s="1"/>
      <c r="AF9" s="1"/>
      <c r="AG9" s="31"/>
      <c r="AH9" s="31"/>
      <c r="AI9" s="31"/>
      <c r="AJ9" s="31"/>
      <c r="AK9" s="31"/>
      <c r="AL9" s="57"/>
      <c r="AM9" s="57">
        <f t="shared" si="0"/>
        <v>0</v>
      </c>
      <c r="AN9" s="21" t="s">
        <v>95</v>
      </c>
      <c r="AO9" s="21" t="s">
        <v>78</v>
      </c>
      <c r="AP9" s="21">
        <f t="shared" si="1"/>
        <v>0</v>
      </c>
      <c r="AQ9" s="21"/>
      <c r="AR9" s="21"/>
      <c r="AS9" s="21"/>
      <c r="AT9" s="21"/>
      <c r="AU9" s="21"/>
      <c r="AV9" s="21"/>
      <c r="AW9" s="32" t="s">
        <v>108</v>
      </c>
      <c r="AX9" s="23" t="s">
        <v>109</v>
      </c>
      <c r="AY9" s="24"/>
      <c r="AZ9" s="37"/>
      <c r="BA9" s="21" t="s">
        <v>111</v>
      </c>
    </row>
    <row r="10" s="3" customFormat="1" ht="18" customHeight="1" spans="1:53">
      <c r="A10" s="40"/>
      <c r="B10" s="13" t="s">
        <v>113</v>
      </c>
      <c r="C10" s="64"/>
      <c r="D10" s="17">
        <v>533.6</v>
      </c>
      <c r="E10" s="34">
        <v>20</v>
      </c>
      <c r="F10" s="15">
        <v>4535.6</v>
      </c>
      <c r="G10" s="18">
        <v>16</v>
      </c>
      <c r="H10" s="16">
        <v>0</v>
      </c>
      <c r="I10" s="16">
        <v>0</v>
      </c>
      <c r="J10" s="1">
        <v>7</v>
      </c>
      <c r="K10" s="31"/>
      <c r="L10" s="1"/>
      <c r="M10" s="1"/>
      <c r="N10" s="1"/>
      <c r="O10" s="19"/>
      <c r="P10" s="1"/>
      <c r="Q10" s="1"/>
      <c r="R10" s="1"/>
      <c r="S10" s="1"/>
      <c r="T10" s="1"/>
      <c r="U10" s="1"/>
      <c r="V10" s="1"/>
      <c r="W10" s="1"/>
      <c r="X10" s="20"/>
      <c r="Y10" s="31"/>
      <c r="Z10" s="31"/>
      <c r="AA10" s="1"/>
      <c r="AB10" s="31"/>
      <c r="AC10" s="31"/>
      <c r="AD10" s="31"/>
      <c r="AE10" s="1"/>
      <c r="AF10" s="1"/>
      <c r="AG10" s="31"/>
      <c r="AH10" s="31"/>
      <c r="AI10" s="31"/>
      <c r="AJ10" s="31"/>
      <c r="AK10" s="31"/>
      <c r="AL10" s="57"/>
      <c r="AM10" s="57">
        <f t="shared" si="0"/>
        <v>0</v>
      </c>
      <c r="AN10" s="21" t="s">
        <v>95</v>
      </c>
      <c r="AO10" s="21" t="s">
        <v>78</v>
      </c>
      <c r="AP10" s="21">
        <f t="shared" si="1"/>
        <v>0</v>
      </c>
      <c r="AQ10" s="21"/>
      <c r="AR10" s="21"/>
      <c r="AS10" s="21"/>
      <c r="AT10" s="21"/>
      <c r="AU10" s="21"/>
      <c r="AV10" s="21"/>
      <c r="AW10" s="32" t="s">
        <v>108</v>
      </c>
      <c r="AX10" s="23" t="s">
        <v>109</v>
      </c>
      <c r="AY10" s="24"/>
      <c r="AZ10" s="37"/>
      <c r="BA10" s="21" t="s">
        <v>111</v>
      </c>
    </row>
    <row r="11" s="3" customFormat="1" ht="18" customHeight="1" spans="1:53">
      <c r="A11" s="40"/>
      <c r="B11" s="13" t="s">
        <v>114</v>
      </c>
      <c r="C11" s="64"/>
      <c r="D11" s="17">
        <v>254</v>
      </c>
      <c r="E11" s="34">
        <v>9</v>
      </c>
      <c r="F11" s="15">
        <v>2159</v>
      </c>
      <c r="G11" s="18">
        <v>8</v>
      </c>
      <c r="H11" s="16">
        <v>0</v>
      </c>
      <c r="I11" s="16">
        <v>0</v>
      </c>
      <c r="J11" s="1">
        <v>4</v>
      </c>
      <c r="K11" s="31"/>
      <c r="L11" s="1"/>
      <c r="M11" s="1"/>
      <c r="N11" s="1"/>
      <c r="O11" s="19"/>
      <c r="P11" s="1"/>
      <c r="Q11" s="1"/>
      <c r="R11" s="1"/>
      <c r="S11" s="1"/>
      <c r="T11" s="1"/>
      <c r="U11" s="1"/>
      <c r="V11" s="1"/>
      <c r="W11" s="1"/>
      <c r="X11" s="20"/>
      <c r="Y11" s="31"/>
      <c r="Z11" s="31"/>
      <c r="AA11" s="1"/>
      <c r="AB11" s="31"/>
      <c r="AC11" s="31"/>
      <c r="AD11" s="31"/>
      <c r="AE11" s="1"/>
      <c r="AF11" s="1"/>
      <c r="AG11" s="31"/>
      <c r="AH11" s="31"/>
      <c r="AI11" s="31"/>
      <c r="AJ11" s="31"/>
      <c r="AK11" s="31"/>
      <c r="AL11" s="57"/>
      <c r="AM11" s="57">
        <f t="shared" si="0"/>
        <v>0</v>
      </c>
      <c r="AN11" s="21" t="s">
        <v>95</v>
      </c>
      <c r="AO11" s="21" t="s">
        <v>78</v>
      </c>
      <c r="AP11" s="21">
        <f t="shared" si="1"/>
        <v>0</v>
      </c>
      <c r="AQ11" s="21"/>
      <c r="AR11" s="21"/>
      <c r="AS11" s="21"/>
      <c r="AT11" s="21"/>
      <c r="AU11" s="21"/>
      <c r="AV11" s="21"/>
      <c r="AW11" s="32" t="s">
        <v>108</v>
      </c>
      <c r="AX11" s="23" t="s">
        <v>109</v>
      </c>
      <c r="AY11" s="24"/>
      <c r="AZ11" s="37"/>
      <c r="BA11" s="21" t="s">
        <v>111</v>
      </c>
    </row>
    <row r="12" s="3" customFormat="1" ht="18" customHeight="1" spans="1:53">
      <c r="A12" s="40"/>
      <c r="B12" s="13" t="s">
        <v>115</v>
      </c>
      <c r="C12" s="64"/>
      <c r="D12" s="17">
        <v>254</v>
      </c>
      <c r="E12" s="34">
        <v>9</v>
      </c>
      <c r="F12" s="15">
        <v>2159</v>
      </c>
      <c r="G12" s="18">
        <v>7</v>
      </c>
      <c r="H12" s="16">
        <v>0</v>
      </c>
      <c r="I12" s="16">
        <v>0</v>
      </c>
      <c r="J12" s="1">
        <v>3</v>
      </c>
      <c r="K12" s="31"/>
      <c r="L12" s="1"/>
      <c r="M12" s="1"/>
      <c r="N12" s="1"/>
      <c r="O12" s="19"/>
      <c r="P12" s="1"/>
      <c r="Q12" s="1"/>
      <c r="R12" s="1"/>
      <c r="S12" s="1"/>
      <c r="T12" s="1"/>
      <c r="U12" s="1"/>
      <c r="V12" s="1"/>
      <c r="W12" s="1"/>
      <c r="X12" s="20"/>
      <c r="Y12" s="31"/>
      <c r="Z12" s="31"/>
      <c r="AA12" s="1"/>
      <c r="AB12" s="31"/>
      <c r="AC12" s="31"/>
      <c r="AD12" s="31"/>
      <c r="AE12" s="1"/>
      <c r="AF12" s="1"/>
      <c r="AG12" s="31"/>
      <c r="AH12" s="31"/>
      <c r="AI12" s="31"/>
      <c r="AJ12" s="31"/>
      <c r="AK12" s="31"/>
      <c r="AL12" s="57"/>
      <c r="AM12" s="57">
        <f t="shared" si="0"/>
        <v>0</v>
      </c>
      <c r="AN12" s="21" t="s">
        <v>95</v>
      </c>
      <c r="AO12" s="21" t="s">
        <v>78</v>
      </c>
      <c r="AP12" s="21">
        <f t="shared" si="1"/>
        <v>0</v>
      </c>
      <c r="AQ12" s="21"/>
      <c r="AR12" s="21"/>
      <c r="AS12" s="21"/>
      <c r="AT12" s="21"/>
      <c r="AU12" s="21"/>
      <c r="AV12" s="21"/>
      <c r="AW12" s="32" t="s">
        <v>108</v>
      </c>
      <c r="AX12" s="23" t="s">
        <v>109</v>
      </c>
      <c r="AY12" s="24"/>
      <c r="AZ12" s="37"/>
      <c r="BA12" s="21" t="s">
        <v>111</v>
      </c>
    </row>
    <row r="13" s="3" customFormat="1" ht="18" customHeight="1" spans="1:53">
      <c r="A13" s="40"/>
      <c r="B13" s="13" t="s">
        <v>116</v>
      </c>
      <c r="C13" s="64"/>
      <c r="D13" s="17">
        <v>258.614</v>
      </c>
      <c r="E13" s="34">
        <v>9</v>
      </c>
      <c r="F13" s="15">
        <v>2198.219</v>
      </c>
      <c r="G13" s="18">
        <v>8</v>
      </c>
      <c r="H13" s="16">
        <v>0</v>
      </c>
      <c r="I13" s="16">
        <v>0</v>
      </c>
      <c r="J13" s="1">
        <v>4</v>
      </c>
      <c r="K13" s="31"/>
      <c r="L13" s="1"/>
      <c r="M13" s="1"/>
      <c r="N13" s="1"/>
      <c r="O13" s="19"/>
      <c r="P13" s="1"/>
      <c r="Q13" s="1"/>
      <c r="R13" s="1"/>
      <c r="S13" s="1"/>
      <c r="T13" s="1"/>
      <c r="U13" s="1"/>
      <c r="V13" s="1"/>
      <c r="W13" s="1"/>
      <c r="X13" s="20"/>
      <c r="Y13" s="31"/>
      <c r="Z13" s="31"/>
      <c r="AA13" s="1"/>
      <c r="AB13" s="31"/>
      <c r="AC13" s="31"/>
      <c r="AD13" s="31"/>
      <c r="AE13" s="1"/>
      <c r="AF13" s="1"/>
      <c r="AG13" s="31"/>
      <c r="AH13" s="31"/>
      <c r="AI13" s="31"/>
      <c r="AJ13" s="31"/>
      <c r="AK13" s="31"/>
      <c r="AL13" s="57"/>
      <c r="AM13" s="57">
        <f t="shared" si="0"/>
        <v>0</v>
      </c>
      <c r="AN13" s="21" t="s">
        <v>95</v>
      </c>
      <c r="AO13" s="21" t="s">
        <v>78</v>
      </c>
      <c r="AP13" s="21">
        <f t="shared" si="1"/>
        <v>0</v>
      </c>
      <c r="AQ13" s="21"/>
      <c r="AR13" s="21"/>
      <c r="AS13" s="21"/>
      <c r="AT13" s="21"/>
      <c r="AU13" s="21"/>
      <c r="AV13" s="21"/>
      <c r="AW13" s="32" t="s">
        <v>108</v>
      </c>
      <c r="AX13" s="23" t="s">
        <v>109</v>
      </c>
      <c r="AY13" s="24"/>
      <c r="AZ13" s="37"/>
      <c r="BA13" s="21" t="s">
        <v>111</v>
      </c>
    </row>
    <row r="14" s="3" customFormat="1" ht="18" customHeight="1" spans="1:53">
      <c r="A14" s="40"/>
      <c r="B14" s="13" t="s">
        <v>117</v>
      </c>
      <c r="C14" s="64"/>
      <c r="D14" s="17">
        <v>226.375</v>
      </c>
      <c r="E14" s="34">
        <v>9</v>
      </c>
      <c r="F14" s="15">
        <v>1924.1875</v>
      </c>
      <c r="G14" s="18">
        <v>7</v>
      </c>
      <c r="H14" s="16">
        <v>0</v>
      </c>
      <c r="I14" s="16">
        <v>0</v>
      </c>
      <c r="J14" s="1">
        <v>4</v>
      </c>
      <c r="K14" s="31"/>
      <c r="L14" s="1"/>
      <c r="M14" s="1"/>
      <c r="N14" s="1"/>
      <c r="O14" s="19"/>
      <c r="P14" s="1"/>
      <c r="Q14" s="1"/>
      <c r="R14" s="1"/>
      <c r="S14" s="1"/>
      <c r="T14" s="1"/>
      <c r="U14" s="1"/>
      <c r="V14" s="1"/>
      <c r="W14" s="1"/>
      <c r="X14" s="20"/>
      <c r="Y14" s="31"/>
      <c r="Z14" s="31"/>
      <c r="AA14" s="1"/>
      <c r="AB14" s="31"/>
      <c r="AC14" s="31"/>
      <c r="AD14" s="31"/>
      <c r="AE14" s="1"/>
      <c r="AF14" s="1"/>
      <c r="AG14" s="31"/>
      <c r="AH14" s="31"/>
      <c r="AI14" s="31"/>
      <c r="AJ14" s="31"/>
      <c r="AK14" s="31"/>
      <c r="AL14" s="57"/>
      <c r="AM14" s="57">
        <f t="shared" si="0"/>
        <v>0</v>
      </c>
      <c r="AN14" s="21" t="s">
        <v>95</v>
      </c>
      <c r="AO14" s="21" t="s">
        <v>78</v>
      </c>
      <c r="AP14" s="21">
        <f t="shared" si="1"/>
        <v>0</v>
      </c>
      <c r="AQ14" s="21"/>
      <c r="AR14" s="21"/>
      <c r="AS14" s="21"/>
      <c r="AT14" s="21"/>
      <c r="AU14" s="21"/>
      <c r="AV14" s="21"/>
      <c r="AW14" s="32" t="s">
        <v>108</v>
      </c>
      <c r="AX14" s="23" t="s">
        <v>109</v>
      </c>
      <c r="AY14" s="24"/>
      <c r="AZ14" s="37"/>
      <c r="BA14" s="21" t="s">
        <v>111</v>
      </c>
    </row>
    <row r="15" s="3" customFormat="1" ht="18" customHeight="1" spans="1:53">
      <c r="A15" s="40"/>
      <c r="B15" s="13" t="s">
        <v>118</v>
      </c>
      <c r="C15" s="64"/>
      <c r="D15" s="17">
        <v>151.15</v>
      </c>
      <c r="E15" s="34">
        <v>5</v>
      </c>
      <c r="F15" s="15">
        <v>1284.775</v>
      </c>
      <c r="G15" s="18">
        <v>5</v>
      </c>
      <c r="H15" s="16">
        <v>0</v>
      </c>
      <c r="I15" s="16">
        <v>0</v>
      </c>
      <c r="J15" s="1">
        <v>3</v>
      </c>
      <c r="K15" s="31"/>
      <c r="L15" s="1"/>
      <c r="M15" s="1"/>
      <c r="N15" s="1"/>
      <c r="O15" s="19"/>
      <c r="P15" s="1"/>
      <c r="Q15" s="1"/>
      <c r="R15" s="1"/>
      <c r="S15" s="1"/>
      <c r="T15" s="1"/>
      <c r="U15" s="1"/>
      <c r="V15" s="1"/>
      <c r="W15" s="1"/>
      <c r="X15" s="20"/>
      <c r="Y15" s="31"/>
      <c r="Z15" s="31"/>
      <c r="AA15" s="1"/>
      <c r="AB15" s="31"/>
      <c r="AC15" s="31"/>
      <c r="AD15" s="31"/>
      <c r="AE15" s="1"/>
      <c r="AF15" s="1"/>
      <c r="AG15" s="31"/>
      <c r="AH15" s="31"/>
      <c r="AI15" s="31"/>
      <c r="AJ15" s="31"/>
      <c r="AK15" s="31"/>
      <c r="AL15" s="57"/>
      <c r="AM15" s="57">
        <f t="shared" si="0"/>
        <v>0</v>
      </c>
      <c r="AN15" s="21" t="s">
        <v>95</v>
      </c>
      <c r="AO15" s="21" t="s">
        <v>78</v>
      </c>
      <c r="AP15" s="21">
        <f t="shared" si="1"/>
        <v>0</v>
      </c>
      <c r="AQ15" s="21"/>
      <c r="AR15" s="21"/>
      <c r="AS15" s="21"/>
      <c r="AT15" s="21"/>
      <c r="AU15" s="21"/>
      <c r="AV15" s="21"/>
      <c r="AW15" s="32" t="s">
        <v>108</v>
      </c>
      <c r="AX15" s="23" t="s">
        <v>109</v>
      </c>
      <c r="AY15" s="24"/>
      <c r="AZ15" s="37"/>
      <c r="BA15" s="21" t="s">
        <v>111</v>
      </c>
    </row>
    <row r="16" s="3" customFormat="1" ht="18" customHeight="1" spans="1:53">
      <c r="A16" s="40"/>
      <c r="B16" s="13" t="s">
        <v>119</v>
      </c>
      <c r="C16" s="64"/>
      <c r="D16" s="17">
        <v>151.15</v>
      </c>
      <c r="E16" s="34">
        <v>5</v>
      </c>
      <c r="F16" s="15">
        <v>1284.775</v>
      </c>
      <c r="G16" s="18">
        <v>5</v>
      </c>
      <c r="H16" s="16">
        <v>0</v>
      </c>
      <c r="I16" s="16">
        <v>0</v>
      </c>
      <c r="J16" s="1">
        <v>3</v>
      </c>
      <c r="K16" s="31"/>
      <c r="L16" s="1"/>
      <c r="M16" s="1"/>
      <c r="N16" s="1"/>
      <c r="O16" s="19"/>
      <c r="P16" s="1"/>
      <c r="Q16" s="1"/>
      <c r="R16" s="1"/>
      <c r="S16" s="1"/>
      <c r="T16" s="1"/>
      <c r="U16" s="1"/>
      <c r="V16" s="1"/>
      <c r="W16" s="1"/>
      <c r="X16" s="20"/>
      <c r="Y16" s="31"/>
      <c r="Z16" s="31"/>
      <c r="AA16" s="1"/>
      <c r="AB16" s="31"/>
      <c r="AC16" s="31"/>
      <c r="AD16" s="31"/>
      <c r="AE16" s="1"/>
      <c r="AF16" s="1"/>
      <c r="AG16" s="31"/>
      <c r="AH16" s="31"/>
      <c r="AI16" s="31"/>
      <c r="AJ16" s="31"/>
      <c r="AK16" s="31"/>
      <c r="AL16" s="57"/>
      <c r="AM16" s="57">
        <f t="shared" si="0"/>
        <v>0</v>
      </c>
      <c r="AN16" s="21" t="s">
        <v>95</v>
      </c>
      <c r="AO16" s="21" t="s">
        <v>78</v>
      </c>
      <c r="AP16" s="21">
        <f t="shared" si="1"/>
        <v>0</v>
      </c>
      <c r="AQ16" s="21"/>
      <c r="AR16" s="21"/>
      <c r="AS16" s="21"/>
      <c r="AT16" s="21"/>
      <c r="AU16" s="21"/>
      <c r="AV16" s="21"/>
      <c r="AW16" s="32" t="s">
        <v>108</v>
      </c>
      <c r="AX16" s="23" t="s">
        <v>109</v>
      </c>
      <c r="AY16" s="24"/>
      <c r="AZ16" s="37"/>
      <c r="BA16" s="21" t="s">
        <v>111</v>
      </c>
    </row>
    <row r="17" s="3" customFormat="1" ht="18" customHeight="1" spans="1:53">
      <c r="A17" s="40"/>
      <c r="B17" s="13" t="s">
        <v>120</v>
      </c>
      <c r="C17" s="64"/>
      <c r="D17" s="17">
        <v>151.15</v>
      </c>
      <c r="E17" s="34">
        <v>5</v>
      </c>
      <c r="F17" s="15">
        <v>1284.775</v>
      </c>
      <c r="G17" s="18">
        <v>5</v>
      </c>
      <c r="H17" s="16">
        <v>0</v>
      </c>
      <c r="I17" s="16">
        <v>0</v>
      </c>
      <c r="J17" s="1">
        <v>3</v>
      </c>
      <c r="K17" s="31"/>
      <c r="L17" s="1"/>
      <c r="M17" s="1"/>
      <c r="N17" s="1"/>
      <c r="O17" s="19"/>
      <c r="P17" s="1"/>
      <c r="Q17" s="1"/>
      <c r="R17" s="1"/>
      <c r="S17" s="1"/>
      <c r="T17" s="1"/>
      <c r="U17" s="1"/>
      <c r="V17" s="1"/>
      <c r="W17" s="1"/>
      <c r="X17" s="20"/>
      <c r="Y17" s="31"/>
      <c r="Z17" s="31"/>
      <c r="AA17" s="1"/>
      <c r="AB17" s="31"/>
      <c r="AC17" s="31"/>
      <c r="AD17" s="31"/>
      <c r="AE17" s="1"/>
      <c r="AF17" s="1"/>
      <c r="AG17" s="31"/>
      <c r="AH17" s="31"/>
      <c r="AI17" s="31"/>
      <c r="AJ17" s="31"/>
      <c r="AK17" s="31"/>
      <c r="AL17" s="57"/>
      <c r="AM17" s="57">
        <f t="shared" si="0"/>
        <v>0</v>
      </c>
      <c r="AN17" s="21" t="s">
        <v>95</v>
      </c>
      <c r="AO17" s="21" t="s">
        <v>78</v>
      </c>
      <c r="AP17" s="21">
        <f t="shared" si="1"/>
        <v>0</v>
      </c>
      <c r="AQ17" s="21"/>
      <c r="AR17" s="21"/>
      <c r="AS17" s="21"/>
      <c r="AT17" s="21"/>
      <c r="AU17" s="21"/>
      <c r="AV17" s="21"/>
      <c r="AW17" s="32" t="s">
        <v>108</v>
      </c>
      <c r="AX17" s="23" t="s">
        <v>109</v>
      </c>
      <c r="AY17" s="24"/>
      <c r="AZ17" s="37"/>
      <c r="BA17" s="21" t="s">
        <v>111</v>
      </c>
    </row>
    <row r="18" s="3" customFormat="1" ht="18" customHeight="1" spans="1:53">
      <c r="A18" s="40"/>
      <c r="B18" s="13" t="s">
        <v>121</v>
      </c>
      <c r="C18" s="64"/>
      <c r="D18" s="17">
        <v>121.15</v>
      </c>
      <c r="E18" s="16">
        <v>4</v>
      </c>
      <c r="F18" s="17">
        <v>1029.775</v>
      </c>
      <c r="G18" s="18">
        <v>4</v>
      </c>
      <c r="H18" s="16">
        <v>0</v>
      </c>
      <c r="I18" s="16">
        <v>0</v>
      </c>
      <c r="J18" s="1">
        <v>3</v>
      </c>
      <c r="K18" s="31"/>
      <c r="L18" s="1"/>
      <c r="M18" s="1"/>
      <c r="N18" s="1"/>
      <c r="O18" s="19"/>
      <c r="P18" s="1"/>
      <c r="Q18" s="1"/>
      <c r="R18" s="1"/>
      <c r="S18" s="1"/>
      <c r="T18" s="1"/>
      <c r="U18" s="1"/>
      <c r="V18" s="1"/>
      <c r="W18" s="1"/>
      <c r="X18" s="20"/>
      <c r="Y18" s="31"/>
      <c r="Z18" s="31"/>
      <c r="AA18" s="1"/>
      <c r="AB18" s="31"/>
      <c r="AC18" s="31"/>
      <c r="AD18" s="31"/>
      <c r="AE18" s="1"/>
      <c r="AF18" s="1"/>
      <c r="AG18" s="31"/>
      <c r="AH18" s="31"/>
      <c r="AI18" s="31"/>
      <c r="AJ18" s="31"/>
      <c r="AK18" s="31"/>
      <c r="AL18" s="57"/>
      <c r="AM18" s="57">
        <f t="shared" si="0"/>
        <v>0</v>
      </c>
      <c r="AN18" s="21" t="s">
        <v>95</v>
      </c>
      <c r="AO18" s="21" t="s">
        <v>78</v>
      </c>
      <c r="AP18" s="21">
        <f t="shared" si="1"/>
        <v>0</v>
      </c>
      <c r="AQ18" s="21"/>
      <c r="AR18" s="21"/>
      <c r="AS18" s="21"/>
      <c r="AT18" s="21"/>
      <c r="AU18" s="21"/>
      <c r="AV18" s="21"/>
      <c r="AW18" s="32" t="s">
        <v>108</v>
      </c>
      <c r="AX18" s="23" t="s">
        <v>109</v>
      </c>
      <c r="AY18" s="24"/>
      <c r="AZ18" s="38"/>
      <c r="BA18" s="21" t="s">
        <v>111</v>
      </c>
    </row>
    <row r="19" s="3" customFormat="1" ht="18" customHeight="1" spans="1:53">
      <c r="A19" s="12">
        <v>5</v>
      </c>
      <c r="B19" s="24" t="s">
        <v>122</v>
      </c>
      <c r="C19" s="33" t="s">
        <v>123</v>
      </c>
      <c r="D19" s="17">
        <v>1076.137</v>
      </c>
      <c r="E19" s="34">
        <f>4+4+4+3+3+3+3+4+1</f>
        <v>29</v>
      </c>
      <c r="F19" s="15">
        <f>6704.505+6803.81+8400+7582.6305</f>
        <v>29490.9455</v>
      </c>
      <c r="G19" s="18">
        <v>48</v>
      </c>
      <c r="H19" s="16">
        <v>0</v>
      </c>
      <c r="I19" s="16">
        <v>0</v>
      </c>
      <c r="J19" s="1">
        <v>9</v>
      </c>
      <c r="K19" s="1"/>
      <c r="L19" s="18"/>
      <c r="M19" s="1"/>
      <c r="N19" s="1"/>
      <c r="O19" s="19"/>
      <c r="P19" s="1"/>
      <c r="Q19" s="1"/>
      <c r="R19" s="1"/>
      <c r="S19" s="1"/>
      <c r="T19" s="1"/>
      <c r="U19" s="1"/>
      <c r="V19" s="1"/>
      <c r="W19" s="1"/>
      <c r="X19" s="20"/>
      <c r="Y19" s="1"/>
      <c r="Z19" s="1"/>
      <c r="AA19" s="1"/>
      <c r="AB19" s="1"/>
      <c r="AC19" s="1"/>
      <c r="AD19" s="1"/>
      <c r="AE19" s="1"/>
      <c r="AF19" s="1"/>
      <c r="AG19" s="1"/>
      <c r="AH19" s="1"/>
      <c r="AI19" s="1"/>
      <c r="AJ19" s="1"/>
      <c r="AK19" s="1"/>
      <c r="AL19" s="57"/>
      <c r="AM19" s="57">
        <f t="shared" si="0"/>
        <v>0</v>
      </c>
      <c r="AN19" s="21" t="s">
        <v>95</v>
      </c>
      <c r="AO19" s="21" t="s">
        <v>124</v>
      </c>
      <c r="AP19" s="21"/>
      <c r="AQ19" s="21"/>
      <c r="AR19" s="21"/>
      <c r="AS19" s="21">
        <f t="shared" ref="AS19:AS31" si="2">AM19</f>
        <v>0</v>
      </c>
      <c r="AT19" s="21"/>
      <c r="AU19" s="21"/>
      <c r="AV19" s="21"/>
      <c r="AW19" s="22">
        <v>2006</v>
      </c>
      <c r="AX19" s="24">
        <v>2018</v>
      </c>
      <c r="AY19" s="24"/>
      <c r="AZ19" s="35" t="s">
        <v>110</v>
      </c>
      <c r="BA19" s="21" t="s">
        <v>111</v>
      </c>
    </row>
    <row r="20" s="3" customFormat="1" ht="18" customHeight="1" spans="1:53">
      <c r="A20" s="12"/>
      <c r="B20" s="12" t="s">
        <v>125</v>
      </c>
      <c r="C20" s="33"/>
      <c r="D20" s="17">
        <v>960.19</v>
      </c>
      <c r="E20" s="34">
        <v>33</v>
      </c>
      <c r="F20" s="15">
        <f>7048.27+450+172.65</f>
        <v>7670.92</v>
      </c>
      <c r="G20" s="18">
        <v>42</v>
      </c>
      <c r="H20" s="16">
        <v>0</v>
      </c>
      <c r="I20" s="16">
        <v>0</v>
      </c>
      <c r="J20" s="1">
        <v>15</v>
      </c>
      <c r="K20" s="1"/>
      <c r="L20" s="18"/>
      <c r="M20" s="1"/>
      <c r="N20" s="1"/>
      <c r="O20" s="19"/>
      <c r="P20" s="1"/>
      <c r="Q20" s="1"/>
      <c r="R20" s="1"/>
      <c r="S20" s="1"/>
      <c r="T20" s="1"/>
      <c r="U20" s="1"/>
      <c r="V20" s="1"/>
      <c r="W20" s="1"/>
      <c r="X20" s="20"/>
      <c r="Y20" s="1"/>
      <c r="Z20" s="1"/>
      <c r="AA20" s="1"/>
      <c r="AB20" s="1"/>
      <c r="AC20" s="1"/>
      <c r="AD20" s="1"/>
      <c r="AE20" s="1"/>
      <c r="AF20" s="1"/>
      <c r="AG20" s="1"/>
      <c r="AH20" s="1"/>
      <c r="AI20" s="1"/>
      <c r="AJ20" s="1"/>
      <c r="AK20" s="1"/>
      <c r="AL20" s="57"/>
      <c r="AM20" s="57">
        <f t="shared" si="0"/>
        <v>0</v>
      </c>
      <c r="AN20" s="21" t="s">
        <v>95</v>
      </c>
      <c r="AO20" s="21" t="s">
        <v>124</v>
      </c>
      <c r="AP20" s="21"/>
      <c r="AQ20" s="21"/>
      <c r="AR20" s="21"/>
      <c r="AS20" s="21">
        <f t="shared" si="2"/>
        <v>0</v>
      </c>
      <c r="AT20" s="21"/>
      <c r="AU20" s="21"/>
      <c r="AV20" s="21"/>
      <c r="AW20" s="22">
        <v>2006</v>
      </c>
      <c r="AX20" s="24">
        <v>2018</v>
      </c>
      <c r="AY20" s="24"/>
      <c r="AZ20" s="37"/>
      <c r="BA20" s="21" t="s">
        <v>111</v>
      </c>
    </row>
    <row r="21" s="3" customFormat="1" ht="18" customHeight="1" spans="1:53">
      <c r="A21" s="12"/>
      <c r="B21" s="12" t="s">
        <v>126</v>
      </c>
      <c r="C21" s="33"/>
      <c r="D21" s="17">
        <v>998.26</v>
      </c>
      <c r="E21" s="34">
        <v>40</v>
      </c>
      <c r="F21" s="15">
        <f>8383.48+652.5+329.96</f>
        <v>9365.94</v>
      </c>
      <c r="G21" s="18">
        <v>72</v>
      </c>
      <c r="H21" s="16">
        <v>0</v>
      </c>
      <c r="I21" s="16">
        <v>0</v>
      </c>
      <c r="J21" s="1">
        <v>13</v>
      </c>
      <c r="K21" s="1"/>
      <c r="L21" s="18"/>
      <c r="M21" s="1"/>
      <c r="N21" s="1"/>
      <c r="O21" s="19"/>
      <c r="P21" s="1"/>
      <c r="Q21" s="1"/>
      <c r="R21" s="1"/>
      <c r="S21" s="1"/>
      <c r="T21" s="1"/>
      <c r="U21" s="1"/>
      <c r="V21" s="1"/>
      <c r="W21" s="1"/>
      <c r="X21" s="20"/>
      <c r="Y21" s="1"/>
      <c r="Z21" s="1"/>
      <c r="AA21" s="1"/>
      <c r="AB21" s="1"/>
      <c r="AC21" s="1"/>
      <c r="AD21" s="1"/>
      <c r="AE21" s="1"/>
      <c r="AF21" s="1"/>
      <c r="AG21" s="1"/>
      <c r="AH21" s="1"/>
      <c r="AI21" s="1"/>
      <c r="AJ21" s="1"/>
      <c r="AK21" s="1"/>
      <c r="AL21" s="57"/>
      <c r="AM21" s="57">
        <f t="shared" si="0"/>
        <v>0</v>
      </c>
      <c r="AN21" s="21" t="s">
        <v>95</v>
      </c>
      <c r="AO21" s="21" t="s">
        <v>124</v>
      </c>
      <c r="AP21" s="21"/>
      <c r="AQ21" s="21"/>
      <c r="AR21" s="21"/>
      <c r="AS21" s="21">
        <f t="shared" si="2"/>
        <v>0</v>
      </c>
      <c r="AT21" s="21"/>
      <c r="AU21" s="21"/>
      <c r="AV21" s="21"/>
      <c r="AW21" s="22">
        <v>2006</v>
      </c>
      <c r="AX21" s="24">
        <v>2018</v>
      </c>
      <c r="AY21" s="24"/>
      <c r="AZ21" s="37"/>
      <c r="BA21" s="21" t="s">
        <v>111</v>
      </c>
    </row>
    <row r="22" s="3" customFormat="1" ht="18" customHeight="1" spans="1:53">
      <c r="A22" s="12"/>
      <c r="B22" s="12" t="s">
        <v>127</v>
      </c>
      <c r="C22" s="33"/>
      <c r="D22" s="17">
        <v>200.38</v>
      </c>
      <c r="E22" s="34">
        <v>4</v>
      </c>
      <c r="F22" s="15">
        <f>829.9+600+376.79</f>
        <v>1806.69</v>
      </c>
      <c r="G22" s="18">
        <v>6</v>
      </c>
      <c r="H22" s="16">
        <v>0</v>
      </c>
      <c r="I22" s="16">
        <v>0</v>
      </c>
      <c r="J22" s="1">
        <v>2</v>
      </c>
      <c r="K22" s="1"/>
      <c r="L22" s="36"/>
      <c r="M22" s="1"/>
      <c r="N22" s="1"/>
      <c r="O22" s="19"/>
      <c r="P22" s="1"/>
      <c r="Q22" s="1"/>
      <c r="R22" s="1"/>
      <c r="S22" s="1"/>
      <c r="T22" s="1"/>
      <c r="U22" s="1"/>
      <c r="V22" s="1"/>
      <c r="W22" s="1"/>
      <c r="X22" s="20"/>
      <c r="Y22" s="1"/>
      <c r="Z22" s="1"/>
      <c r="AA22" s="1"/>
      <c r="AB22" s="1"/>
      <c r="AC22" s="1"/>
      <c r="AD22" s="1"/>
      <c r="AE22" s="1"/>
      <c r="AF22" s="1"/>
      <c r="AG22" s="1"/>
      <c r="AH22" s="1"/>
      <c r="AI22" s="1"/>
      <c r="AJ22" s="1"/>
      <c r="AK22" s="1"/>
      <c r="AL22" s="57"/>
      <c r="AM22" s="57">
        <f t="shared" si="0"/>
        <v>0</v>
      </c>
      <c r="AN22" s="21" t="s">
        <v>95</v>
      </c>
      <c r="AO22" s="21" t="s">
        <v>124</v>
      </c>
      <c r="AP22" s="21"/>
      <c r="AQ22" s="21"/>
      <c r="AR22" s="21"/>
      <c r="AS22" s="21">
        <f t="shared" si="2"/>
        <v>0</v>
      </c>
      <c r="AT22" s="21"/>
      <c r="AU22" s="21"/>
      <c r="AV22" s="21"/>
      <c r="AW22" s="22">
        <v>2006</v>
      </c>
      <c r="AX22" s="24">
        <v>2018</v>
      </c>
      <c r="AY22" s="24"/>
      <c r="AZ22" s="37"/>
      <c r="BA22" s="21" t="s">
        <v>111</v>
      </c>
    </row>
    <row r="23" s="3" customFormat="1" ht="18" customHeight="1" spans="1:53">
      <c r="A23" s="12"/>
      <c r="B23" s="12" t="s">
        <v>128</v>
      </c>
      <c r="C23" s="33"/>
      <c r="D23" s="17">
        <v>588.763</v>
      </c>
      <c r="E23" s="34">
        <v>8</v>
      </c>
      <c r="F23" s="15">
        <f>1629.9+450+1176.76</f>
        <v>3256.66</v>
      </c>
      <c r="G23" s="18">
        <v>12</v>
      </c>
      <c r="H23" s="16">
        <v>0</v>
      </c>
      <c r="I23" s="16">
        <v>0</v>
      </c>
      <c r="J23" s="1">
        <v>3</v>
      </c>
      <c r="K23" s="1"/>
      <c r="L23" s="36"/>
      <c r="M23" s="1"/>
      <c r="N23" s="1"/>
      <c r="O23" s="19"/>
      <c r="P23" s="1"/>
      <c r="Q23" s="1"/>
      <c r="R23" s="1"/>
      <c r="S23" s="1"/>
      <c r="T23" s="1"/>
      <c r="U23" s="1"/>
      <c r="V23" s="1"/>
      <c r="W23" s="1"/>
      <c r="X23" s="20"/>
      <c r="Y23" s="1"/>
      <c r="Z23" s="1"/>
      <c r="AA23" s="1"/>
      <c r="AB23" s="1"/>
      <c r="AC23" s="1"/>
      <c r="AD23" s="1"/>
      <c r="AE23" s="1"/>
      <c r="AF23" s="1"/>
      <c r="AG23" s="1"/>
      <c r="AH23" s="1"/>
      <c r="AI23" s="1"/>
      <c r="AJ23" s="1"/>
      <c r="AK23" s="1"/>
      <c r="AL23" s="57"/>
      <c r="AM23" s="57">
        <f t="shared" si="0"/>
        <v>0</v>
      </c>
      <c r="AN23" s="21" t="s">
        <v>95</v>
      </c>
      <c r="AO23" s="21" t="s">
        <v>124</v>
      </c>
      <c r="AP23" s="21"/>
      <c r="AQ23" s="21"/>
      <c r="AR23" s="21"/>
      <c r="AS23" s="21">
        <f t="shared" si="2"/>
        <v>0</v>
      </c>
      <c r="AT23" s="21"/>
      <c r="AU23" s="21"/>
      <c r="AV23" s="21"/>
      <c r="AW23" s="22">
        <v>2006</v>
      </c>
      <c r="AX23" s="24">
        <v>2018</v>
      </c>
      <c r="AY23" s="24"/>
      <c r="AZ23" s="38"/>
      <c r="BA23" s="21" t="s">
        <v>111</v>
      </c>
    </row>
    <row r="24" s="3" customFormat="1" ht="18" customHeight="1" spans="1:53">
      <c r="A24" s="12">
        <v>6</v>
      </c>
      <c r="B24" s="24" t="s">
        <v>129</v>
      </c>
      <c r="C24" s="33" t="s">
        <v>123</v>
      </c>
      <c r="D24" s="17">
        <f>(2*30)+(24+24.721+24)+(5*28.3)+(40+61+40)+24+(4*30)+(3*30)+(4*30)+(3*30)</f>
        <v>859.221</v>
      </c>
      <c r="E24" s="34">
        <v>28</v>
      </c>
      <c r="F24" s="15">
        <v>23113.688</v>
      </c>
      <c r="G24" s="18">
        <v>54</v>
      </c>
      <c r="H24" s="16">
        <v>0</v>
      </c>
      <c r="I24" s="16">
        <v>0</v>
      </c>
      <c r="J24" s="1">
        <v>10</v>
      </c>
      <c r="K24" s="1"/>
      <c r="L24" s="11"/>
      <c r="M24" s="1"/>
      <c r="N24" s="1"/>
      <c r="O24" s="19"/>
      <c r="P24" s="1"/>
      <c r="Q24" s="1"/>
      <c r="R24" s="1"/>
      <c r="S24" s="1"/>
      <c r="T24" s="1"/>
      <c r="U24" s="1"/>
      <c r="V24" s="1"/>
      <c r="W24" s="1"/>
      <c r="X24" s="20"/>
      <c r="Y24" s="1"/>
      <c r="Z24" s="1"/>
      <c r="AA24" s="1"/>
      <c r="AB24" s="1"/>
      <c r="AC24" s="1"/>
      <c r="AD24" s="1"/>
      <c r="AE24" s="1"/>
      <c r="AF24" s="1"/>
      <c r="AG24" s="1"/>
      <c r="AH24" s="1"/>
      <c r="AI24" s="1"/>
      <c r="AJ24" s="1"/>
      <c r="AK24" s="1"/>
      <c r="AL24" s="57"/>
      <c r="AM24" s="57">
        <f t="shared" si="0"/>
        <v>0</v>
      </c>
      <c r="AN24" s="21" t="s">
        <v>95</v>
      </c>
      <c r="AO24" s="21" t="s">
        <v>124</v>
      </c>
      <c r="AP24" s="21"/>
      <c r="AQ24" s="21"/>
      <c r="AR24" s="21"/>
      <c r="AS24" s="21">
        <f t="shared" si="2"/>
        <v>0</v>
      </c>
      <c r="AT24" s="21"/>
      <c r="AU24" s="21"/>
      <c r="AV24" s="21"/>
      <c r="AW24" s="22">
        <v>2006</v>
      </c>
      <c r="AX24" s="24">
        <v>2018</v>
      </c>
      <c r="AY24" s="24"/>
      <c r="AZ24" s="35" t="s">
        <v>110</v>
      </c>
      <c r="BA24" s="21" t="s">
        <v>111</v>
      </c>
    </row>
    <row r="25" s="3" customFormat="1" ht="18" customHeight="1" spans="1:53">
      <c r="A25" s="12"/>
      <c r="B25" s="12" t="s">
        <v>130</v>
      </c>
      <c r="C25" s="33"/>
      <c r="D25" s="17">
        <f>(4*30)+(3*30)+30+(36+50+36)+(3*30)+(4*30)+(3*30)+(3*30)+(3*28)+(3*30)</f>
        <v>926</v>
      </c>
      <c r="E25" s="34">
        <v>30</v>
      </c>
      <c r="F25" s="15">
        <v>25495.046</v>
      </c>
      <c r="G25" s="18">
        <v>60</v>
      </c>
      <c r="H25" s="16">
        <v>0</v>
      </c>
      <c r="I25" s="16">
        <v>0</v>
      </c>
      <c r="J25" s="1">
        <v>11</v>
      </c>
      <c r="K25" s="1"/>
      <c r="L25" s="11"/>
      <c r="M25" s="1"/>
      <c r="N25" s="1"/>
      <c r="O25" s="19"/>
      <c r="P25" s="1"/>
      <c r="Q25" s="1"/>
      <c r="R25" s="1"/>
      <c r="S25" s="1"/>
      <c r="T25" s="1"/>
      <c r="U25" s="1"/>
      <c r="V25" s="1"/>
      <c r="W25" s="1"/>
      <c r="X25" s="20"/>
      <c r="Y25" s="1"/>
      <c r="Z25" s="1"/>
      <c r="AA25" s="1"/>
      <c r="AB25" s="1"/>
      <c r="AC25" s="1"/>
      <c r="AD25" s="1"/>
      <c r="AE25" s="1"/>
      <c r="AF25" s="1"/>
      <c r="AG25" s="1"/>
      <c r="AH25" s="1"/>
      <c r="AI25" s="1"/>
      <c r="AJ25" s="1"/>
      <c r="AK25" s="1"/>
      <c r="AL25" s="57"/>
      <c r="AM25" s="57">
        <f t="shared" si="0"/>
        <v>0</v>
      </c>
      <c r="AN25" s="21" t="s">
        <v>95</v>
      </c>
      <c r="AO25" s="21" t="s">
        <v>124</v>
      </c>
      <c r="AP25" s="21"/>
      <c r="AQ25" s="21"/>
      <c r="AR25" s="21"/>
      <c r="AS25" s="21">
        <f t="shared" si="2"/>
        <v>0</v>
      </c>
      <c r="AT25" s="21"/>
      <c r="AU25" s="21"/>
      <c r="AV25" s="21"/>
      <c r="AW25" s="22">
        <v>2006</v>
      </c>
      <c r="AX25" s="24">
        <v>2018</v>
      </c>
      <c r="AY25" s="24"/>
      <c r="AZ25" s="37"/>
      <c r="BA25" s="21" t="s">
        <v>111</v>
      </c>
    </row>
    <row r="26" s="3" customFormat="1" ht="18" customHeight="1" spans="1:53">
      <c r="A26" s="12"/>
      <c r="B26" s="12" t="s">
        <v>131</v>
      </c>
      <c r="C26" s="33"/>
      <c r="D26" s="17">
        <f>(3*20)+30+(3*20)+(20+2*20.8+20)</f>
        <v>231.6</v>
      </c>
      <c r="E26" s="34">
        <v>10</v>
      </c>
      <c r="F26" s="15">
        <v>2084.4</v>
      </c>
      <c r="G26" s="18">
        <v>18</v>
      </c>
      <c r="H26" s="16">
        <v>0</v>
      </c>
      <c r="I26" s="16">
        <v>0</v>
      </c>
      <c r="J26" s="1">
        <v>3</v>
      </c>
      <c r="K26" s="1"/>
      <c r="L26" s="11"/>
      <c r="M26" s="1"/>
      <c r="N26" s="1"/>
      <c r="O26" s="19"/>
      <c r="P26" s="1"/>
      <c r="Q26" s="1"/>
      <c r="R26" s="1"/>
      <c r="S26" s="1"/>
      <c r="T26" s="1"/>
      <c r="U26" s="1"/>
      <c r="V26" s="1"/>
      <c r="W26" s="1"/>
      <c r="X26" s="20"/>
      <c r="Y26" s="1"/>
      <c r="Z26" s="1"/>
      <c r="AA26" s="1"/>
      <c r="AB26" s="1"/>
      <c r="AC26" s="1"/>
      <c r="AD26" s="1"/>
      <c r="AE26" s="1"/>
      <c r="AF26" s="1"/>
      <c r="AG26" s="1"/>
      <c r="AH26" s="1"/>
      <c r="AI26" s="1"/>
      <c r="AJ26" s="1"/>
      <c r="AK26" s="1"/>
      <c r="AL26" s="57"/>
      <c r="AM26" s="57">
        <f t="shared" si="0"/>
        <v>0</v>
      </c>
      <c r="AN26" s="21" t="s">
        <v>95</v>
      </c>
      <c r="AO26" s="21" t="s">
        <v>124</v>
      </c>
      <c r="AP26" s="21"/>
      <c r="AQ26" s="21"/>
      <c r="AR26" s="21"/>
      <c r="AS26" s="21">
        <f t="shared" si="2"/>
        <v>0</v>
      </c>
      <c r="AT26" s="21"/>
      <c r="AU26" s="21"/>
      <c r="AV26" s="21"/>
      <c r="AW26" s="22">
        <v>2006</v>
      </c>
      <c r="AX26" s="24">
        <v>2018</v>
      </c>
      <c r="AY26" s="24"/>
      <c r="AZ26" s="37"/>
      <c r="BA26" s="21" t="s">
        <v>111</v>
      </c>
    </row>
    <row r="27" s="3" customFormat="1" ht="18" customHeight="1" spans="1:53">
      <c r="A27" s="12"/>
      <c r="B27" s="12" t="s">
        <v>132</v>
      </c>
      <c r="C27" s="33"/>
      <c r="D27" s="17">
        <f>(3*21)+(4*21)+(20.75+2*23.5+20.75)+(21.3+2*22.908)+(3*21)+(3*21)+(17+20+17)+(19.2+20+19.2)+(3*21)+(3*21)+(3*21)+(21.6+3*20)</f>
        <v>811.616</v>
      </c>
      <c r="E27" s="34">
        <v>39</v>
      </c>
      <c r="F27" s="15">
        <v>8116.16</v>
      </c>
      <c r="G27" s="18">
        <v>54</v>
      </c>
      <c r="H27" s="16">
        <v>0</v>
      </c>
      <c r="I27" s="16">
        <v>0</v>
      </c>
      <c r="J27" s="1">
        <v>13</v>
      </c>
      <c r="K27" s="1"/>
      <c r="L27" s="11"/>
      <c r="M27" s="1"/>
      <c r="N27" s="1"/>
      <c r="O27" s="19"/>
      <c r="P27" s="1"/>
      <c r="Q27" s="1"/>
      <c r="R27" s="1"/>
      <c r="S27" s="1"/>
      <c r="T27" s="1"/>
      <c r="U27" s="1"/>
      <c r="V27" s="1"/>
      <c r="W27" s="1"/>
      <c r="X27" s="20"/>
      <c r="Y27" s="1"/>
      <c r="Z27" s="1"/>
      <c r="AA27" s="1"/>
      <c r="AB27" s="1"/>
      <c r="AC27" s="1"/>
      <c r="AD27" s="1"/>
      <c r="AE27" s="1"/>
      <c r="AF27" s="1"/>
      <c r="AG27" s="1"/>
      <c r="AH27" s="1"/>
      <c r="AI27" s="1"/>
      <c r="AJ27" s="1"/>
      <c r="AK27" s="1"/>
      <c r="AL27" s="57"/>
      <c r="AM27" s="57">
        <f t="shared" si="0"/>
        <v>0</v>
      </c>
      <c r="AN27" s="21" t="s">
        <v>95</v>
      </c>
      <c r="AO27" s="21" t="s">
        <v>124</v>
      </c>
      <c r="AP27" s="21"/>
      <c r="AQ27" s="21"/>
      <c r="AR27" s="21"/>
      <c r="AS27" s="21">
        <f t="shared" si="2"/>
        <v>0</v>
      </c>
      <c r="AT27" s="21"/>
      <c r="AU27" s="21"/>
      <c r="AV27" s="21"/>
      <c r="AW27" s="22">
        <v>2006</v>
      </c>
      <c r="AX27" s="24">
        <v>2018</v>
      </c>
      <c r="AY27" s="24"/>
      <c r="AZ27" s="37"/>
      <c r="BA27" s="21" t="s">
        <v>111</v>
      </c>
    </row>
    <row r="28" s="3" customFormat="1" ht="18" customHeight="1" spans="1:53">
      <c r="A28" s="12"/>
      <c r="B28" s="12" t="s">
        <v>133</v>
      </c>
      <c r="C28" s="33"/>
      <c r="D28" s="17">
        <f>(21+21.57+21)+(3*21)+(3*21)+(21+21.57+21)</f>
        <v>253.14</v>
      </c>
      <c r="E28" s="34">
        <v>12</v>
      </c>
      <c r="F28" s="15">
        <v>2278.26</v>
      </c>
      <c r="G28" s="18">
        <v>20</v>
      </c>
      <c r="H28" s="16">
        <v>0</v>
      </c>
      <c r="I28" s="16">
        <v>0</v>
      </c>
      <c r="J28" s="1">
        <v>5</v>
      </c>
      <c r="K28" s="1"/>
      <c r="L28" s="11"/>
      <c r="M28" s="1"/>
      <c r="N28" s="1"/>
      <c r="O28" s="19"/>
      <c r="P28" s="1"/>
      <c r="Q28" s="1"/>
      <c r="R28" s="1"/>
      <c r="S28" s="1"/>
      <c r="T28" s="1"/>
      <c r="U28" s="1"/>
      <c r="V28" s="1"/>
      <c r="W28" s="1"/>
      <c r="X28" s="20"/>
      <c r="Y28" s="1"/>
      <c r="Z28" s="1"/>
      <c r="AA28" s="1"/>
      <c r="AB28" s="1"/>
      <c r="AC28" s="1"/>
      <c r="AD28" s="1"/>
      <c r="AE28" s="1"/>
      <c r="AF28" s="1"/>
      <c r="AG28" s="1"/>
      <c r="AH28" s="1"/>
      <c r="AI28" s="1"/>
      <c r="AJ28" s="1"/>
      <c r="AK28" s="1"/>
      <c r="AL28" s="57"/>
      <c r="AM28" s="57">
        <f t="shared" si="0"/>
        <v>0</v>
      </c>
      <c r="AN28" s="21" t="s">
        <v>95</v>
      </c>
      <c r="AO28" s="21" t="s">
        <v>124</v>
      </c>
      <c r="AP28" s="21"/>
      <c r="AQ28" s="21"/>
      <c r="AR28" s="21"/>
      <c r="AS28" s="21">
        <f t="shared" si="2"/>
        <v>0</v>
      </c>
      <c r="AT28" s="21"/>
      <c r="AU28" s="21"/>
      <c r="AV28" s="21"/>
      <c r="AW28" s="22">
        <v>2006</v>
      </c>
      <c r="AX28" s="24">
        <v>2018</v>
      </c>
      <c r="AY28" s="24"/>
      <c r="AZ28" s="37"/>
      <c r="BA28" s="21" t="s">
        <v>111</v>
      </c>
    </row>
    <row r="29" s="3" customFormat="1" ht="18" customHeight="1" spans="1:53">
      <c r="A29" s="12"/>
      <c r="B29" s="12" t="s">
        <v>134</v>
      </c>
      <c r="C29" s="33"/>
      <c r="D29" s="17">
        <f>(3*21)+(19+22+19)+(24+2*20)+(3*20)+(18.5+20.05+21.8)+(3*22)+(3*22)+(22.5+23.406+22.5)</f>
        <v>507.756</v>
      </c>
      <c r="E29" s="34">
        <v>24</v>
      </c>
      <c r="F29" s="15">
        <v>4569.804</v>
      </c>
      <c r="G29" s="18">
        <v>38</v>
      </c>
      <c r="H29" s="16">
        <v>0</v>
      </c>
      <c r="I29" s="16">
        <v>0</v>
      </c>
      <c r="J29" s="1">
        <v>9</v>
      </c>
      <c r="K29" s="1"/>
      <c r="L29" s="11"/>
      <c r="M29" s="1"/>
      <c r="N29" s="1"/>
      <c r="O29" s="19"/>
      <c r="P29" s="1"/>
      <c r="Q29" s="1"/>
      <c r="R29" s="1"/>
      <c r="S29" s="1"/>
      <c r="T29" s="1"/>
      <c r="U29" s="1"/>
      <c r="V29" s="1"/>
      <c r="W29" s="1"/>
      <c r="X29" s="20"/>
      <c r="Y29" s="1"/>
      <c r="Z29" s="1"/>
      <c r="AA29" s="1"/>
      <c r="AB29" s="1"/>
      <c r="AC29" s="1"/>
      <c r="AD29" s="1"/>
      <c r="AE29" s="1"/>
      <c r="AF29" s="1"/>
      <c r="AG29" s="1"/>
      <c r="AH29" s="1"/>
      <c r="AI29" s="1"/>
      <c r="AJ29" s="1"/>
      <c r="AK29" s="1"/>
      <c r="AL29" s="57"/>
      <c r="AM29" s="57">
        <f t="shared" si="0"/>
        <v>0</v>
      </c>
      <c r="AN29" s="21" t="s">
        <v>95</v>
      </c>
      <c r="AO29" s="21" t="s">
        <v>124</v>
      </c>
      <c r="AP29" s="21"/>
      <c r="AQ29" s="21"/>
      <c r="AR29" s="21"/>
      <c r="AS29" s="21">
        <f t="shared" si="2"/>
        <v>0</v>
      </c>
      <c r="AT29" s="21"/>
      <c r="AU29" s="21"/>
      <c r="AV29" s="21"/>
      <c r="AW29" s="22">
        <v>2006</v>
      </c>
      <c r="AX29" s="24">
        <v>2018</v>
      </c>
      <c r="AY29" s="24"/>
      <c r="AZ29" s="37"/>
      <c r="BA29" s="21" t="s">
        <v>111</v>
      </c>
    </row>
    <row r="30" s="3" customFormat="1" ht="18" customHeight="1" spans="1:53">
      <c r="A30" s="12"/>
      <c r="B30" s="12" t="s">
        <v>135</v>
      </c>
      <c r="C30" s="33"/>
      <c r="D30" s="17">
        <f>(2*20+25+2*20)+(4*18.5+17.678)+(3*21)+(3*21)+(4*21)</f>
        <v>406.678</v>
      </c>
      <c r="E30" s="34">
        <v>20</v>
      </c>
      <c r="F30" s="15">
        <v>4066.78</v>
      </c>
      <c r="G30" s="18">
        <v>30</v>
      </c>
      <c r="H30" s="16">
        <v>0</v>
      </c>
      <c r="I30" s="16">
        <v>0</v>
      </c>
      <c r="J30" s="1">
        <v>6</v>
      </c>
      <c r="K30" s="1"/>
      <c r="L30" s="11"/>
      <c r="M30" s="1"/>
      <c r="N30" s="1"/>
      <c r="O30" s="19"/>
      <c r="P30" s="1"/>
      <c r="Q30" s="1"/>
      <c r="R30" s="1"/>
      <c r="S30" s="1"/>
      <c r="T30" s="1"/>
      <c r="U30" s="1"/>
      <c r="V30" s="1"/>
      <c r="W30" s="1"/>
      <c r="X30" s="20"/>
      <c r="Y30" s="1"/>
      <c r="Z30" s="1"/>
      <c r="AA30" s="1"/>
      <c r="AB30" s="1"/>
      <c r="AC30" s="1"/>
      <c r="AD30" s="1"/>
      <c r="AE30" s="1"/>
      <c r="AF30" s="1"/>
      <c r="AG30" s="1"/>
      <c r="AH30" s="1"/>
      <c r="AI30" s="1"/>
      <c r="AJ30" s="1"/>
      <c r="AK30" s="1"/>
      <c r="AL30" s="57"/>
      <c r="AM30" s="57">
        <f t="shared" si="0"/>
        <v>0</v>
      </c>
      <c r="AN30" s="21" t="s">
        <v>95</v>
      </c>
      <c r="AO30" s="21" t="s">
        <v>124</v>
      </c>
      <c r="AP30" s="21"/>
      <c r="AQ30" s="21"/>
      <c r="AR30" s="21"/>
      <c r="AS30" s="21">
        <f t="shared" si="2"/>
        <v>0</v>
      </c>
      <c r="AT30" s="21"/>
      <c r="AU30" s="21"/>
      <c r="AV30" s="21"/>
      <c r="AW30" s="22">
        <v>2006</v>
      </c>
      <c r="AX30" s="24">
        <v>2018</v>
      </c>
      <c r="AY30" s="24"/>
      <c r="AZ30" s="38"/>
      <c r="BA30" s="21" t="s">
        <v>111</v>
      </c>
    </row>
    <row r="31" s="3" customFormat="1" ht="18" customHeight="1" spans="1:53">
      <c r="A31" s="65">
        <v>7</v>
      </c>
      <c r="B31" s="13" t="s">
        <v>169</v>
      </c>
      <c r="C31" s="66" t="s">
        <v>105</v>
      </c>
      <c r="D31" s="17">
        <f>422.05+264+406.44</f>
        <v>1092.49</v>
      </c>
      <c r="E31" s="16">
        <v>67</v>
      </c>
      <c r="F31" s="17">
        <v>9660.5535</v>
      </c>
      <c r="G31" s="1">
        <v>53</v>
      </c>
      <c r="H31" s="16">
        <v>0</v>
      </c>
      <c r="I31" s="16">
        <v>0</v>
      </c>
      <c r="J31" s="24">
        <v>48</v>
      </c>
      <c r="K31" s="14"/>
      <c r="L31" s="11"/>
      <c r="M31" s="16"/>
      <c r="N31" s="1"/>
      <c r="O31" s="19"/>
      <c r="P31" s="1"/>
      <c r="Q31" s="1"/>
      <c r="R31" s="1"/>
      <c r="S31" s="1"/>
      <c r="T31" s="1"/>
      <c r="U31" s="1"/>
      <c r="V31" s="1"/>
      <c r="W31" s="1"/>
      <c r="X31" s="20"/>
      <c r="Y31" s="31"/>
      <c r="Z31" s="31"/>
      <c r="AA31" s="1"/>
      <c r="AB31" s="31"/>
      <c r="AC31" s="31"/>
      <c r="AD31" s="31"/>
      <c r="AE31" s="1"/>
      <c r="AF31" s="1"/>
      <c r="AG31" s="31"/>
      <c r="AH31" s="31"/>
      <c r="AI31" s="31"/>
      <c r="AJ31" s="31"/>
      <c r="AK31" s="31"/>
      <c r="AL31" s="57"/>
      <c r="AM31" s="57">
        <f t="shared" si="0"/>
        <v>0</v>
      </c>
      <c r="AN31" s="21" t="s">
        <v>100</v>
      </c>
      <c r="AO31" s="21" t="s">
        <v>124</v>
      </c>
      <c r="AP31" s="21"/>
      <c r="AQ31" s="21"/>
      <c r="AR31" s="21"/>
      <c r="AS31" s="21">
        <f t="shared" si="2"/>
        <v>0</v>
      </c>
      <c r="AT31" s="21"/>
      <c r="AU31" s="21"/>
      <c r="AV31" s="21"/>
      <c r="AW31" s="32" t="s">
        <v>170</v>
      </c>
      <c r="AX31" s="23" t="s">
        <v>109</v>
      </c>
      <c r="AY31" s="24"/>
      <c r="AZ31" s="22" t="s">
        <v>110</v>
      </c>
      <c r="BA31" s="21" t="s">
        <v>103</v>
      </c>
    </row>
    <row r="32" ht="23.25" customHeight="1" spans="1:53">
      <c r="A32" s="12" t="s">
        <v>29</v>
      </c>
      <c r="B32" s="12"/>
      <c r="C32" s="12"/>
      <c r="D32" s="42">
        <f t="shared" ref="D32:L32" si="3">SUM(D4:D31)</f>
        <v>16701.8</v>
      </c>
      <c r="E32" s="42">
        <f t="shared" si="3"/>
        <v>610</v>
      </c>
      <c r="F32" s="42">
        <f t="shared" si="3"/>
        <v>304706.7325</v>
      </c>
      <c r="G32" s="42">
        <f t="shared" si="3"/>
        <v>905</v>
      </c>
      <c r="H32" s="42">
        <f t="shared" si="3"/>
        <v>0</v>
      </c>
      <c r="I32" s="42">
        <f t="shared" si="3"/>
        <v>0</v>
      </c>
      <c r="J32" s="42">
        <f t="shared" si="3"/>
        <v>251</v>
      </c>
      <c r="K32" s="43">
        <f t="shared" si="3"/>
        <v>12</v>
      </c>
      <c r="L32" s="43">
        <f t="shared" si="3"/>
        <v>0</v>
      </c>
      <c r="M32" s="43">
        <f t="shared" ref="M32:AM32" si="4">SUM(M4:M31)</f>
        <v>0</v>
      </c>
      <c r="N32" s="43">
        <f t="shared" si="4"/>
        <v>0</v>
      </c>
      <c r="O32" s="43">
        <f t="shared" si="4"/>
        <v>0</v>
      </c>
      <c r="P32" s="43">
        <f t="shared" si="4"/>
        <v>0</v>
      </c>
      <c r="Q32" s="43">
        <f t="shared" si="4"/>
        <v>0</v>
      </c>
      <c r="R32" s="43">
        <f t="shared" si="4"/>
        <v>0</v>
      </c>
      <c r="S32" s="43">
        <f t="shared" si="4"/>
        <v>0</v>
      </c>
      <c r="T32" s="43">
        <f t="shared" si="4"/>
        <v>0</v>
      </c>
      <c r="U32" s="43">
        <f t="shared" si="4"/>
        <v>0</v>
      </c>
      <c r="V32" s="43">
        <f t="shared" si="4"/>
        <v>0</v>
      </c>
      <c r="W32" s="43">
        <f t="shared" si="4"/>
        <v>0</v>
      </c>
      <c r="X32" s="43">
        <f t="shared" si="4"/>
        <v>0</v>
      </c>
      <c r="Y32" s="43">
        <f t="shared" si="4"/>
        <v>0</v>
      </c>
      <c r="Z32" s="43">
        <f t="shared" si="4"/>
        <v>0</v>
      </c>
      <c r="AA32" s="43">
        <f t="shared" si="4"/>
        <v>0</v>
      </c>
      <c r="AB32" s="43">
        <f t="shared" si="4"/>
        <v>0</v>
      </c>
      <c r="AC32" s="43">
        <f t="shared" si="4"/>
        <v>0</v>
      </c>
      <c r="AD32" s="43">
        <f t="shared" si="4"/>
        <v>0</v>
      </c>
      <c r="AE32" s="43">
        <f t="shared" si="4"/>
        <v>0</v>
      </c>
      <c r="AF32" s="43">
        <f t="shared" si="4"/>
        <v>0</v>
      </c>
      <c r="AG32" s="43">
        <f t="shared" si="4"/>
        <v>0</v>
      </c>
      <c r="AH32" s="43">
        <f t="shared" si="4"/>
        <v>0</v>
      </c>
      <c r="AI32" s="43">
        <f t="shared" si="4"/>
        <v>0</v>
      </c>
      <c r="AJ32" s="43">
        <f t="shared" si="4"/>
        <v>0</v>
      </c>
      <c r="AK32" s="43">
        <f t="shared" si="4"/>
        <v>0</v>
      </c>
      <c r="AL32" s="43">
        <f t="shared" si="4"/>
        <v>0</v>
      </c>
      <c r="AM32" s="43">
        <f t="shared" si="4"/>
        <v>0</v>
      </c>
      <c r="AN32" s="43"/>
      <c r="AO32" s="43"/>
      <c r="AP32" s="43">
        <f t="shared" ref="AP32:AV32" si="5">SUM(AP4:AP31)</f>
        <v>0</v>
      </c>
      <c r="AQ32" s="43">
        <f t="shared" si="5"/>
        <v>0</v>
      </c>
      <c r="AR32" s="43">
        <f t="shared" si="5"/>
        <v>0</v>
      </c>
      <c r="AS32" s="43">
        <f t="shared" si="5"/>
        <v>0</v>
      </c>
      <c r="AT32" s="43">
        <f t="shared" si="5"/>
        <v>0</v>
      </c>
      <c r="AU32" s="43">
        <f t="shared" si="5"/>
        <v>0</v>
      </c>
      <c r="AV32" s="43">
        <f t="shared" si="5"/>
        <v>0</v>
      </c>
      <c r="AW32" s="1"/>
      <c r="AX32" s="1"/>
      <c r="AY32" s="1"/>
      <c r="AZ32" s="44"/>
      <c r="BA32" s="43"/>
    </row>
    <row r="33" ht="181" customHeight="1" spans="1:53">
      <c r="A33" s="45"/>
      <c r="B33" s="45" t="s">
        <v>274</v>
      </c>
      <c r="C33" s="49"/>
      <c r="D33" s="49"/>
      <c r="E33" s="49"/>
      <c r="F33" s="49"/>
      <c r="X33" s="46"/>
      <c r="AG33" s="4"/>
      <c r="AM33" s="47"/>
      <c r="AN33" s="47"/>
      <c r="AO33" s="48">
        <v>0.5</v>
      </c>
      <c r="AP33" s="47">
        <f t="shared" ref="AP33:AV33" si="6">AP32*$AO$33</f>
        <v>0</v>
      </c>
      <c r="AQ33" s="47">
        <f t="shared" si="6"/>
        <v>0</v>
      </c>
      <c r="AR33" s="47">
        <f t="shared" si="6"/>
        <v>0</v>
      </c>
      <c r="AS33" s="47">
        <f t="shared" si="6"/>
        <v>0</v>
      </c>
      <c r="AT33" s="47">
        <f t="shared" si="6"/>
        <v>0</v>
      </c>
      <c r="AU33" s="47">
        <f t="shared" si="6"/>
        <v>0</v>
      </c>
      <c r="AV33" s="47">
        <f t="shared" si="6"/>
        <v>0</v>
      </c>
      <c r="BA33" s="47"/>
    </row>
    <row r="34" spans="1:53">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5"/>
      <c r="AH34" s="50"/>
      <c r="AI34" s="50"/>
      <c r="AJ34" s="50"/>
      <c r="AK34" s="50"/>
      <c r="AL34" s="50"/>
      <c r="AM34" s="50"/>
      <c r="AN34" s="50"/>
      <c r="AO34" s="50"/>
      <c r="AP34" s="52" t="e">
        <f>AP33/AM33</f>
        <v>#DIV/0!</v>
      </c>
      <c r="AQ34" s="52" t="e">
        <f>AQ33/AM33</f>
        <v>#DIV/0!</v>
      </c>
      <c r="AR34" s="52" t="e">
        <f>AR33/AM33</f>
        <v>#DIV/0!</v>
      </c>
      <c r="AS34" s="52" t="e">
        <f>AS33/AM33</f>
        <v>#DIV/0!</v>
      </c>
      <c r="AT34" s="52" t="e">
        <f>AT33/AM33</f>
        <v>#DIV/0!</v>
      </c>
      <c r="AU34" s="52" t="e">
        <f>AU33/AM33</f>
        <v>#DIV/0!</v>
      </c>
      <c r="AV34" s="52" t="e">
        <f>AV33/AM33</f>
        <v>#DIV/0!</v>
      </c>
      <c r="BA34" s="50"/>
    </row>
    <row r="35" spans="1:53">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4"/>
      <c r="AH35" s="53"/>
      <c r="AI35" s="53"/>
      <c r="AJ35" s="53"/>
      <c r="AK35" s="53"/>
      <c r="AL35" s="53"/>
      <c r="AM35" s="53"/>
      <c r="AN35" s="53"/>
      <c r="AO35" s="53"/>
      <c r="AP35" s="53"/>
      <c r="AQ35" s="53"/>
      <c r="AR35" s="53"/>
      <c r="AS35" s="53"/>
      <c r="AT35" s="53"/>
      <c r="AU35" s="53"/>
      <c r="AV35" s="53"/>
      <c r="BA35" s="53"/>
    </row>
    <row r="36" spans="1:53">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5"/>
      <c r="AH36" s="50"/>
      <c r="AI36" s="50"/>
      <c r="AJ36" s="50"/>
      <c r="AK36" s="50"/>
      <c r="AL36" s="50"/>
      <c r="AM36" s="50"/>
      <c r="AN36" s="50"/>
      <c r="AO36" s="50"/>
      <c r="AP36" s="50"/>
      <c r="AQ36" s="50"/>
      <c r="AR36" s="50"/>
      <c r="AS36" s="50"/>
      <c r="AT36" s="50"/>
      <c r="AU36" s="50"/>
      <c r="AV36" s="50"/>
      <c r="BA36" s="50"/>
    </row>
    <row r="37" spans="1:53">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5"/>
      <c r="AH37" s="50"/>
      <c r="AI37" s="50"/>
      <c r="AJ37" s="50"/>
      <c r="AK37" s="50"/>
      <c r="AL37" s="50"/>
      <c r="AM37" s="50"/>
      <c r="AN37" s="50"/>
      <c r="AO37" s="50"/>
      <c r="AP37" s="50"/>
      <c r="AQ37" s="50"/>
      <c r="AR37" s="50"/>
      <c r="AS37" s="50"/>
      <c r="AT37" s="50"/>
      <c r="AU37" s="50"/>
      <c r="AV37" s="50"/>
      <c r="BA37" s="50"/>
    </row>
    <row r="38" spans="1:53">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56"/>
      <c r="AH38" s="45"/>
      <c r="AI38" s="45"/>
      <c r="AJ38" s="45"/>
      <c r="AK38" s="45"/>
      <c r="AL38" s="45"/>
      <c r="AM38" s="45"/>
      <c r="AN38" s="45"/>
      <c r="AO38" s="45"/>
      <c r="AP38" s="45"/>
      <c r="AQ38" s="45"/>
      <c r="AR38" s="45"/>
      <c r="AS38" s="45"/>
      <c r="AT38" s="45"/>
      <c r="AU38" s="45"/>
      <c r="AV38" s="45"/>
      <c r="BA38" s="45"/>
    </row>
    <row r="39" spans="1:53">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5"/>
      <c r="AH39" s="50"/>
      <c r="AI39" s="50"/>
      <c r="AJ39" s="50"/>
      <c r="AK39" s="50"/>
      <c r="AL39" s="50"/>
      <c r="AM39" s="50"/>
      <c r="AN39" s="50"/>
      <c r="AO39" s="50"/>
      <c r="AP39" s="50"/>
      <c r="AQ39" s="50"/>
      <c r="AR39" s="50"/>
      <c r="AS39" s="50"/>
      <c r="AT39" s="50"/>
      <c r="AU39" s="50"/>
      <c r="AV39" s="50"/>
      <c r="BA39" s="50"/>
    </row>
    <row r="40" spans="1:53">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5"/>
      <c r="AH40" s="50"/>
      <c r="AI40" s="50"/>
      <c r="AJ40" s="50"/>
      <c r="AK40" s="50"/>
      <c r="AL40" s="50"/>
      <c r="AM40" s="50"/>
      <c r="AN40" s="50"/>
      <c r="AO40" s="50"/>
      <c r="AP40" s="50"/>
      <c r="AQ40" s="50"/>
      <c r="AR40" s="50"/>
      <c r="AS40" s="50"/>
      <c r="AT40" s="50"/>
      <c r="AU40" s="50"/>
      <c r="AV40" s="50"/>
      <c r="BA40" s="50"/>
    </row>
    <row r="41" spans="1:53">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5"/>
      <c r="AH41" s="50"/>
      <c r="AI41" s="50"/>
      <c r="AJ41" s="50"/>
      <c r="AK41" s="50"/>
      <c r="AL41" s="50"/>
      <c r="AM41" s="50"/>
      <c r="AN41" s="50"/>
      <c r="AO41" s="50"/>
      <c r="AP41" s="50"/>
      <c r="AQ41" s="50"/>
      <c r="AR41" s="50"/>
      <c r="AS41" s="50"/>
      <c r="AT41" s="50"/>
      <c r="AU41" s="50"/>
      <c r="AV41" s="50"/>
      <c r="BA41" s="50"/>
    </row>
    <row r="42" spans="1:53">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5"/>
      <c r="AH42" s="50"/>
      <c r="AI42" s="50"/>
      <c r="AJ42" s="50"/>
      <c r="AK42" s="50"/>
      <c r="AL42" s="50"/>
      <c r="AM42" s="50"/>
      <c r="AN42" s="50"/>
      <c r="AO42" s="50"/>
      <c r="AP42" s="50"/>
      <c r="AQ42" s="50"/>
      <c r="AR42" s="50"/>
      <c r="AS42" s="50"/>
      <c r="AT42" s="50"/>
      <c r="AU42" s="50"/>
      <c r="AV42" s="50"/>
      <c r="BA42" s="50"/>
    </row>
    <row r="43" spans="1:53">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56"/>
      <c r="AH43" s="45"/>
      <c r="AI43" s="45"/>
      <c r="AJ43" s="45"/>
      <c r="AK43" s="45"/>
      <c r="AL43" s="45"/>
      <c r="AM43" s="45"/>
      <c r="AN43" s="45"/>
      <c r="AO43" s="45"/>
      <c r="AP43" s="45"/>
      <c r="AQ43" s="45"/>
      <c r="AR43" s="45"/>
      <c r="AS43" s="45"/>
      <c r="AT43" s="45"/>
      <c r="AU43" s="45"/>
      <c r="AV43" s="45"/>
      <c r="BA43" s="45"/>
    </row>
    <row r="44" spans="1:53">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5"/>
      <c r="AH44" s="50"/>
      <c r="AI44" s="50"/>
      <c r="AJ44" s="50"/>
      <c r="AK44" s="50"/>
      <c r="AL44" s="50"/>
      <c r="AM44" s="50"/>
      <c r="AN44" s="50"/>
      <c r="AO44" s="50"/>
      <c r="AP44" s="50"/>
      <c r="AQ44" s="50"/>
      <c r="AR44" s="50"/>
      <c r="AS44" s="50"/>
      <c r="AT44" s="50"/>
      <c r="AU44" s="50"/>
      <c r="AV44" s="50"/>
      <c r="BA44" s="50"/>
    </row>
    <row r="45" spans="1:53">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5"/>
      <c r="AH45" s="50"/>
      <c r="AI45" s="50"/>
      <c r="AJ45" s="50"/>
      <c r="AK45" s="50"/>
      <c r="AL45" s="50"/>
      <c r="AM45" s="50"/>
      <c r="AN45" s="50"/>
      <c r="AO45" s="50"/>
      <c r="AP45" s="50"/>
      <c r="AQ45" s="50"/>
      <c r="AR45" s="50"/>
      <c r="AS45" s="50"/>
      <c r="AT45" s="50"/>
      <c r="AU45" s="50"/>
      <c r="AV45" s="50"/>
      <c r="BA45" s="50"/>
    </row>
    <row r="46" spans="1:53">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5"/>
      <c r="AH46" s="50"/>
      <c r="AI46" s="50"/>
      <c r="AJ46" s="50"/>
      <c r="AK46" s="50"/>
      <c r="AL46" s="50"/>
      <c r="AM46" s="50"/>
      <c r="AN46" s="50"/>
      <c r="AO46" s="50"/>
      <c r="AP46" s="50"/>
      <c r="AQ46" s="50"/>
      <c r="AR46" s="50"/>
      <c r="AS46" s="50"/>
      <c r="AT46" s="50"/>
      <c r="AU46" s="50"/>
      <c r="AV46" s="50"/>
      <c r="BA46" s="50"/>
    </row>
    <row r="49" spans="39:40">
      <c r="AM49" s="4">
        <f>SUM(AM8:AM30)</f>
        <v>0</v>
      </c>
      <c r="AN49" s="4" t="e">
        <f>SUM(AM49:AM52)</f>
        <v>#REF!</v>
      </c>
    </row>
    <row r="50" spans="39:40">
      <c r="AM50" s="4" t="e">
        <f>SUM(#REF!)</f>
        <v>#REF!</v>
      </c>
    </row>
    <row r="51" spans="39:40">
      <c r="AM51" s="4" t="e">
        <f>SUM(#REF!)</f>
        <v>#REF!</v>
      </c>
    </row>
    <row r="52" spans="39:40">
      <c r="AM52" s="4">
        <f>SUM(AM31)</f>
        <v>0</v>
      </c>
    </row>
    <row r="54" spans="39:40">
      <c r="AM54" s="4" t="e">
        <f>#REF!+#REF!+#REF!+#REF!+AM4+AM5+#REF!+AM6+AM7+#REF!+#REF!+#REF!+#REF!+#REF!</f>
        <v>#REF!</v>
      </c>
    </row>
    <row r="55" spans="39:40">
      <c r="AM55" s="4" t="e">
        <f>#REF!+#REF!+#REF!</f>
        <v>#REF!</v>
      </c>
    </row>
  </sheetData>
  <autoFilter xmlns:etc="http://www.wps.cn/officeDocument/2017/etCustomData" ref="A3:BA46" etc:filterBottomFollowUsedRange="0">
    <extLst/>
  </autoFilter>
  <mergeCells count="73">
    <mergeCell ref="A1:BA1"/>
    <mergeCell ref="H2:I2"/>
    <mergeCell ref="M2:N2"/>
    <mergeCell ref="Q2:U2"/>
    <mergeCell ref="V2:W2"/>
    <mergeCell ref="X2:Y2"/>
    <mergeCell ref="AB2:AD2"/>
    <mergeCell ref="A32:C32"/>
    <mergeCell ref="B33:F33"/>
    <mergeCell ref="A34:AM34"/>
    <mergeCell ref="A35:AM35"/>
    <mergeCell ref="A36:AM36"/>
    <mergeCell ref="A37:AM37"/>
    <mergeCell ref="A38:AM38"/>
    <mergeCell ref="A39:AM39"/>
    <mergeCell ref="A40:AM40"/>
    <mergeCell ref="A41:AM41"/>
    <mergeCell ref="A42:AM42"/>
    <mergeCell ref="A43:AM43"/>
    <mergeCell ref="A44:AM44"/>
    <mergeCell ref="A45:AM45"/>
    <mergeCell ref="A46:AM46"/>
    <mergeCell ref="A2:A3"/>
    <mergeCell ref="A4:A5"/>
    <mergeCell ref="A8:A18"/>
    <mergeCell ref="A19:A23"/>
    <mergeCell ref="A24:A30"/>
    <mergeCell ref="B2:B3"/>
    <mergeCell ref="C2:C3"/>
    <mergeCell ref="C4:C5"/>
    <mergeCell ref="C8:C18"/>
    <mergeCell ref="C19:C23"/>
    <mergeCell ref="C24:C30"/>
    <mergeCell ref="D2:D3"/>
    <mergeCell ref="E2:E3"/>
    <mergeCell ref="F2:F3"/>
    <mergeCell ref="G2:G3"/>
    <mergeCell ref="J2:J3"/>
    <mergeCell ref="K2:K3"/>
    <mergeCell ref="L2:L3"/>
    <mergeCell ref="O2:O3"/>
    <mergeCell ref="P2:P3"/>
    <mergeCell ref="Z2:Z3"/>
    <mergeCell ref="AA2:AA3"/>
    <mergeCell ref="AE2:AE3"/>
    <mergeCell ref="AF2:AF3"/>
    <mergeCell ref="AG2:AG3"/>
    <mergeCell ref="AH2:AH3"/>
    <mergeCell ref="AI2:AI3"/>
    <mergeCell ref="AJ2:AJ3"/>
    <mergeCell ref="AK2:AK3"/>
    <mergeCell ref="AL2:AL3"/>
    <mergeCell ref="AM2:AM3"/>
    <mergeCell ref="AN2:AN3"/>
    <mergeCell ref="AO2:AO3"/>
    <mergeCell ref="AP2:AP3"/>
    <mergeCell ref="AQ2:AQ3"/>
    <mergeCell ref="AR2:AR3"/>
    <mergeCell ref="AS2:AS3"/>
    <mergeCell ref="AT2:AT3"/>
    <mergeCell ref="AU2:AU3"/>
    <mergeCell ref="AV2:AV3"/>
    <mergeCell ref="AW2:AW3"/>
    <mergeCell ref="AX2:AX3"/>
    <mergeCell ref="AY2:AY3"/>
    <mergeCell ref="AY4:AY5"/>
    <mergeCell ref="AZ2:AZ3"/>
    <mergeCell ref="AZ4:AZ5"/>
    <mergeCell ref="AZ8:AZ18"/>
    <mergeCell ref="AZ19:AZ23"/>
    <mergeCell ref="AZ24:AZ30"/>
    <mergeCell ref="BA2:BA3"/>
    <mergeCell ref="BA4:BA5"/>
  </mergeCells>
  <pageMargins left="0.700694444444444" right="0.700694444444444" top="0.751388888888889" bottom="0.751388888888889" header="0.298611111111111" footer="0.298611111111111"/>
  <pageSetup paperSize="9" scale="44" fitToHeight="0" orientation="landscape"/>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58"/>
  <sheetViews>
    <sheetView tabSelected="1" zoomScale="85" zoomScaleNormal="85" zoomScaleSheetLayoutView="90" workbookViewId="0">
      <pane xSplit="6" ySplit="3" topLeftCell="G30" activePane="bottomRight" state="frozen"/>
      <selection/>
      <selection pane="topRight"/>
      <selection pane="bottomLeft"/>
      <selection pane="bottomRight" activeCell="X2" sqref="X2:Y2"/>
    </sheetView>
  </sheetViews>
  <sheetFormatPr defaultColWidth="9" defaultRowHeight="14.25"/>
  <cols>
    <col min="1" max="1" width="4" style="4" customWidth="1"/>
    <col min="2" max="2" width="24.2" style="4" customWidth="1"/>
    <col min="3" max="3" width="12.9" style="4" customWidth="1"/>
    <col min="4" max="4" width="8.9" style="4" customWidth="1"/>
    <col min="5" max="5" width="7.9" style="4" customWidth="1"/>
    <col min="6" max="6" width="7.7" style="4" customWidth="1"/>
    <col min="7" max="10" width="6.1" style="4" customWidth="1"/>
    <col min="11" max="11" width="5.3" style="4" customWidth="1"/>
    <col min="12" max="12" width="6.1" style="4" customWidth="1"/>
    <col min="13" max="13" width="6.4" style="4" customWidth="1"/>
    <col min="14" max="14" width="6" style="4" customWidth="1"/>
    <col min="15" max="15" width="9.6" style="4" customWidth="1"/>
    <col min="16" max="16" width="6.5" style="4" customWidth="1"/>
    <col min="17" max="17" width="6.9" style="4" customWidth="1"/>
    <col min="18" max="18" width="7.6" style="4" customWidth="1"/>
    <col min="19" max="19" width="5.9" style="4" customWidth="1"/>
    <col min="20" max="20" width="7.5" style="4" customWidth="1"/>
    <col min="21" max="21" width="5.5" style="4" customWidth="1"/>
    <col min="22" max="22" width="5.7" style="4" customWidth="1"/>
    <col min="23" max="23" width="5.4" style="4" customWidth="1"/>
    <col min="24" max="24" width="9.2" style="4" customWidth="1"/>
    <col min="25" max="25" width="5.6" style="4" customWidth="1"/>
    <col min="26" max="26" width="5.7" style="4" customWidth="1"/>
    <col min="27" max="27" width="6.7" style="4" customWidth="1"/>
    <col min="28" max="28" width="5.6" style="4" customWidth="1"/>
    <col min="29" max="29" width="5.2" style="4" customWidth="1"/>
    <col min="30" max="30" width="7.5" style="4" customWidth="1"/>
    <col min="31" max="31" width="5.5" style="4" customWidth="1"/>
    <col min="32" max="32" width="5.9" style="4" customWidth="1"/>
    <col min="33" max="33" width="5.9" style="5" customWidth="1"/>
    <col min="34" max="34" width="6.2" style="4" customWidth="1"/>
    <col min="35" max="35" width="5.4" style="4" customWidth="1"/>
    <col min="36" max="36" width="5.6" style="4" customWidth="1"/>
    <col min="37" max="37" width="5.2" style="4" customWidth="1"/>
    <col min="38" max="38" width="8.1" style="4" customWidth="1"/>
    <col min="39" max="39" width="11.3" style="4" customWidth="1"/>
    <col min="40" max="40" width="11.3" style="4" hidden="1" customWidth="1"/>
    <col min="41" max="41" width="12.9" style="4" hidden="1" customWidth="1"/>
    <col min="42" max="42" width="11.3" style="4" hidden="1" customWidth="1"/>
    <col min="43" max="43" width="11" hidden="1" customWidth="1"/>
    <col min="44" max="44" width="11.1" hidden="1" customWidth="1"/>
    <col min="45" max="45" width="9.7" hidden="1" customWidth="1"/>
    <col min="46" max="46" width="9.6" hidden="1" customWidth="1"/>
    <col min="47" max="48" width="10.7" hidden="1" customWidth="1"/>
    <col min="49" max="49" width="9.9" style="4" hidden="1" customWidth="1"/>
    <col min="50" max="51" width="9" style="4" hidden="1" customWidth="1"/>
    <col min="52" max="52" width="11.5" style="4" hidden="1" customWidth="1"/>
    <col min="53" max="53" width="8.8" style="4" hidden="1" customWidth="1"/>
    <col min="54" max="16384" width="9" style="4"/>
  </cols>
  <sheetData>
    <row r="1" ht="34.95" customHeight="1" spans="1:53">
      <c r="A1" s="6" t="s">
        <v>276</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ht="27" customHeight="1" spans="1:53">
      <c r="A2" s="1" t="s">
        <v>1</v>
      </c>
      <c r="B2" s="1" t="s">
        <v>2</v>
      </c>
      <c r="C2" s="1" t="s">
        <v>3</v>
      </c>
      <c r="D2" s="1" t="s">
        <v>4</v>
      </c>
      <c r="E2" s="1" t="s">
        <v>5</v>
      </c>
      <c r="F2" s="1" t="s">
        <v>6</v>
      </c>
      <c r="G2" s="1" t="s">
        <v>7</v>
      </c>
      <c r="H2" s="1" t="s">
        <v>8</v>
      </c>
      <c r="I2" s="1"/>
      <c r="J2" s="1" t="s">
        <v>9</v>
      </c>
      <c r="K2" s="1" t="s">
        <v>10</v>
      </c>
      <c r="L2" s="7" t="s">
        <v>246</v>
      </c>
      <c r="M2" s="7" t="s">
        <v>247</v>
      </c>
      <c r="N2" s="1"/>
      <c r="O2" s="7" t="s">
        <v>248</v>
      </c>
      <c r="P2" s="7" t="s">
        <v>249</v>
      </c>
      <c r="Q2" s="7" t="s">
        <v>250</v>
      </c>
      <c r="R2" s="1"/>
      <c r="S2" s="1"/>
      <c r="T2" s="1"/>
      <c r="U2" s="1"/>
      <c r="V2" s="7" t="s">
        <v>251</v>
      </c>
      <c r="W2" s="1"/>
      <c r="X2" s="8" t="s">
        <v>252</v>
      </c>
      <c r="Y2" s="1"/>
      <c r="Z2" s="7" t="s">
        <v>253</v>
      </c>
      <c r="AA2" s="7" t="s">
        <v>254</v>
      </c>
      <c r="AB2" s="7" t="s">
        <v>255</v>
      </c>
      <c r="AC2" s="1"/>
      <c r="AD2" s="1"/>
      <c r="AE2" s="7" t="s">
        <v>256</v>
      </c>
      <c r="AF2" s="7" t="s">
        <v>257</v>
      </c>
      <c r="AG2" s="7" t="s">
        <v>258</v>
      </c>
      <c r="AH2" s="7" t="s">
        <v>259</v>
      </c>
      <c r="AI2" s="7" t="s">
        <v>260</v>
      </c>
      <c r="AJ2" s="7" t="s">
        <v>261</v>
      </c>
      <c r="AK2" s="7" t="s">
        <v>262</v>
      </c>
      <c r="AL2" s="7" t="s">
        <v>263</v>
      </c>
      <c r="AM2" s="9" t="s">
        <v>29</v>
      </c>
      <c r="AN2" s="10" t="s">
        <v>30</v>
      </c>
      <c r="AO2" s="10" t="s">
        <v>31</v>
      </c>
      <c r="AP2" s="10" t="s">
        <v>32</v>
      </c>
      <c r="AQ2" s="10" t="s">
        <v>33</v>
      </c>
      <c r="AR2" s="10" t="s">
        <v>34</v>
      </c>
      <c r="AS2" s="10" t="s">
        <v>35</v>
      </c>
      <c r="AT2" s="10" t="s">
        <v>36</v>
      </c>
      <c r="AU2" s="10" t="s">
        <v>37</v>
      </c>
      <c r="AV2" s="10" t="s">
        <v>38</v>
      </c>
      <c r="AW2" s="9" t="s">
        <v>39</v>
      </c>
      <c r="AX2" s="9" t="s">
        <v>40</v>
      </c>
      <c r="AY2" s="10" t="s">
        <v>41</v>
      </c>
      <c r="AZ2" s="10" t="s">
        <v>42</v>
      </c>
      <c r="BA2" s="10" t="s">
        <v>43</v>
      </c>
    </row>
    <row r="3" ht="48" customHeight="1" spans="1:53">
      <c r="A3" s="1"/>
      <c r="B3" s="1"/>
      <c r="C3" s="1"/>
      <c r="D3" s="1"/>
      <c r="E3" s="1"/>
      <c r="F3" s="1"/>
      <c r="G3" s="1"/>
      <c r="H3" s="1" t="s">
        <v>45</v>
      </c>
      <c r="I3" s="1" t="s">
        <v>46</v>
      </c>
      <c r="J3" s="1"/>
      <c r="K3" s="1"/>
      <c r="L3" s="1"/>
      <c r="M3" s="1" t="s">
        <v>47</v>
      </c>
      <c r="N3" s="1" t="s">
        <v>48</v>
      </c>
      <c r="O3" s="1"/>
      <c r="P3" s="1"/>
      <c r="Q3" s="1" t="s">
        <v>49</v>
      </c>
      <c r="R3" s="1" t="s">
        <v>50</v>
      </c>
      <c r="S3" s="1" t="s">
        <v>51</v>
      </c>
      <c r="T3" s="1" t="s">
        <v>52</v>
      </c>
      <c r="U3" s="1" t="s">
        <v>53</v>
      </c>
      <c r="V3" s="1" t="s">
        <v>54</v>
      </c>
      <c r="W3" s="1" t="s">
        <v>55</v>
      </c>
      <c r="X3" s="11" t="s">
        <v>56</v>
      </c>
      <c r="Y3" s="1" t="s">
        <v>57</v>
      </c>
      <c r="Z3" s="1"/>
      <c r="AA3" s="1"/>
      <c r="AB3" s="1" t="s">
        <v>58</v>
      </c>
      <c r="AC3" s="1" t="s">
        <v>59</v>
      </c>
      <c r="AD3" s="1" t="s">
        <v>60</v>
      </c>
      <c r="AE3" s="1"/>
      <c r="AF3" s="1"/>
      <c r="AG3" s="1"/>
      <c r="AH3" s="1"/>
      <c r="AI3" s="1"/>
      <c r="AJ3" s="1"/>
      <c r="AK3" s="1"/>
      <c r="AL3" s="1"/>
      <c r="AM3" s="9"/>
      <c r="AN3" s="9"/>
      <c r="AO3" s="9"/>
      <c r="AP3" s="9"/>
      <c r="AQ3" s="9"/>
      <c r="AR3" s="9"/>
      <c r="AS3" s="9"/>
      <c r="AT3" s="9"/>
      <c r="AU3" s="9"/>
      <c r="AV3" s="9"/>
      <c r="AW3" s="9"/>
      <c r="AX3" s="9"/>
      <c r="AY3" s="9"/>
      <c r="AZ3" s="9"/>
      <c r="BA3" s="9"/>
    </row>
    <row r="4" s="3" customFormat="1" ht="18" customHeight="1" spans="1:53">
      <c r="A4" s="12">
        <v>1</v>
      </c>
      <c r="B4" s="13" t="s">
        <v>61</v>
      </c>
      <c r="C4" s="14" t="s">
        <v>62</v>
      </c>
      <c r="D4" s="15">
        <v>390.74</v>
      </c>
      <c r="E4" s="16">
        <v>21</v>
      </c>
      <c r="F4" s="17">
        <v>7228.69</v>
      </c>
      <c r="G4" s="18">
        <v>95</v>
      </c>
      <c r="H4" s="1">
        <v>0</v>
      </c>
      <c r="I4" s="1">
        <v>0</v>
      </c>
      <c r="J4" s="1">
        <v>2</v>
      </c>
      <c r="K4" s="1">
        <v>60</v>
      </c>
      <c r="L4" s="18"/>
      <c r="M4" s="1"/>
      <c r="N4" s="1"/>
      <c r="O4" s="19"/>
      <c r="P4" s="1"/>
      <c r="Q4" s="1"/>
      <c r="R4" s="1"/>
      <c r="S4" s="1"/>
      <c r="T4" s="1"/>
      <c r="U4" s="1"/>
      <c r="V4" s="1"/>
      <c r="W4" s="1"/>
      <c r="X4" s="20"/>
      <c r="Y4" s="1"/>
      <c r="Z4" s="1"/>
      <c r="AA4" s="1"/>
      <c r="AB4" s="1"/>
      <c r="AC4" s="1"/>
      <c r="AD4" s="1"/>
      <c r="AE4" s="1"/>
      <c r="AF4" s="1"/>
      <c r="AG4" s="1"/>
      <c r="AH4" s="1"/>
      <c r="AI4" s="1"/>
      <c r="AJ4" s="1"/>
      <c r="AK4" s="1"/>
      <c r="AL4" s="18"/>
      <c r="AM4" s="11">
        <f t="shared" ref="AM4:AM33" si="0">SUM(M4:AL4)</f>
        <v>0</v>
      </c>
      <c r="AN4" s="21" t="s">
        <v>63</v>
      </c>
      <c r="AO4" s="21" t="s">
        <v>64</v>
      </c>
      <c r="AP4" s="21"/>
      <c r="AQ4" s="21"/>
      <c r="AR4" s="21">
        <f>AM4</f>
        <v>0</v>
      </c>
      <c r="AS4" s="21"/>
      <c r="AT4" s="21"/>
      <c r="AU4" s="21"/>
      <c r="AV4" s="21"/>
      <c r="AW4" s="22" t="s">
        <v>65</v>
      </c>
      <c r="AX4" s="23" t="s">
        <v>66</v>
      </c>
      <c r="AY4" s="24" t="s">
        <v>67</v>
      </c>
      <c r="AZ4" s="22" t="s">
        <v>68</v>
      </c>
      <c r="BA4" s="21" t="s">
        <v>69</v>
      </c>
    </row>
    <row r="5" s="3" customFormat="1" ht="18" customHeight="1" spans="1:53">
      <c r="A5" s="12">
        <v>2</v>
      </c>
      <c r="B5" s="13" t="s">
        <v>70</v>
      </c>
      <c r="C5" s="14" t="s">
        <v>71</v>
      </c>
      <c r="D5" s="15">
        <v>1133.95</v>
      </c>
      <c r="E5" s="25">
        <v>34</v>
      </c>
      <c r="F5" s="17">
        <v>34018.5</v>
      </c>
      <c r="G5" s="18">
        <v>79</v>
      </c>
      <c r="H5" s="1">
        <v>0</v>
      </c>
      <c r="I5" s="1">
        <v>0</v>
      </c>
      <c r="J5" s="1">
        <v>18</v>
      </c>
      <c r="K5" s="1">
        <v>2</v>
      </c>
      <c r="L5" s="18"/>
      <c r="M5" s="1"/>
      <c r="N5" s="1"/>
      <c r="O5" s="19"/>
      <c r="P5" s="1"/>
      <c r="Q5" s="1"/>
      <c r="R5" s="1"/>
      <c r="S5" s="1"/>
      <c r="T5" s="1"/>
      <c r="U5" s="1"/>
      <c r="V5" s="1"/>
      <c r="W5" s="1"/>
      <c r="X5" s="20"/>
      <c r="Y5" s="1"/>
      <c r="Z5" s="1"/>
      <c r="AA5" s="1"/>
      <c r="AB5" s="1"/>
      <c r="AC5" s="1"/>
      <c r="AD5" s="1"/>
      <c r="AE5" s="1"/>
      <c r="AF5" s="1"/>
      <c r="AG5" s="1"/>
      <c r="AH5" s="1"/>
      <c r="AI5" s="1"/>
      <c r="AJ5" s="1"/>
      <c r="AK5" s="1"/>
      <c r="AL5" s="18"/>
      <c r="AM5" s="11">
        <f t="shared" si="0"/>
        <v>0</v>
      </c>
      <c r="AN5" s="21" t="s">
        <v>63</v>
      </c>
      <c r="AO5" s="21" t="s">
        <v>72</v>
      </c>
      <c r="AP5" s="21"/>
      <c r="AQ5" s="21">
        <f>AM5</f>
        <v>0</v>
      </c>
      <c r="AR5" s="21"/>
      <c r="AS5" s="21"/>
      <c r="AT5" s="21"/>
      <c r="AU5" s="21"/>
      <c r="AV5" s="21"/>
      <c r="AW5" s="26" t="s">
        <v>73</v>
      </c>
      <c r="AX5" s="23" t="s">
        <v>66</v>
      </c>
      <c r="AY5" s="24" t="s">
        <v>67</v>
      </c>
      <c r="AZ5" s="22" t="s">
        <v>74</v>
      </c>
      <c r="BA5" s="21" t="s">
        <v>69</v>
      </c>
    </row>
    <row r="6" s="3" customFormat="1" ht="18" customHeight="1" spans="1:53">
      <c r="A6" s="12">
        <v>3</v>
      </c>
      <c r="B6" s="13" t="s">
        <v>80</v>
      </c>
      <c r="C6" s="14" t="s">
        <v>81</v>
      </c>
      <c r="D6" s="15">
        <v>481.325</v>
      </c>
      <c r="E6" s="16">
        <v>12</v>
      </c>
      <c r="F6" s="17">
        <v>19253</v>
      </c>
      <c r="G6" s="18">
        <v>61</v>
      </c>
      <c r="H6" s="1">
        <v>0</v>
      </c>
      <c r="I6" s="1">
        <v>0</v>
      </c>
      <c r="J6" s="1">
        <v>5</v>
      </c>
      <c r="K6" s="1"/>
      <c r="L6" s="18"/>
      <c r="M6" s="1"/>
      <c r="N6" s="1"/>
      <c r="O6" s="19"/>
      <c r="P6" s="1"/>
      <c r="Q6" s="1"/>
      <c r="R6" s="1"/>
      <c r="S6" s="1"/>
      <c r="T6" s="1"/>
      <c r="U6" s="1"/>
      <c r="V6" s="1"/>
      <c r="W6" s="1"/>
      <c r="X6" s="20"/>
      <c r="Y6" s="1"/>
      <c r="Z6" s="27"/>
      <c r="AA6" s="1"/>
      <c r="AB6" s="28"/>
      <c r="AC6" s="28"/>
      <c r="AD6" s="28"/>
      <c r="AE6" s="1"/>
      <c r="AF6" s="1"/>
      <c r="AG6" s="27"/>
      <c r="AH6" s="1"/>
      <c r="AI6" s="1"/>
      <c r="AJ6" s="29"/>
      <c r="AK6" s="29"/>
      <c r="AL6" s="18"/>
      <c r="AM6" s="11">
        <f t="shared" si="0"/>
        <v>0</v>
      </c>
      <c r="AN6" s="21" t="s">
        <v>63</v>
      </c>
      <c r="AO6" s="21" t="s">
        <v>72</v>
      </c>
      <c r="AP6" s="21"/>
      <c r="AQ6" s="21">
        <f>AM6</f>
        <v>0</v>
      </c>
      <c r="AR6" s="21"/>
      <c r="AS6" s="21"/>
      <c r="AT6" s="21"/>
      <c r="AU6" s="21"/>
      <c r="AV6" s="21"/>
      <c r="AW6" s="22" t="s">
        <v>82</v>
      </c>
      <c r="AX6" s="23" t="s">
        <v>83</v>
      </c>
      <c r="AY6" s="24" t="s">
        <v>84</v>
      </c>
      <c r="AZ6" s="22" t="s">
        <v>85</v>
      </c>
      <c r="BA6" s="21" t="s">
        <v>86</v>
      </c>
    </row>
    <row r="7" s="3" customFormat="1" ht="18" customHeight="1" spans="1:53">
      <c r="A7" s="12">
        <v>4</v>
      </c>
      <c r="B7" s="13" t="s">
        <v>93</v>
      </c>
      <c r="C7" s="30" t="s">
        <v>94</v>
      </c>
      <c r="D7" s="15">
        <v>237</v>
      </c>
      <c r="E7" s="16">
        <v>3</v>
      </c>
      <c r="F7" s="17">
        <v>10665</v>
      </c>
      <c r="G7" s="16">
        <v>7</v>
      </c>
      <c r="H7" s="1">
        <v>0</v>
      </c>
      <c r="I7" s="1">
        <v>0</v>
      </c>
      <c r="J7" s="16">
        <v>2</v>
      </c>
      <c r="K7" s="16">
        <v>4</v>
      </c>
      <c r="L7" s="18"/>
      <c r="M7" s="1"/>
      <c r="N7" s="1"/>
      <c r="O7" s="19"/>
      <c r="P7" s="1"/>
      <c r="Q7" s="1"/>
      <c r="R7" s="1"/>
      <c r="S7" s="1"/>
      <c r="T7" s="1"/>
      <c r="U7" s="1"/>
      <c r="V7" s="1"/>
      <c r="W7" s="1"/>
      <c r="X7" s="20"/>
      <c r="Y7" s="31"/>
      <c r="Z7" s="31"/>
      <c r="AA7" s="1"/>
      <c r="AB7" s="31"/>
      <c r="AC7" s="31"/>
      <c r="AD7" s="31"/>
      <c r="AE7" s="1"/>
      <c r="AF7" s="1"/>
      <c r="AG7" s="31"/>
      <c r="AH7" s="31"/>
      <c r="AI7" s="31"/>
      <c r="AJ7" s="31"/>
      <c r="AK7" s="31"/>
      <c r="AL7" s="18"/>
      <c r="AM7" s="11">
        <f t="shared" si="0"/>
        <v>0</v>
      </c>
      <c r="AN7" s="21" t="s">
        <v>95</v>
      </c>
      <c r="AO7" s="21" t="s">
        <v>96</v>
      </c>
      <c r="AP7" s="21">
        <f>AM7*0.5</f>
        <v>0</v>
      </c>
      <c r="AQ7" s="21">
        <f>AM7*0.5</f>
        <v>0</v>
      </c>
      <c r="AR7" s="21"/>
      <c r="AS7" s="21"/>
      <c r="AT7" s="21"/>
      <c r="AU7" s="21"/>
      <c r="AV7" s="21"/>
      <c r="AW7" s="32" t="s">
        <v>97</v>
      </c>
      <c r="AX7" s="23" t="s">
        <v>83</v>
      </c>
      <c r="AY7" s="24"/>
      <c r="AZ7" s="22" t="s">
        <v>68</v>
      </c>
      <c r="BA7" s="21" t="s">
        <v>86</v>
      </c>
    </row>
    <row r="8" s="3" customFormat="1" ht="18" customHeight="1" spans="1:53">
      <c r="A8" s="12">
        <v>5</v>
      </c>
      <c r="B8" s="24" t="s">
        <v>136</v>
      </c>
      <c r="C8" s="33" t="s">
        <v>137</v>
      </c>
      <c r="D8" s="15">
        <v>1123.1</v>
      </c>
      <c r="E8" s="34">
        <v>37</v>
      </c>
      <c r="F8" s="17">
        <v>34934.042</v>
      </c>
      <c r="G8" s="18">
        <v>72</v>
      </c>
      <c r="H8" s="1">
        <v>0</v>
      </c>
      <c r="I8" s="1">
        <v>0</v>
      </c>
      <c r="J8" s="1">
        <v>12</v>
      </c>
      <c r="K8" s="1"/>
      <c r="L8" s="18"/>
      <c r="M8" s="1"/>
      <c r="N8" s="1"/>
      <c r="O8" s="19"/>
      <c r="P8" s="1"/>
      <c r="Q8" s="1"/>
      <c r="R8" s="1"/>
      <c r="S8" s="1"/>
      <c r="T8" s="1"/>
      <c r="U8" s="1"/>
      <c r="V8" s="1"/>
      <c r="W8" s="1"/>
      <c r="X8" s="20"/>
      <c r="Y8" s="1"/>
      <c r="Z8" s="1"/>
      <c r="AA8" s="1"/>
      <c r="AB8" s="1"/>
      <c r="AC8" s="1"/>
      <c r="AD8" s="1"/>
      <c r="AE8" s="1"/>
      <c r="AF8" s="1"/>
      <c r="AG8" s="1"/>
      <c r="AH8" s="1"/>
      <c r="AI8" s="1"/>
      <c r="AJ8" s="1"/>
      <c r="AK8" s="1"/>
      <c r="AL8" s="18"/>
      <c r="AM8" s="11">
        <f t="shared" si="0"/>
        <v>0</v>
      </c>
      <c r="AN8" s="21" t="s">
        <v>95</v>
      </c>
      <c r="AO8" s="21" t="s">
        <v>96</v>
      </c>
      <c r="AP8" s="21">
        <f t="shared" ref="AP8:AP21" si="1">AM8*0.5</f>
        <v>0</v>
      </c>
      <c r="AQ8" s="21">
        <f t="shared" ref="AQ8:AQ21" si="2">AM8*0.5</f>
        <v>0</v>
      </c>
      <c r="AR8" s="21"/>
      <c r="AS8" s="21"/>
      <c r="AT8" s="21"/>
      <c r="AU8" s="21"/>
      <c r="AV8" s="21"/>
      <c r="AW8" s="22">
        <v>2006</v>
      </c>
      <c r="AX8" s="24">
        <v>2018</v>
      </c>
      <c r="AY8" s="24"/>
      <c r="AZ8" s="35" t="s">
        <v>110</v>
      </c>
      <c r="BA8" s="21" t="s">
        <v>111</v>
      </c>
    </row>
    <row r="9" s="3" customFormat="1" ht="18" customHeight="1" spans="1:53">
      <c r="A9" s="12"/>
      <c r="B9" s="12" t="s">
        <v>138</v>
      </c>
      <c r="C9" s="33"/>
      <c r="D9" s="15">
        <f>91.108+64</f>
        <v>155.108</v>
      </c>
      <c r="E9" s="34">
        <v>3</v>
      </c>
      <c r="F9" s="17">
        <v>1340.753552</v>
      </c>
      <c r="G9" s="18">
        <v>6</v>
      </c>
      <c r="H9" s="1">
        <v>0</v>
      </c>
      <c r="I9" s="1">
        <v>0</v>
      </c>
      <c r="J9" s="1">
        <v>2</v>
      </c>
      <c r="K9" s="1"/>
      <c r="L9" s="36"/>
      <c r="M9" s="1"/>
      <c r="N9" s="1"/>
      <c r="O9" s="19"/>
      <c r="P9" s="1"/>
      <c r="Q9" s="1"/>
      <c r="R9" s="1"/>
      <c r="S9" s="1"/>
      <c r="T9" s="1"/>
      <c r="U9" s="1"/>
      <c r="V9" s="1"/>
      <c r="W9" s="1"/>
      <c r="X9" s="20"/>
      <c r="Y9" s="1"/>
      <c r="Z9" s="1"/>
      <c r="AA9" s="1"/>
      <c r="AB9" s="1"/>
      <c r="AC9" s="1"/>
      <c r="AD9" s="1"/>
      <c r="AE9" s="1"/>
      <c r="AF9" s="1"/>
      <c r="AG9" s="1"/>
      <c r="AH9" s="1"/>
      <c r="AI9" s="1"/>
      <c r="AJ9" s="1"/>
      <c r="AK9" s="1"/>
      <c r="AL9" s="18"/>
      <c r="AM9" s="11">
        <f t="shared" si="0"/>
        <v>0</v>
      </c>
      <c r="AN9" s="21" t="s">
        <v>95</v>
      </c>
      <c r="AO9" s="21" t="s">
        <v>96</v>
      </c>
      <c r="AP9" s="21">
        <f t="shared" si="1"/>
        <v>0</v>
      </c>
      <c r="AQ9" s="21">
        <f t="shared" si="2"/>
        <v>0</v>
      </c>
      <c r="AR9" s="21"/>
      <c r="AS9" s="21"/>
      <c r="AT9" s="21"/>
      <c r="AU9" s="21"/>
      <c r="AV9" s="21"/>
      <c r="AW9" s="22">
        <v>2006</v>
      </c>
      <c r="AX9" s="24">
        <v>2018</v>
      </c>
      <c r="AY9" s="24"/>
      <c r="AZ9" s="37"/>
      <c r="BA9" s="21" t="s">
        <v>111</v>
      </c>
    </row>
    <row r="10" s="3" customFormat="1" ht="18" customHeight="1" spans="1:53">
      <c r="A10" s="12"/>
      <c r="B10" s="12" t="s">
        <v>139</v>
      </c>
      <c r="C10" s="33"/>
      <c r="D10" s="15">
        <f>150.315+74.559</f>
        <v>224.874</v>
      </c>
      <c r="E10" s="34">
        <v>5</v>
      </c>
      <c r="F10" s="17">
        <v>1943.810856</v>
      </c>
      <c r="G10" s="18">
        <v>12</v>
      </c>
      <c r="H10" s="1">
        <v>0</v>
      </c>
      <c r="I10" s="1">
        <v>0</v>
      </c>
      <c r="J10" s="1">
        <v>3</v>
      </c>
      <c r="K10" s="1"/>
      <c r="L10" s="36"/>
      <c r="M10" s="1"/>
      <c r="N10" s="1"/>
      <c r="O10" s="19"/>
      <c r="P10" s="1"/>
      <c r="Q10" s="1"/>
      <c r="R10" s="1"/>
      <c r="S10" s="1"/>
      <c r="T10" s="1"/>
      <c r="U10" s="1"/>
      <c r="V10" s="1"/>
      <c r="W10" s="1"/>
      <c r="X10" s="20"/>
      <c r="Y10" s="1"/>
      <c r="Z10" s="1"/>
      <c r="AA10" s="1"/>
      <c r="AB10" s="1"/>
      <c r="AC10" s="1"/>
      <c r="AD10" s="1"/>
      <c r="AE10" s="1"/>
      <c r="AF10" s="1"/>
      <c r="AG10" s="1"/>
      <c r="AH10" s="1"/>
      <c r="AI10" s="1"/>
      <c r="AJ10" s="1"/>
      <c r="AK10" s="1"/>
      <c r="AL10" s="18"/>
      <c r="AM10" s="11">
        <f t="shared" si="0"/>
        <v>0</v>
      </c>
      <c r="AN10" s="21" t="s">
        <v>95</v>
      </c>
      <c r="AO10" s="21" t="s">
        <v>96</v>
      </c>
      <c r="AP10" s="21">
        <f t="shared" si="1"/>
        <v>0</v>
      </c>
      <c r="AQ10" s="21">
        <f t="shared" si="2"/>
        <v>0</v>
      </c>
      <c r="AR10" s="21"/>
      <c r="AS10" s="21"/>
      <c r="AT10" s="21"/>
      <c r="AU10" s="21"/>
      <c r="AV10" s="21"/>
      <c r="AW10" s="22">
        <v>2006</v>
      </c>
      <c r="AX10" s="24">
        <v>2018</v>
      </c>
      <c r="AY10" s="24"/>
      <c r="AZ10" s="37"/>
      <c r="BA10" s="21" t="s">
        <v>111</v>
      </c>
    </row>
    <row r="11" s="3" customFormat="1" ht="18" customHeight="1" spans="1:53">
      <c r="A11" s="12">
        <v>6</v>
      </c>
      <c r="B11" s="12" t="s">
        <v>140</v>
      </c>
      <c r="C11" s="33" t="s">
        <v>137</v>
      </c>
      <c r="D11" s="15">
        <v>219.11</v>
      </c>
      <c r="E11" s="34">
        <v>5</v>
      </c>
      <c r="F11" s="17">
        <v>1893.98684</v>
      </c>
      <c r="G11" s="18">
        <v>12</v>
      </c>
      <c r="H11" s="1">
        <v>0</v>
      </c>
      <c r="I11" s="1">
        <v>0</v>
      </c>
      <c r="J11" s="1">
        <v>2</v>
      </c>
      <c r="K11" s="1"/>
      <c r="L11" s="36"/>
      <c r="M11" s="1"/>
      <c r="N11" s="1"/>
      <c r="O11" s="19"/>
      <c r="P11" s="1"/>
      <c r="Q11" s="1"/>
      <c r="R11" s="1"/>
      <c r="S11" s="1"/>
      <c r="T11" s="1"/>
      <c r="U11" s="1"/>
      <c r="V11" s="1"/>
      <c r="W11" s="1"/>
      <c r="X11" s="20"/>
      <c r="Y11" s="1"/>
      <c r="Z11" s="1"/>
      <c r="AA11" s="1"/>
      <c r="AB11" s="1"/>
      <c r="AC11" s="1"/>
      <c r="AD11" s="1"/>
      <c r="AE11" s="1"/>
      <c r="AF11" s="1"/>
      <c r="AG11" s="1"/>
      <c r="AH11" s="1"/>
      <c r="AI11" s="1"/>
      <c r="AJ11" s="1"/>
      <c r="AK11" s="1"/>
      <c r="AL11" s="18"/>
      <c r="AM11" s="11">
        <f t="shared" si="0"/>
        <v>0</v>
      </c>
      <c r="AN11" s="21" t="s">
        <v>95</v>
      </c>
      <c r="AO11" s="21" t="s">
        <v>96</v>
      </c>
      <c r="AP11" s="21">
        <f t="shared" si="1"/>
        <v>0</v>
      </c>
      <c r="AQ11" s="21">
        <f t="shared" si="2"/>
        <v>0</v>
      </c>
      <c r="AR11" s="21"/>
      <c r="AS11" s="21"/>
      <c r="AT11" s="21"/>
      <c r="AU11" s="21"/>
      <c r="AV11" s="21"/>
      <c r="AW11" s="22">
        <v>2006</v>
      </c>
      <c r="AX11" s="24">
        <v>2018</v>
      </c>
      <c r="AY11" s="24"/>
      <c r="AZ11" s="35" t="s">
        <v>110</v>
      </c>
      <c r="BA11" s="21" t="s">
        <v>111</v>
      </c>
    </row>
    <row r="12" s="3" customFormat="1" ht="18" customHeight="1" spans="1:53">
      <c r="A12" s="12"/>
      <c r="B12" s="12" t="s">
        <v>141</v>
      </c>
      <c r="C12" s="33"/>
      <c r="D12" s="15">
        <v>150.56</v>
      </c>
      <c r="E12" s="34">
        <v>5</v>
      </c>
      <c r="F12" s="17">
        <v>1252.96032</v>
      </c>
      <c r="G12" s="18">
        <v>12</v>
      </c>
      <c r="H12" s="1">
        <v>0</v>
      </c>
      <c r="I12" s="1">
        <v>0</v>
      </c>
      <c r="J12" s="1">
        <v>2</v>
      </c>
      <c r="K12" s="1"/>
      <c r="L12" s="36"/>
      <c r="M12" s="1"/>
      <c r="N12" s="1"/>
      <c r="O12" s="19"/>
      <c r="P12" s="1"/>
      <c r="Q12" s="1"/>
      <c r="R12" s="1"/>
      <c r="S12" s="1"/>
      <c r="T12" s="1"/>
      <c r="U12" s="1"/>
      <c r="V12" s="1"/>
      <c r="W12" s="1"/>
      <c r="X12" s="20"/>
      <c r="Y12" s="1"/>
      <c r="Z12" s="1"/>
      <c r="AA12" s="1"/>
      <c r="AB12" s="1"/>
      <c r="AC12" s="1"/>
      <c r="AD12" s="1"/>
      <c r="AE12" s="1"/>
      <c r="AF12" s="1"/>
      <c r="AG12" s="1"/>
      <c r="AH12" s="1"/>
      <c r="AI12" s="1"/>
      <c r="AJ12" s="1"/>
      <c r="AK12" s="1"/>
      <c r="AL12" s="18"/>
      <c r="AM12" s="11">
        <f t="shared" si="0"/>
        <v>0</v>
      </c>
      <c r="AN12" s="21" t="s">
        <v>95</v>
      </c>
      <c r="AO12" s="21" t="s">
        <v>96</v>
      </c>
      <c r="AP12" s="21">
        <f t="shared" si="1"/>
        <v>0</v>
      </c>
      <c r="AQ12" s="21">
        <f t="shared" si="2"/>
        <v>0</v>
      </c>
      <c r="AR12" s="21"/>
      <c r="AS12" s="21"/>
      <c r="AT12" s="21"/>
      <c r="AU12" s="21"/>
      <c r="AV12" s="21"/>
      <c r="AW12" s="22">
        <v>2006</v>
      </c>
      <c r="AX12" s="24">
        <v>2018</v>
      </c>
      <c r="AY12" s="24"/>
      <c r="AZ12" s="37"/>
      <c r="BA12" s="21" t="s">
        <v>111</v>
      </c>
    </row>
    <row r="13" s="3" customFormat="1" ht="18" customHeight="1" spans="1:53">
      <c r="A13" s="12"/>
      <c r="B13" s="12" t="s">
        <v>142</v>
      </c>
      <c r="C13" s="33"/>
      <c r="D13" s="15">
        <v>150.56</v>
      </c>
      <c r="E13" s="34">
        <v>5</v>
      </c>
      <c r="F13" s="17">
        <v>1252.96032</v>
      </c>
      <c r="G13" s="18">
        <v>12</v>
      </c>
      <c r="H13" s="1">
        <v>0</v>
      </c>
      <c r="I13" s="1">
        <v>0</v>
      </c>
      <c r="J13" s="1">
        <v>2</v>
      </c>
      <c r="K13" s="1"/>
      <c r="L13" s="36"/>
      <c r="M13" s="1"/>
      <c r="N13" s="1"/>
      <c r="O13" s="19"/>
      <c r="P13" s="1"/>
      <c r="Q13" s="1"/>
      <c r="R13" s="1"/>
      <c r="S13" s="1"/>
      <c r="T13" s="1"/>
      <c r="U13" s="1"/>
      <c r="V13" s="1"/>
      <c r="W13" s="1"/>
      <c r="X13" s="20"/>
      <c r="Y13" s="1"/>
      <c r="Z13" s="1"/>
      <c r="AA13" s="1"/>
      <c r="AB13" s="1"/>
      <c r="AC13" s="1"/>
      <c r="AD13" s="1"/>
      <c r="AE13" s="1"/>
      <c r="AF13" s="1"/>
      <c r="AG13" s="1"/>
      <c r="AH13" s="1"/>
      <c r="AI13" s="1"/>
      <c r="AJ13" s="1"/>
      <c r="AK13" s="1"/>
      <c r="AL13" s="18"/>
      <c r="AM13" s="11">
        <f t="shared" si="0"/>
        <v>0</v>
      </c>
      <c r="AN13" s="21" t="s">
        <v>95</v>
      </c>
      <c r="AO13" s="21" t="s">
        <v>96</v>
      </c>
      <c r="AP13" s="21">
        <f t="shared" si="1"/>
        <v>0</v>
      </c>
      <c r="AQ13" s="21">
        <f t="shared" si="2"/>
        <v>0</v>
      </c>
      <c r="AR13" s="21"/>
      <c r="AS13" s="21"/>
      <c r="AT13" s="21"/>
      <c r="AU13" s="21"/>
      <c r="AV13" s="21"/>
      <c r="AW13" s="22">
        <v>2006</v>
      </c>
      <c r="AX13" s="24">
        <v>2018</v>
      </c>
      <c r="AY13" s="24"/>
      <c r="AZ13" s="37"/>
      <c r="BA13" s="21" t="s">
        <v>111</v>
      </c>
    </row>
    <row r="14" s="3" customFormat="1" ht="18" customHeight="1" spans="1:53">
      <c r="A14" s="12"/>
      <c r="B14" s="12" t="s">
        <v>143</v>
      </c>
      <c r="C14" s="33"/>
      <c r="D14" s="15">
        <v>150.06</v>
      </c>
      <c r="E14" s="34">
        <v>5</v>
      </c>
      <c r="F14" s="17">
        <v>1248.79932</v>
      </c>
      <c r="G14" s="18">
        <v>12</v>
      </c>
      <c r="H14" s="1">
        <v>0</v>
      </c>
      <c r="I14" s="1">
        <v>0</v>
      </c>
      <c r="J14" s="1">
        <v>2</v>
      </c>
      <c r="K14" s="1"/>
      <c r="L14" s="36"/>
      <c r="M14" s="1"/>
      <c r="N14" s="1"/>
      <c r="O14" s="19"/>
      <c r="P14" s="1"/>
      <c r="Q14" s="1"/>
      <c r="R14" s="1"/>
      <c r="S14" s="1"/>
      <c r="T14" s="1"/>
      <c r="U14" s="1"/>
      <c r="V14" s="1"/>
      <c r="W14" s="1"/>
      <c r="X14" s="20"/>
      <c r="Y14" s="1"/>
      <c r="Z14" s="1"/>
      <c r="AA14" s="1"/>
      <c r="AB14" s="1"/>
      <c r="AC14" s="1"/>
      <c r="AD14" s="1"/>
      <c r="AE14" s="1"/>
      <c r="AF14" s="1"/>
      <c r="AG14" s="1"/>
      <c r="AH14" s="1"/>
      <c r="AI14" s="1"/>
      <c r="AJ14" s="1"/>
      <c r="AK14" s="1"/>
      <c r="AL14" s="18"/>
      <c r="AM14" s="11">
        <f t="shared" si="0"/>
        <v>0</v>
      </c>
      <c r="AN14" s="21" t="s">
        <v>95</v>
      </c>
      <c r="AO14" s="21" t="s">
        <v>96</v>
      </c>
      <c r="AP14" s="21">
        <f t="shared" si="1"/>
        <v>0</v>
      </c>
      <c r="AQ14" s="21">
        <f t="shared" si="2"/>
        <v>0</v>
      </c>
      <c r="AR14" s="21"/>
      <c r="AS14" s="21"/>
      <c r="AT14" s="21"/>
      <c r="AU14" s="21"/>
      <c r="AV14" s="21"/>
      <c r="AW14" s="22">
        <v>2006</v>
      </c>
      <c r="AX14" s="24">
        <v>2018</v>
      </c>
      <c r="AY14" s="24"/>
      <c r="AZ14" s="37"/>
      <c r="BA14" s="21" t="s">
        <v>111</v>
      </c>
    </row>
    <row r="15" s="3" customFormat="1" ht="18" customHeight="1" spans="1:53">
      <c r="A15" s="12"/>
      <c r="B15" s="12" t="s">
        <v>144</v>
      </c>
      <c r="C15" s="33"/>
      <c r="D15" s="15">
        <v>120.56</v>
      </c>
      <c r="E15" s="34">
        <v>4</v>
      </c>
      <c r="F15" s="17">
        <v>1003.30032</v>
      </c>
      <c r="G15" s="18">
        <v>12</v>
      </c>
      <c r="H15" s="1">
        <v>0</v>
      </c>
      <c r="I15" s="1">
        <v>0</v>
      </c>
      <c r="J15" s="1">
        <v>2</v>
      </c>
      <c r="K15" s="1"/>
      <c r="L15" s="36"/>
      <c r="M15" s="1"/>
      <c r="N15" s="1"/>
      <c r="O15" s="19"/>
      <c r="P15" s="1"/>
      <c r="Q15" s="1"/>
      <c r="R15" s="1"/>
      <c r="S15" s="1"/>
      <c r="T15" s="1"/>
      <c r="U15" s="1"/>
      <c r="V15" s="1"/>
      <c r="W15" s="1"/>
      <c r="X15" s="20"/>
      <c r="Y15" s="1"/>
      <c r="Z15" s="1"/>
      <c r="AA15" s="1"/>
      <c r="AB15" s="1"/>
      <c r="AC15" s="1"/>
      <c r="AD15" s="1"/>
      <c r="AE15" s="1"/>
      <c r="AF15" s="1"/>
      <c r="AG15" s="1"/>
      <c r="AH15" s="1"/>
      <c r="AI15" s="1"/>
      <c r="AJ15" s="1"/>
      <c r="AK15" s="1"/>
      <c r="AL15" s="18"/>
      <c r="AM15" s="11">
        <f t="shared" si="0"/>
        <v>0</v>
      </c>
      <c r="AN15" s="21" t="s">
        <v>95</v>
      </c>
      <c r="AO15" s="21" t="s">
        <v>96</v>
      </c>
      <c r="AP15" s="21">
        <f t="shared" si="1"/>
        <v>0</v>
      </c>
      <c r="AQ15" s="21">
        <f t="shared" si="2"/>
        <v>0</v>
      </c>
      <c r="AR15" s="21"/>
      <c r="AS15" s="21"/>
      <c r="AT15" s="21"/>
      <c r="AU15" s="21"/>
      <c r="AV15" s="21"/>
      <c r="AW15" s="22">
        <v>2006</v>
      </c>
      <c r="AX15" s="24">
        <v>2018</v>
      </c>
      <c r="AY15" s="24"/>
      <c r="AZ15" s="37"/>
      <c r="BA15" s="21" t="s">
        <v>111</v>
      </c>
    </row>
    <row r="16" s="3" customFormat="1" ht="18" customHeight="1" spans="1:53">
      <c r="A16" s="12"/>
      <c r="B16" s="12" t="s">
        <v>145</v>
      </c>
      <c r="C16" s="33"/>
      <c r="D16" s="15">
        <v>180.262</v>
      </c>
      <c r="E16" s="34">
        <v>5</v>
      </c>
      <c r="F16" s="17">
        <v>1558.184728</v>
      </c>
      <c r="G16" s="18">
        <v>12</v>
      </c>
      <c r="H16" s="1">
        <v>0</v>
      </c>
      <c r="I16" s="1">
        <v>0</v>
      </c>
      <c r="J16" s="1">
        <v>2</v>
      </c>
      <c r="K16" s="1"/>
      <c r="L16" s="36"/>
      <c r="M16" s="1"/>
      <c r="N16" s="1"/>
      <c r="O16" s="19"/>
      <c r="P16" s="1"/>
      <c r="Q16" s="1"/>
      <c r="R16" s="1"/>
      <c r="S16" s="1"/>
      <c r="T16" s="1"/>
      <c r="U16" s="1"/>
      <c r="V16" s="1"/>
      <c r="W16" s="1"/>
      <c r="X16" s="20"/>
      <c r="Y16" s="1"/>
      <c r="Z16" s="1"/>
      <c r="AA16" s="1"/>
      <c r="AB16" s="1"/>
      <c r="AC16" s="1"/>
      <c r="AD16" s="1"/>
      <c r="AE16" s="1"/>
      <c r="AF16" s="1"/>
      <c r="AG16" s="1"/>
      <c r="AH16" s="1"/>
      <c r="AI16" s="1"/>
      <c r="AJ16" s="1"/>
      <c r="AK16" s="1"/>
      <c r="AL16" s="18"/>
      <c r="AM16" s="11">
        <f t="shared" si="0"/>
        <v>0</v>
      </c>
      <c r="AN16" s="21" t="s">
        <v>95</v>
      </c>
      <c r="AO16" s="21" t="s">
        <v>96</v>
      </c>
      <c r="AP16" s="21">
        <f t="shared" si="1"/>
        <v>0</v>
      </c>
      <c r="AQ16" s="21">
        <f t="shared" si="2"/>
        <v>0</v>
      </c>
      <c r="AR16" s="21"/>
      <c r="AS16" s="21"/>
      <c r="AT16" s="21"/>
      <c r="AU16" s="21"/>
      <c r="AV16" s="21"/>
      <c r="AW16" s="22">
        <v>2006</v>
      </c>
      <c r="AX16" s="24">
        <v>2018</v>
      </c>
      <c r="AY16" s="24"/>
      <c r="AZ16" s="37"/>
      <c r="BA16" s="21" t="s">
        <v>111</v>
      </c>
    </row>
    <row r="17" s="3" customFormat="1" ht="18" customHeight="1" spans="1:53">
      <c r="A17" s="12"/>
      <c r="B17" s="12" t="s">
        <v>146</v>
      </c>
      <c r="C17" s="33"/>
      <c r="D17" s="15">
        <v>150.56</v>
      </c>
      <c r="E17" s="34">
        <v>5</v>
      </c>
      <c r="F17" s="17">
        <v>1252.96032</v>
      </c>
      <c r="G17" s="18">
        <v>12</v>
      </c>
      <c r="H17" s="1">
        <v>0</v>
      </c>
      <c r="I17" s="1">
        <v>0</v>
      </c>
      <c r="J17" s="1">
        <v>2</v>
      </c>
      <c r="K17" s="1"/>
      <c r="L17" s="36"/>
      <c r="M17" s="1"/>
      <c r="N17" s="1"/>
      <c r="O17" s="19"/>
      <c r="P17" s="1"/>
      <c r="Q17" s="1"/>
      <c r="R17" s="1"/>
      <c r="S17" s="1"/>
      <c r="T17" s="1"/>
      <c r="U17" s="1"/>
      <c r="V17" s="1"/>
      <c r="W17" s="1"/>
      <c r="X17" s="20"/>
      <c r="Y17" s="1"/>
      <c r="Z17" s="1"/>
      <c r="AA17" s="1"/>
      <c r="AB17" s="1"/>
      <c r="AC17" s="1"/>
      <c r="AD17" s="1"/>
      <c r="AE17" s="1"/>
      <c r="AF17" s="1"/>
      <c r="AG17" s="1"/>
      <c r="AH17" s="1"/>
      <c r="AI17" s="1"/>
      <c r="AJ17" s="1"/>
      <c r="AK17" s="1"/>
      <c r="AL17" s="18"/>
      <c r="AM17" s="11">
        <f t="shared" si="0"/>
        <v>0</v>
      </c>
      <c r="AN17" s="21" t="s">
        <v>95</v>
      </c>
      <c r="AO17" s="21" t="s">
        <v>96</v>
      </c>
      <c r="AP17" s="21">
        <f t="shared" si="1"/>
        <v>0</v>
      </c>
      <c r="AQ17" s="21">
        <f t="shared" si="2"/>
        <v>0</v>
      </c>
      <c r="AR17" s="21"/>
      <c r="AS17" s="21"/>
      <c r="AT17" s="21"/>
      <c r="AU17" s="21"/>
      <c r="AV17" s="21"/>
      <c r="AW17" s="22">
        <v>2006</v>
      </c>
      <c r="AX17" s="24">
        <v>2018</v>
      </c>
      <c r="AY17" s="24"/>
      <c r="AZ17" s="37"/>
      <c r="BA17" s="21" t="s">
        <v>111</v>
      </c>
    </row>
    <row r="18" s="3" customFormat="1" ht="18" customHeight="1" spans="1:53">
      <c r="A18" s="12"/>
      <c r="B18" s="12" t="s">
        <v>147</v>
      </c>
      <c r="C18" s="33"/>
      <c r="D18" s="15">
        <v>150.56</v>
      </c>
      <c r="E18" s="34">
        <v>5</v>
      </c>
      <c r="F18" s="17">
        <v>1252.96032</v>
      </c>
      <c r="G18" s="18">
        <v>12</v>
      </c>
      <c r="H18" s="1">
        <v>0</v>
      </c>
      <c r="I18" s="1">
        <v>0</v>
      </c>
      <c r="J18" s="1">
        <v>2</v>
      </c>
      <c r="K18" s="1"/>
      <c r="L18" s="36"/>
      <c r="M18" s="1"/>
      <c r="N18" s="1"/>
      <c r="O18" s="19"/>
      <c r="P18" s="1"/>
      <c r="Q18" s="1"/>
      <c r="R18" s="1"/>
      <c r="S18" s="1"/>
      <c r="T18" s="1"/>
      <c r="U18" s="1"/>
      <c r="V18" s="1"/>
      <c r="W18" s="1"/>
      <c r="X18" s="20"/>
      <c r="Y18" s="1"/>
      <c r="Z18" s="1"/>
      <c r="AA18" s="1"/>
      <c r="AB18" s="1"/>
      <c r="AC18" s="1"/>
      <c r="AD18" s="1"/>
      <c r="AE18" s="1"/>
      <c r="AF18" s="1"/>
      <c r="AG18" s="1"/>
      <c r="AH18" s="1"/>
      <c r="AI18" s="1"/>
      <c r="AJ18" s="1"/>
      <c r="AK18" s="1"/>
      <c r="AL18" s="18"/>
      <c r="AM18" s="11">
        <f t="shared" si="0"/>
        <v>0</v>
      </c>
      <c r="AN18" s="21" t="s">
        <v>95</v>
      </c>
      <c r="AO18" s="21" t="s">
        <v>96</v>
      </c>
      <c r="AP18" s="21">
        <f t="shared" si="1"/>
        <v>0</v>
      </c>
      <c r="AQ18" s="21">
        <f t="shared" si="2"/>
        <v>0</v>
      </c>
      <c r="AR18" s="21"/>
      <c r="AS18" s="21"/>
      <c r="AT18" s="21"/>
      <c r="AU18" s="21"/>
      <c r="AV18" s="21"/>
      <c r="AW18" s="22">
        <v>2006</v>
      </c>
      <c r="AX18" s="24">
        <v>2018</v>
      </c>
      <c r="AY18" s="24"/>
      <c r="AZ18" s="37"/>
      <c r="BA18" s="21" t="s">
        <v>111</v>
      </c>
    </row>
    <row r="19" s="3" customFormat="1" ht="18" customHeight="1" spans="1:53">
      <c r="A19" s="12"/>
      <c r="B19" s="12" t="s">
        <v>148</v>
      </c>
      <c r="C19" s="33"/>
      <c r="D19" s="15">
        <v>150.56</v>
      </c>
      <c r="E19" s="34">
        <v>5</v>
      </c>
      <c r="F19" s="17">
        <v>1252.96032</v>
      </c>
      <c r="G19" s="18">
        <v>12</v>
      </c>
      <c r="H19" s="1">
        <v>0</v>
      </c>
      <c r="I19" s="1">
        <v>0</v>
      </c>
      <c r="J19" s="1">
        <v>2</v>
      </c>
      <c r="K19" s="1"/>
      <c r="L19" s="36"/>
      <c r="M19" s="1"/>
      <c r="N19" s="1"/>
      <c r="O19" s="19"/>
      <c r="P19" s="1"/>
      <c r="Q19" s="1"/>
      <c r="R19" s="1"/>
      <c r="S19" s="1"/>
      <c r="T19" s="1"/>
      <c r="U19" s="1"/>
      <c r="V19" s="1"/>
      <c r="W19" s="1"/>
      <c r="X19" s="20"/>
      <c r="Y19" s="1"/>
      <c r="Z19" s="1"/>
      <c r="AA19" s="1"/>
      <c r="AB19" s="1"/>
      <c r="AC19" s="1"/>
      <c r="AD19" s="1"/>
      <c r="AE19" s="1"/>
      <c r="AF19" s="1"/>
      <c r="AG19" s="1"/>
      <c r="AH19" s="1"/>
      <c r="AI19" s="1"/>
      <c r="AJ19" s="1"/>
      <c r="AK19" s="1"/>
      <c r="AL19" s="18"/>
      <c r="AM19" s="11">
        <f t="shared" si="0"/>
        <v>0</v>
      </c>
      <c r="AN19" s="21" t="s">
        <v>95</v>
      </c>
      <c r="AO19" s="21" t="s">
        <v>96</v>
      </c>
      <c r="AP19" s="21">
        <f t="shared" si="1"/>
        <v>0</v>
      </c>
      <c r="AQ19" s="21">
        <f t="shared" si="2"/>
        <v>0</v>
      </c>
      <c r="AR19" s="21"/>
      <c r="AS19" s="21"/>
      <c r="AT19" s="21"/>
      <c r="AU19" s="21"/>
      <c r="AV19" s="21"/>
      <c r="AW19" s="22">
        <v>2006</v>
      </c>
      <c r="AX19" s="24">
        <v>2018</v>
      </c>
      <c r="AY19" s="24"/>
      <c r="AZ19" s="37"/>
      <c r="BA19" s="21" t="s">
        <v>111</v>
      </c>
    </row>
    <row r="20" s="3" customFormat="1" ht="18" customHeight="1" spans="1:53">
      <c r="A20" s="12"/>
      <c r="B20" s="12" t="s">
        <v>149</v>
      </c>
      <c r="C20" s="33"/>
      <c r="D20" s="15">
        <v>150.56</v>
      </c>
      <c r="E20" s="34">
        <v>5</v>
      </c>
      <c r="F20" s="17">
        <v>1252.96032</v>
      </c>
      <c r="G20" s="18">
        <v>12</v>
      </c>
      <c r="H20" s="1">
        <v>0</v>
      </c>
      <c r="I20" s="1">
        <v>0</v>
      </c>
      <c r="J20" s="1">
        <v>2</v>
      </c>
      <c r="K20" s="1"/>
      <c r="L20" s="36"/>
      <c r="M20" s="1"/>
      <c r="N20" s="1"/>
      <c r="O20" s="19"/>
      <c r="P20" s="1"/>
      <c r="Q20" s="1"/>
      <c r="R20" s="1"/>
      <c r="S20" s="1"/>
      <c r="T20" s="1"/>
      <c r="U20" s="1"/>
      <c r="V20" s="1"/>
      <c r="W20" s="1"/>
      <c r="X20" s="20"/>
      <c r="Y20" s="1"/>
      <c r="Z20" s="1"/>
      <c r="AA20" s="1"/>
      <c r="AB20" s="1"/>
      <c r="AC20" s="1"/>
      <c r="AD20" s="1"/>
      <c r="AE20" s="1"/>
      <c r="AF20" s="1"/>
      <c r="AG20" s="1"/>
      <c r="AH20" s="1"/>
      <c r="AI20" s="1"/>
      <c r="AJ20" s="1"/>
      <c r="AK20" s="1"/>
      <c r="AL20" s="18"/>
      <c r="AM20" s="11">
        <f t="shared" si="0"/>
        <v>0</v>
      </c>
      <c r="AN20" s="21" t="s">
        <v>95</v>
      </c>
      <c r="AO20" s="21" t="s">
        <v>96</v>
      </c>
      <c r="AP20" s="21">
        <f t="shared" si="1"/>
        <v>0</v>
      </c>
      <c r="AQ20" s="21">
        <f t="shared" si="2"/>
        <v>0</v>
      </c>
      <c r="AR20" s="21"/>
      <c r="AS20" s="21"/>
      <c r="AT20" s="21"/>
      <c r="AU20" s="21"/>
      <c r="AV20" s="21"/>
      <c r="AW20" s="22">
        <v>2006</v>
      </c>
      <c r="AX20" s="24">
        <v>2018</v>
      </c>
      <c r="AY20" s="24"/>
      <c r="AZ20" s="37"/>
      <c r="BA20" s="21" t="s">
        <v>111</v>
      </c>
    </row>
    <row r="21" s="3" customFormat="1" ht="18" customHeight="1" spans="1:53">
      <c r="A21" s="12"/>
      <c r="B21" s="24" t="s">
        <v>150</v>
      </c>
      <c r="C21" s="33"/>
      <c r="D21" s="15">
        <f>1569.33+1439.93+1898.855</f>
        <v>4908.115</v>
      </c>
      <c r="E21" s="34">
        <v>158</v>
      </c>
      <c r="F21" s="17">
        <v>193611.22</v>
      </c>
      <c r="G21" s="18">
        <v>270</v>
      </c>
      <c r="H21" s="1">
        <v>0</v>
      </c>
      <c r="I21" s="1">
        <v>0</v>
      </c>
      <c r="J21" s="1">
        <v>46</v>
      </c>
      <c r="K21" s="1"/>
      <c r="L21" s="18"/>
      <c r="M21" s="1"/>
      <c r="N21" s="1"/>
      <c r="O21" s="19"/>
      <c r="P21" s="1"/>
      <c r="Q21" s="1"/>
      <c r="R21" s="1"/>
      <c r="S21" s="1"/>
      <c r="T21" s="1"/>
      <c r="U21" s="1"/>
      <c r="V21" s="1"/>
      <c r="W21" s="1"/>
      <c r="X21" s="20"/>
      <c r="Y21" s="1"/>
      <c r="Z21" s="1"/>
      <c r="AA21" s="1"/>
      <c r="AB21" s="1"/>
      <c r="AC21" s="1"/>
      <c r="AD21" s="1"/>
      <c r="AE21" s="1"/>
      <c r="AF21" s="1"/>
      <c r="AG21" s="1"/>
      <c r="AH21" s="1"/>
      <c r="AI21" s="1"/>
      <c r="AJ21" s="1"/>
      <c r="AK21" s="1"/>
      <c r="AL21" s="18"/>
      <c r="AM21" s="11">
        <f t="shared" si="0"/>
        <v>0</v>
      </c>
      <c r="AN21" s="21" t="s">
        <v>95</v>
      </c>
      <c r="AO21" s="21" t="s">
        <v>96</v>
      </c>
      <c r="AP21" s="21">
        <f t="shared" si="1"/>
        <v>0</v>
      </c>
      <c r="AQ21" s="21">
        <f t="shared" si="2"/>
        <v>0</v>
      </c>
      <c r="AR21" s="21"/>
      <c r="AS21" s="21"/>
      <c r="AT21" s="21"/>
      <c r="AU21" s="21"/>
      <c r="AV21" s="21"/>
      <c r="AW21" s="22">
        <v>2006</v>
      </c>
      <c r="AX21" s="24">
        <v>2018</v>
      </c>
      <c r="AY21" s="24"/>
      <c r="AZ21" s="38"/>
      <c r="BA21" s="21" t="s">
        <v>111</v>
      </c>
    </row>
    <row r="22" s="3" customFormat="1" ht="18" customHeight="1" spans="1:53">
      <c r="A22" s="33">
        <v>7</v>
      </c>
      <c r="B22" s="13" t="s">
        <v>151</v>
      </c>
      <c r="C22" s="14" t="s">
        <v>94</v>
      </c>
      <c r="D22" s="15">
        <f>(1417+846+1099.6)+143.25</f>
        <v>3505.85</v>
      </c>
      <c r="E22" s="34">
        <v>102</v>
      </c>
      <c r="F22" s="17">
        <v>90745.875</v>
      </c>
      <c r="G22" s="18">
        <v>39</v>
      </c>
      <c r="H22" s="1">
        <v>0</v>
      </c>
      <c r="I22" s="1">
        <v>0</v>
      </c>
      <c r="J22" s="1">
        <v>262</v>
      </c>
      <c r="K22" s="1"/>
      <c r="L22" s="1"/>
      <c r="M22" s="31"/>
      <c r="N22" s="1"/>
      <c r="O22" s="39"/>
      <c r="P22" s="1"/>
      <c r="Q22" s="1"/>
      <c r="R22" s="1"/>
      <c r="S22" s="1"/>
      <c r="T22" s="1"/>
      <c r="U22" s="1"/>
      <c r="V22" s="1"/>
      <c r="W22" s="1"/>
      <c r="X22" s="20"/>
      <c r="Y22" s="31"/>
      <c r="Z22" s="31"/>
      <c r="AA22" s="1"/>
      <c r="AB22" s="31"/>
      <c r="AC22" s="31"/>
      <c r="AD22" s="31"/>
      <c r="AE22" s="1"/>
      <c r="AF22" s="1"/>
      <c r="AG22" s="31"/>
      <c r="AH22" s="31"/>
      <c r="AI22" s="31"/>
      <c r="AJ22" s="31"/>
      <c r="AK22" s="31"/>
      <c r="AL22" s="18"/>
      <c r="AM22" s="11">
        <f t="shared" si="0"/>
        <v>0</v>
      </c>
      <c r="AN22" s="21" t="s">
        <v>95</v>
      </c>
      <c r="AO22" s="21" t="s">
        <v>152</v>
      </c>
      <c r="AP22" s="21">
        <f t="shared" ref="AP22:AP32" si="3">AM22*5/8</f>
        <v>0</v>
      </c>
      <c r="AQ22" s="21">
        <f t="shared" ref="AQ22:AQ32" si="4">AM22*3/8</f>
        <v>0</v>
      </c>
      <c r="AR22" s="21"/>
      <c r="AS22" s="21"/>
      <c r="AT22" s="21"/>
      <c r="AU22" s="21"/>
      <c r="AV22" s="21"/>
      <c r="AW22" s="32" t="s">
        <v>97</v>
      </c>
      <c r="AX22" s="23" t="s">
        <v>109</v>
      </c>
      <c r="AY22" s="24"/>
      <c r="AZ22" s="35" t="s">
        <v>110</v>
      </c>
      <c r="BA22" s="21" t="s">
        <v>111</v>
      </c>
    </row>
    <row r="23" s="3" customFormat="1" ht="18" customHeight="1" spans="1:53">
      <c r="A23" s="33"/>
      <c r="B23" s="13" t="s">
        <v>153</v>
      </c>
      <c r="C23" s="14"/>
      <c r="D23" s="15">
        <v>296.024</v>
      </c>
      <c r="E23" s="34">
        <v>8</v>
      </c>
      <c r="F23" s="17">
        <v>2347.6</v>
      </c>
      <c r="G23" s="18">
        <v>4</v>
      </c>
      <c r="H23" s="1">
        <v>0</v>
      </c>
      <c r="I23" s="1">
        <v>0</v>
      </c>
      <c r="J23" s="1">
        <v>3</v>
      </c>
      <c r="K23" s="1"/>
      <c r="L23" s="1"/>
      <c r="M23" s="31"/>
      <c r="N23" s="1"/>
      <c r="O23" s="19"/>
      <c r="P23" s="1"/>
      <c r="Q23" s="1"/>
      <c r="R23" s="1"/>
      <c r="S23" s="1"/>
      <c r="T23" s="1"/>
      <c r="U23" s="1"/>
      <c r="V23" s="1"/>
      <c r="W23" s="1"/>
      <c r="X23" s="20"/>
      <c r="Y23" s="31"/>
      <c r="Z23" s="31"/>
      <c r="AA23" s="1"/>
      <c r="AB23" s="31"/>
      <c r="AC23" s="31"/>
      <c r="AD23" s="31"/>
      <c r="AE23" s="1"/>
      <c r="AF23" s="1"/>
      <c r="AG23" s="31"/>
      <c r="AH23" s="31"/>
      <c r="AI23" s="31"/>
      <c r="AJ23" s="31"/>
      <c r="AK23" s="31"/>
      <c r="AL23" s="18"/>
      <c r="AM23" s="11">
        <f t="shared" si="0"/>
        <v>0</v>
      </c>
      <c r="AN23" s="21" t="s">
        <v>95</v>
      </c>
      <c r="AO23" s="21" t="s">
        <v>152</v>
      </c>
      <c r="AP23" s="21">
        <f t="shared" si="3"/>
        <v>0</v>
      </c>
      <c r="AQ23" s="21">
        <f t="shared" si="4"/>
        <v>0</v>
      </c>
      <c r="AR23" s="21"/>
      <c r="AS23" s="21"/>
      <c r="AT23" s="21"/>
      <c r="AU23" s="21"/>
      <c r="AV23" s="21"/>
      <c r="AW23" s="32" t="s">
        <v>97</v>
      </c>
      <c r="AX23" s="23" t="s">
        <v>109</v>
      </c>
      <c r="AY23" s="24"/>
      <c r="AZ23" s="37"/>
      <c r="BA23" s="21" t="s">
        <v>111</v>
      </c>
    </row>
    <row r="24" s="3" customFormat="1" ht="18" customHeight="1" spans="1:53">
      <c r="A24" s="33"/>
      <c r="B24" s="13" t="s">
        <v>154</v>
      </c>
      <c r="C24" s="14"/>
      <c r="D24" s="15">
        <v>536.727</v>
      </c>
      <c r="E24" s="34">
        <v>18</v>
      </c>
      <c r="F24" s="17">
        <v>4293.816</v>
      </c>
      <c r="G24" s="18">
        <v>8</v>
      </c>
      <c r="H24" s="1">
        <v>0</v>
      </c>
      <c r="I24" s="1">
        <v>0</v>
      </c>
      <c r="J24" s="1">
        <v>6</v>
      </c>
      <c r="K24" s="1"/>
      <c r="L24" s="1"/>
      <c r="M24" s="31"/>
      <c r="N24" s="1"/>
      <c r="O24" s="19"/>
      <c r="P24" s="1"/>
      <c r="Q24" s="1"/>
      <c r="R24" s="1"/>
      <c r="S24" s="1"/>
      <c r="T24" s="1"/>
      <c r="U24" s="1"/>
      <c r="V24" s="1"/>
      <c r="W24" s="1"/>
      <c r="X24" s="20"/>
      <c r="Y24" s="31"/>
      <c r="Z24" s="31"/>
      <c r="AA24" s="1"/>
      <c r="AB24" s="31"/>
      <c r="AC24" s="31"/>
      <c r="AD24" s="31"/>
      <c r="AE24" s="1"/>
      <c r="AF24" s="1"/>
      <c r="AG24" s="31"/>
      <c r="AH24" s="31"/>
      <c r="AI24" s="31"/>
      <c r="AJ24" s="31"/>
      <c r="AK24" s="31"/>
      <c r="AL24" s="18"/>
      <c r="AM24" s="11">
        <f t="shared" si="0"/>
        <v>0</v>
      </c>
      <c r="AN24" s="21" t="s">
        <v>95</v>
      </c>
      <c r="AO24" s="21" t="s">
        <v>152</v>
      </c>
      <c r="AP24" s="21">
        <f t="shared" si="3"/>
        <v>0</v>
      </c>
      <c r="AQ24" s="21">
        <f t="shared" si="4"/>
        <v>0</v>
      </c>
      <c r="AR24" s="21"/>
      <c r="AS24" s="21"/>
      <c r="AT24" s="21"/>
      <c r="AU24" s="21"/>
      <c r="AV24" s="21"/>
      <c r="AW24" s="32" t="s">
        <v>97</v>
      </c>
      <c r="AX24" s="23" t="s">
        <v>109</v>
      </c>
      <c r="AY24" s="24"/>
      <c r="AZ24" s="37"/>
      <c r="BA24" s="21" t="s">
        <v>111</v>
      </c>
    </row>
    <row r="25" s="3" customFormat="1" ht="18" customHeight="1" spans="1:53">
      <c r="A25" s="33"/>
      <c r="B25" s="13" t="s">
        <v>155</v>
      </c>
      <c r="C25" s="14"/>
      <c r="D25" s="15">
        <v>353.869</v>
      </c>
      <c r="E25" s="34">
        <v>9</v>
      </c>
      <c r="F25" s="17">
        <v>2830.952</v>
      </c>
      <c r="G25" s="18">
        <v>5</v>
      </c>
      <c r="H25" s="1">
        <v>0</v>
      </c>
      <c r="I25" s="1">
        <v>0</v>
      </c>
      <c r="J25" s="1">
        <v>4</v>
      </c>
      <c r="K25" s="1"/>
      <c r="L25" s="1"/>
      <c r="M25" s="31"/>
      <c r="N25" s="1"/>
      <c r="O25" s="19"/>
      <c r="P25" s="1"/>
      <c r="Q25" s="1"/>
      <c r="R25" s="1"/>
      <c r="S25" s="1"/>
      <c r="T25" s="1"/>
      <c r="U25" s="1"/>
      <c r="V25" s="1"/>
      <c r="W25" s="1"/>
      <c r="X25" s="20"/>
      <c r="Y25" s="31"/>
      <c r="Z25" s="31"/>
      <c r="AA25" s="1"/>
      <c r="AB25" s="31"/>
      <c r="AC25" s="31"/>
      <c r="AD25" s="31"/>
      <c r="AE25" s="1"/>
      <c r="AF25" s="1"/>
      <c r="AG25" s="31"/>
      <c r="AH25" s="31"/>
      <c r="AI25" s="31"/>
      <c r="AJ25" s="31"/>
      <c r="AK25" s="31"/>
      <c r="AL25" s="18"/>
      <c r="AM25" s="11">
        <f t="shared" si="0"/>
        <v>0</v>
      </c>
      <c r="AN25" s="21" t="s">
        <v>95</v>
      </c>
      <c r="AO25" s="21" t="s">
        <v>152</v>
      </c>
      <c r="AP25" s="21">
        <f t="shared" si="3"/>
        <v>0</v>
      </c>
      <c r="AQ25" s="21">
        <f t="shared" si="4"/>
        <v>0</v>
      </c>
      <c r="AR25" s="21"/>
      <c r="AS25" s="21"/>
      <c r="AT25" s="21"/>
      <c r="AU25" s="21"/>
      <c r="AV25" s="21"/>
      <c r="AW25" s="32" t="s">
        <v>97</v>
      </c>
      <c r="AX25" s="23" t="s">
        <v>109</v>
      </c>
      <c r="AY25" s="24"/>
      <c r="AZ25" s="37"/>
      <c r="BA25" s="21" t="s">
        <v>111</v>
      </c>
    </row>
    <row r="26" s="3" customFormat="1" ht="18" customHeight="1" spans="1:53">
      <c r="A26" s="33"/>
      <c r="B26" s="13" t="s">
        <v>156</v>
      </c>
      <c r="C26" s="14"/>
      <c r="D26" s="15">
        <v>275.274</v>
      </c>
      <c r="E26" s="34">
        <v>5</v>
      </c>
      <c r="F26" s="17">
        <v>2202.192</v>
      </c>
      <c r="G26" s="18">
        <v>3</v>
      </c>
      <c r="H26" s="1">
        <v>0</v>
      </c>
      <c r="I26" s="1">
        <v>0</v>
      </c>
      <c r="J26" s="1">
        <v>2</v>
      </c>
      <c r="K26" s="1"/>
      <c r="L26" s="1"/>
      <c r="M26" s="31"/>
      <c r="N26" s="1"/>
      <c r="O26" s="19"/>
      <c r="P26" s="1"/>
      <c r="Q26" s="1"/>
      <c r="R26" s="1"/>
      <c r="S26" s="1"/>
      <c r="T26" s="1"/>
      <c r="U26" s="1"/>
      <c r="V26" s="1"/>
      <c r="W26" s="1"/>
      <c r="X26" s="20"/>
      <c r="Y26" s="31"/>
      <c r="Z26" s="31"/>
      <c r="AA26" s="1"/>
      <c r="AB26" s="31"/>
      <c r="AC26" s="31"/>
      <c r="AD26" s="31"/>
      <c r="AE26" s="1"/>
      <c r="AF26" s="1"/>
      <c r="AG26" s="31"/>
      <c r="AH26" s="31"/>
      <c r="AI26" s="31"/>
      <c r="AJ26" s="31"/>
      <c r="AK26" s="31"/>
      <c r="AL26" s="18"/>
      <c r="AM26" s="11">
        <f t="shared" si="0"/>
        <v>0</v>
      </c>
      <c r="AN26" s="21" t="s">
        <v>95</v>
      </c>
      <c r="AO26" s="21" t="s">
        <v>152</v>
      </c>
      <c r="AP26" s="21">
        <f t="shared" si="3"/>
        <v>0</v>
      </c>
      <c r="AQ26" s="21">
        <f t="shared" si="4"/>
        <v>0</v>
      </c>
      <c r="AR26" s="21"/>
      <c r="AS26" s="21"/>
      <c r="AT26" s="21"/>
      <c r="AU26" s="21"/>
      <c r="AV26" s="21"/>
      <c r="AW26" s="32" t="s">
        <v>97</v>
      </c>
      <c r="AX26" s="23" t="s">
        <v>109</v>
      </c>
      <c r="AY26" s="24"/>
      <c r="AZ26" s="37"/>
      <c r="BA26" s="21" t="s">
        <v>111</v>
      </c>
    </row>
    <row r="27" s="3" customFormat="1" ht="18" customHeight="1" spans="1:53">
      <c r="A27" s="33"/>
      <c r="B27" s="13" t="s">
        <v>157</v>
      </c>
      <c r="C27" s="14"/>
      <c r="D27" s="15">
        <v>224.791</v>
      </c>
      <c r="E27" s="34">
        <v>5</v>
      </c>
      <c r="F27" s="17">
        <v>1798.328</v>
      </c>
      <c r="G27" s="18">
        <v>5</v>
      </c>
      <c r="H27" s="1">
        <v>0</v>
      </c>
      <c r="I27" s="1">
        <v>0</v>
      </c>
      <c r="J27" s="1">
        <v>4</v>
      </c>
      <c r="K27" s="1"/>
      <c r="L27" s="1"/>
      <c r="M27" s="31"/>
      <c r="N27" s="1"/>
      <c r="O27" s="19"/>
      <c r="P27" s="1"/>
      <c r="Q27" s="1"/>
      <c r="R27" s="1"/>
      <c r="S27" s="1"/>
      <c r="T27" s="1"/>
      <c r="U27" s="1"/>
      <c r="V27" s="1"/>
      <c r="W27" s="1"/>
      <c r="X27" s="20"/>
      <c r="Y27" s="31"/>
      <c r="Z27" s="31"/>
      <c r="AA27" s="1"/>
      <c r="AB27" s="31"/>
      <c r="AC27" s="31"/>
      <c r="AD27" s="31"/>
      <c r="AE27" s="1"/>
      <c r="AF27" s="1"/>
      <c r="AG27" s="31"/>
      <c r="AH27" s="31"/>
      <c r="AI27" s="31"/>
      <c r="AJ27" s="31"/>
      <c r="AK27" s="31"/>
      <c r="AL27" s="18"/>
      <c r="AM27" s="11">
        <f t="shared" si="0"/>
        <v>0</v>
      </c>
      <c r="AN27" s="21" t="s">
        <v>95</v>
      </c>
      <c r="AO27" s="21" t="s">
        <v>152</v>
      </c>
      <c r="AP27" s="21">
        <f t="shared" si="3"/>
        <v>0</v>
      </c>
      <c r="AQ27" s="21">
        <f t="shared" si="4"/>
        <v>0</v>
      </c>
      <c r="AR27" s="21"/>
      <c r="AS27" s="21"/>
      <c r="AT27" s="21"/>
      <c r="AU27" s="21"/>
      <c r="AV27" s="21"/>
      <c r="AW27" s="32" t="s">
        <v>97</v>
      </c>
      <c r="AX27" s="23" t="s">
        <v>109</v>
      </c>
      <c r="AY27" s="24"/>
      <c r="AZ27" s="37"/>
      <c r="BA27" s="21" t="s">
        <v>111</v>
      </c>
    </row>
    <row r="28" s="3" customFormat="1" ht="18" customHeight="1" spans="1:53">
      <c r="A28" s="33"/>
      <c r="B28" s="13" t="s">
        <v>158</v>
      </c>
      <c r="C28" s="14" t="s">
        <v>94</v>
      </c>
      <c r="D28" s="15">
        <v>225</v>
      </c>
      <c r="E28" s="34">
        <v>5</v>
      </c>
      <c r="F28" s="17">
        <v>1800</v>
      </c>
      <c r="G28" s="18">
        <v>3</v>
      </c>
      <c r="H28" s="1">
        <v>0</v>
      </c>
      <c r="I28" s="1">
        <v>0</v>
      </c>
      <c r="J28" s="1">
        <v>2</v>
      </c>
      <c r="K28" s="1"/>
      <c r="L28" s="1"/>
      <c r="M28" s="31"/>
      <c r="N28" s="1"/>
      <c r="O28" s="19"/>
      <c r="P28" s="1"/>
      <c r="Q28" s="1"/>
      <c r="R28" s="1"/>
      <c r="S28" s="1"/>
      <c r="T28" s="1"/>
      <c r="U28" s="1"/>
      <c r="V28" s="1"/>
      <c r="W28" s="1"/>
      <c r="X28" s="20"/>
      <c r="Y28" s="31"/>
      <c r="Z28" s="31"/>
      <c r="AA28" s="1"/>
      <c r="AB28" s="31"/>
      <c r="AC28" s="31"/>
      <c r="AD28" s="31"/>
      <c r="AE28" s="1"/>
      <c r="AF28" s="1"/>
      <c r="AG28" s="31"/>
      <c r="AH28" s="31"/>
      <c r="AI28" s="31"/>
      <c r="AJ28" s="31"/>
      <c r="AK28" s="31"/>
      <c r="AL28" s="18"/>
      <c r="AM28" s="11">
        <f t="shared" si="0"/>
        <v>0</v>
      </c>
      <c r="AN28" s="21" t="s">
        <v>95</v>
      </c>
      <c r="AO28" s="21" t="s">
        <v>152</v>
      </c>
      <c r="AP28" s="21">
        <f t="shared" si="3"/>
        <v>0</v>
      </c>
      <c r="AQ28" s="21">
        <f t="shared" si="4"/>
        <v>0</v>
      </c>
      <c r="AR28" s="21"/>
      <c r="AS28" s="21"/>
      <c r="AT28" s="21"/>
      <c r="AU28" s="21"/>
      <c r="AV28" s="21"/>
      <c r="AW28" s="32" t="s">
        <v>97</v>
      </c>
      <c r="AX28" s="23" t="s">
        <v>109</v>
      </c>
      <c r="AY28" s="24"/>
      <c r="AZ28" s="37"/>
      <c r="BA28" s="21" t="s">
        <v>111</v>
      </c>
    </row>
    <row r="29" s="3" customFormat="1" ht="18" customHeight="1" spans="1:53">
      <c r="A29" s="33"/>
      <c r="B29" s="13" t="s">
        <v>159</v>
      </c>
      <c r="C29" s="14"/>
      <c r="D29" s="15">
        <v>213.027</v>
      </c>
      <c r="E29" s="16">
        <v>4</v>
      </c>
      <c r="F29" s="17">
        <v>1704.216</v>
      </c>
      <c r="G29" s="18">
        <v>3</v>
      </c>
      <c r="H29" s="1">
        <v>0</v>
      </c>
      <c r="I29" s="1">
        <v>0</v>
      </c>
      <c r="J29" s="1">
        <v>2</v>
      </c>
      <c r="K29" s="1"/>
      <c r="L29" s="1"/>
      <c r="M29" s="31"/>
      <c r="N29" s="1"/>
      <c r="O29" s="19"/>
      <c r="P29" s="1"/>
      <c r="Q29" s="1"/>
      <c r="R29" s="1"/>
      <c r="S29" s="1"/>
      <c r="T29" s="1"/>
      <c r="U29" s="1"/>
      <c r="V29" s="1"/>
      <c r="W29" s="1"/>
      <c r="X29" s="20"/>
      <c r="Y29" s="31"/>
      <c r="Z29" s="31"/>
      <c r="AA29" s="1"/>
      <c r="AB29" s="31"/>
      <c r="AC29" s="31"/>
      <c r="AD29" s="31"/>
      <c r="AE29" s="1"/>
      <c r="AF29" s="1"/>
      <c r="AG29" s="31"/>
      <c r="AH29" s="31"/>
      <c r="AI29" s="31"/>
      <c r="AJ29" s="31"/>
      <c r="AK29" s="31"/>
      <c r="AL29" s="18"/>
      <c r="AM29" s="11">
        <f t="shared" si="0"/>
        <v>0</v>
      </c>
      <c r="AN29" s="21" t="s">
        <v>95</v>
      </c>
      <c r="AO29" s="21" t="s">
        <v>152</v>
      </c>
      <c r="AP29" s="21">
        <f t="shared" si="3"/>
        <v>0</v>
      </c>
      <c r="AQ29" s="21">
        <f t="shared" si="4"/>
        <v>0</v>
      </c>
      <c r="AR29" s="21"/>
      <c r="AS29" s="21"/>
      <c r="AT29" s="21"/>
      <c r="AU29" s="21"/>
      <c r="AV29" s="21"/>
      <c r="AW29" s="32" t="s">
        <v>97</v>
      </c>
      <c r="AX29" s="23" t="s">
        <v>109</v>
      </c>
      <c r="AY29" s="24"/>
      <c r="AZ29" s="37"/>
      <c r="BA29" s="21" t="s">
        <v>111</v>
      </c>
    </row>
    <row r="30" s="3" customFormat="1" ht="18" customHeight="1" spans="1:53">
      <c r="A30" s="33"/>
      <c r="B30" s="13" t="s">
        <v>160</v>
      </c>
      <c r="C30" s="14"/>
      <c r="D30" s="15">
        <v>207.123</v>
      </c>
      <c r="E30" s="16">
        <v>4</v>
      </c>
      <c r="F30" s="17">
        <v>1656.984</v>
      </c>
      <c r="G30" s="18">
        <v>3</v>
      </c>
      <c r="H30" s="1">
        <v>0</v>
      </c>
      <c r="I30" s="1">
        <v>0</v>
      </c>
      <c r="J30" s="1">
        <v>2</v>
      </c>
      <c r="K30" s="1"/>
      <c r="L30" s="1"/>
      <c r="M30" s="31"/>
      <c r="N30" s="1"/>
      <c r="O30" s="19"/>
      <c r="P30" s="1"/>
      <c r="Q30" s="1"/>
      <c r="R30" s="1"/>
      <c r="S30" s="1"/>
      <c r="T30" s="1"/>
      <c r="U30" s="1"/>
      <c r="V30" s="1"/>
      <c r="W30" s="1"/>
      <c r="X30" s="20"/>
      <c r="Y30" s="31"/>
      <c r="Z30" s="31"/>
      <c r="AA30" s="1"/>
      <c r="AB30" s="31"/>
      <c r="AC30" s="31"/>
      <c r="AD30" s="31"/>
      <c r="AE30" s="1"/>
      <c r="AF30" s="1"/>
      <c r="AG30" s="31"/>
      <c r="AH30" s="31"/>
      <c r="AI30" s="31"/>
      <c r="AJ30" s="31"/>
      <c r="AK30" s="31"/>
      <c r="AL30" s="18"/>
      <c r="AM30" s="11">
        <f t="shared" si="0"/>
        <v>0</v>
      </c>
      <c r="AN30" s="21" t="s">
        <v>95</v>
      </c>
      <c r="AO30" s="21" t="s">
        <v>152</v>
      </c>
      <c r="AP30" s="21">
        <f t="shared" si="3"/>
        <v>0</v>
      </c>
      <c r="AQ30" s="21">
        <f t="shared" si="4"/>
        <v>0</v>
      </c>
      <c r="AR30" s="21"/>
      <c r="AS30" s="21"/>
      <c r="AT30" s="21"/>
      <c r="AU30" s="21"/>
      <c r="AV30" s="21"/>
      <c r="AW30" s="32" t="s">
        <v>97</v>
      </c>
      <c r="AX30" s="23" t="s">
        <v>109</v>
      </c>
      <c r="AY30" s="24"/>
      <c r="AZ30" s="37"/>
      <c r="BA30" s="21" t="s">
        <v>111</v>
      </c>
    </row>
    <row r="31" s="3" customFormat="1" ht="18" customHeight="1" spans="1:53">
      <c r="A31" s="33"/>
      <c r="B31" s="13" t="s">
        <v>161</v>
      </c>
      <c r="C31" s="14"/>
      <c r="D31" s="15">
        <v>224.329</v>
      </c>
      <c r="E31" s="16">
        <v>5</v>
      </c>
      <c r="F31" s="17">
        <v>1794.632</v>
      </c>
      <c r="G31" s="18">
        <v>3</v>
      </c>
      <c r="H31" s="1">
        <v>0</v>
      </c>
      <c r="I31" s="1">
        <v>0</v>
      </c>
      <c r="J31" s="1">
        <v>2</v>
      </c>
      <c r="K31" s="1"/>
      <c r="L31" s="1"/>
      <c r="M31" s="31"/>
      <c r="N31" s="1"/>
      <c r="O31" s="19"/>
      <c r="P31" s="1"/>
      <c r="Q31" s="1"/>
      <c r="R31" s="1"/>
      <c r="S31" s="1"/>
      <c r="T31" s="1"/>
      <c r="U31" s="1"/>
      <c r="V31" s="1"/>
      <c r="W31" s="1"/>
      <c r="X31" s="20"/>
      <c r="Y31" s="31"/>
      <c r="Z31" s="31"/>
      <c r="AA31" s="1"/>
      <c r="AB31" s="31"/>
      <c r="AC31" s="31"/>
      <c r="AD31" s="31"/>
      <c r="AE31" s="1"/>
      <c r="AF31" s="1"/>
      <c r="AG31" s="31"/>
      <c r="AH31" s="31"/>
      <c r="AI31" s="31"/>
      <c r="AJ31" s="31"/>
      <c r="AK31" s="31"/>
      <c r="AL31" s="18"/>
      <c r="AM31" s="11">
        <f t="shared" si="0"/>
        <v>0</v>
      </c>
      <c r="AN31" s="21" t="s">
        <v>95</v>
      </c>
      <c r="AO31" s="21" t="s">
        <v>152</v>
      </c>
      <c r="AP31" s="21">
        <f t="shared" si="3"/>
        <v>0</v>
      </c>
      <c r="AQ31" s="21">
        <f t="shared" si="4"/>
        <v>0</v>
      </c>
      <c r="AR31" s="21"/>
      <c r="AS31" s="21"/>
      <c r="AT31" s="21"/>
      <c r="AU31" s="21"/>
      <c r="AV31" s="21"/>
      <c r="AW31" s="32" t="s">
        <v>97</v>
      </c>
      <c r="AX31" s="23" t="s">
        <v>109</v>
      </c>
      <c r="AY31" s="24"/>
      <c r="AZ31" s="37"/>
      <c r="BA31" s="21" t="s">
        <v>111</v>
      </c>
    </row>
    <row r="32" s="3" customFormat="1" ht="18" customHeight="1" spans="1:53">
      <c r="A32" s="33"/>
      <c r="B32" s="13" t="s">
        <v>162</v>
      </c>
      <c r="C32" s="14"/>
      <c r="D32" s="15">
        <v>244.31</v>
      </c>
      <c r="E32" s="16">
        <v>5</v>
      </c>
      <c r="F32" s="17">
        <v>1954.48</v>
      </c>
      <c r="G32" s="18">
        <v>3</v>
      </c>
      <c r="H32" s="1">
        <v>0</v>
      </c>
      <c r="I32" s="1">
        <v>0</v>
      </c>
      <c r="J32" s="1">
        <v>2</v>
      </c>
      <c r="K32" s="1"/>
      <c r="L32" s="1"/>
      <c r="M32" s="31"/>
      <c r="N32" s="1"/>
      <c r="O32" s="19"/>
      <c r="P32" s="1"/>
      <c r="Q32" s="1"/>
      <c r="R32" s="1"/>
      <c r="S32" s="1"/>
      <c r="T32" s="1"/>
      <c r="U32" s="1"/>
      <c r="V32" s="1"/>
      <c r="W32" s="1"/>
      <c r="X32" s="20"/>
      <c r="Y32" s="31"/>
      <c r="Z32" s="31"/>
      <c r="AA32" s="1"/>
      <c r="AB32" s="31"/>
      <c r="AC32" s="31"/>
      <c r="AD32" s="31"/>
      <c r="AE32" s="1"/>
      <c r="AF32" s="1"/>
      <c r="AG32" s="31"/>
      <c r="AH32" s="31"/>
      <c r="AI32" s="31"/>
      <c r="AJ32" s="31"/>
      <c r="AK32" s="31"/>
      <c r="AL32" s="18"/>
      <c r="AM32" s="11">
        <f t="shared" si="0"/>
        <v>0</v>
      </c>
      <c r="AN32" s="21" t="s">
        <v>95</v>
      </c>
      <c r="AO32" s="21" t="s">
        <v>152</v>
      </c>
      <c r="AP32" s="21">
        <f t="shared" si="3"/>
        <v>0</v>
      </c>
      <c r="AQ32" s="21">
        <f t="shared" si="4"/>
        <v>0</v>
      </c>
      <c r="AR32" s="21"/>
      <c r="AS32" s="21"/>
      <c r="AT32" s="21"/>
      <c r="AU32" s="21"/>
      <c r="AV32" s="21"/>
      <c r="AW32" s="32" t="s">
        <v>97</v>
      </c>
      <c r="AX32" s="23" t="s">
        <v>109</v>
      </c>
      <c r="AY32" s="24"/>
      <c r="AZ32" s="38"/>
      <c r="BA32" s="21" t="s">
        <v>111</v>
      </c>
    </row>
    <row r="33" s="3" customFormat="1" ht="18" customHeight="1" spans="1:53">
      <c r="A33" s="40">
        <v>8</v>
      </c>
      <c r="B33" s="13" t="s">
        <v>195</v>
      </c>
      <c r="C33" s="14" t="s">
        <v>196</v>
      </c>
      <c r="D33" s="15">
        <v>384</v>
      </c>
      <c r="E33" s="16">
        <v>11</v>
      </c>
      <c r="F33" s="17">
        <v>13885.44</v>
      </c>
      <c r="G33" s="16">
        <v>46</v>
      </c>
      <c r="H33" s="1">
        <v>0</v>
      </c>
      <c r="I33" s="1">
        <v>0</v>
      </c>
      <c r="J33" s="16">
        <v>5</v>
      </c>
      <c r="K33" s="16"/>
      <c r="L33" s="16"/>
      <c r="M33" s="1"/>
      <c r="N33" s="1"/>
      <c r="O33" s="19"/>
      <c r="P33" s="1"/>
      <c r="Q33" s="1"/>
      <c r="R33" s="1"/>
      <c r="S33" s="1"/>
      <c r="T33" s="1"/>
      <c r="U33" s="1"/>
      <c r="V33" s="1"/>
      <c r="W33" s="1"/>
      <c r="X33" s="20"/>
      <c r="Y33" s="31"/>
      <c r="Z33" s="31"/>
      <c r="AA33" s="1"/>
      <c r="AB33" s="31"/>
      <c r="AC33" s="31"/>
      <c r="AD33" s="31"/>
      <c r="AE33" s="1"/>
      <c r="AF33" s="1"/>
      <c r="AG33" s="31"/>
      <c r="AH33" s="31"/>
      <c r="AI33" s="1"/>
      <c r="AJ33" s="29"/>
      <c r="AK33" s="29"/>
      <c r="AL33" s="18"/>
      <c r="AM33" s="11">
        <f t="shared" si="0"/>
        <v>0</v>
      </c>
      <c r="AN33" s="21" t="s">
        <v>100</v>
      </c>
      <c r="AO33" s="21" t="s">
        <v>72</v>
      </c>
      <c r="AP33" s="21"/>
      <c r="AQ33" s="21">
        <f>AM33</f>
        <v>0</v>
      </c>
      <c r="AR33" s="21"/>
      <c r="AS33" s="21"/>
      <c r="AT33" s="21"/>
      <c r="AU33" s="21"/>
      <c r="AV33" s="21"/>
      <c r="AW33" s="41">
        <v>2020.8</v>
      </c>
      <c r="AX33" s="23" t="s">
        <v>83</v>
      </c>
      <c r="AY33" s="24"/>
      <c r="AZ33" s="22" t="s">
        <v>68</v>
      </c>
      <c r="BA33" s="21" t="s">
        <v>86</v>
      </c>
    </row>
    <row r="34" ht="23.25" customHeight="1" spans="1:53">
      <c r="A34" s="12" t="s">
        <v>29</v>
      </c>
      <c r="B34" s="12"/>
      <c r="C34" s="12"/>
      <c r="D34" s="42">
        <f>SUM(D4:D32)</f>
        <v>16533.888</v>
      </c>
      <c r="E34" s="42">
        <f t="shared" ref="E34:K34" si="5">SUM(E4:E33)</f>
        <v>503</v>
      </c>
      <c r="F34" s="42">
        <f t="shared" si="5"/>
        <v>443231.564536</v>
      </c>
      <c r="G34" s="42">
        <f t="shared" si="5"/>
        <v>847</v>
      </c>
      <c r="H34" s="42">
        <f t="shared" si="5"/>
        <v>0</v>
      </c>
      <c r="I34" s="42">
        <f t="shared" si="5"/>
        <v>0</v>
      </c>
      <c r="J34" s="42">
        <f t="shared" si="5"/>
        <v>406</v>
      </c>
      <c r="K34" s="42">
        <f t="shared" si="5"/>
        <v>66</v>
      </c>
      <c r="L34" s="43">
        <f>SUM(L4:L32)</f>
        <v>0</v>
      </c>
      <c r="M34" s="43">
        <f t="shared" ref="M34:AM34" si="6">SUM(M4:M33)</f>
        <v>0</v>
      </c>
      <c r="N34" s="43">
        <f t="shared" si="6"/>
        <v>0</v>
      </c>
      <c r="O34" s="43">
        <f t="shared" si="6"/>
        <v>0</v>
      </c>
      <c r="P34" s="43">
        <f t="shared" si="6"/>
        <v>0</v>
      </c>
      <c r="Q34" s="43">
        <f t="shared" si="6"/>
        <v>0</v>
      </c>
      <c r="R34" s="43">
        <f t="shared" si="6"/>
        <v>0</v>
      </c>
      <c r="S34" s="43">
        <f t="shared" si="6"/>
        <v>0</v>
      </c>
      <c r="T34" s="43">
        <f t="shared" si="6"/>
        <v>0</v>
      </c>
      <c r="U34" s="43">
        <f t="shared" si="6"/>
        <v>0</v>
      </c>
      <c r="V34" s="43">
        <f t="shared" si="6"/>
        <v>0</v>
      </c>
      <c r="W34" s="43">
        <f t="shared" si="6"/>
        <v>0</v>
      </c>
      <c r="X34" s="43">
        <f t="shared" si="6"/>
        <v>0</v>
      </c>
      <c r="Y34" s="43">
        <f t="shared" si="6"/>
        <v>0</v>
      </c>
      <c r="Z34" s="43">
        <f t="shared" si="6"/>
        <v>0</v>
      </c>
      <c r="AA34" s="43">
        <f t="shared" si="6"/>
        <v>0</v>
      </c>
      <c r="AB34" s="43">
        <f t="shared" si="6"/>
        <v>0</v>
      </c>
      <c r="AC34" s="43">
        <f t="shared" si="6"/>
        <v>0</v>
      </c>
      <c r="AD34" s="43">
        <f t="shared" si="6"/>
        <v>0</v>
      </c>
      <c r="AE34" s="43">
        <f t="shared" si="6"/>
        <v>0</v>
      </c>
      <c r="AF34" s="43">
        <f t="shared" si="6"/>
        <v>0</v>
      </c>
      <c r="AG34" s="43">
        <f t="shared" si="6"/>
        <v>0</v>
      </c>
      <c r="AH34" s="43">
        <f t="shared" si="6"/>
        <v>0</v>
      </c>
      <c r="AI34" s="43">
        <f t="shared" si="6"/>
        <v>0</v>
      </c>
      <c r="AJ34" s="43">
        <f t="shared" si="6"/>
        <v>0</v>
      </c>
      <c r="AK34" s="43">
        <f t="shared" si="6"/>
        <v>0</v>
      </c>
      <c r="AL34" s="43">
        <f t="shared" si="6"/>
        <v>0</v>
      </c>
      <c r="AM34" s="43">
        <f t="shared" si="6"/>
        <v>0</v>
      </c>
      <c r="AN34" s="43"/>
      <c r="AO34" s="43"/>
      <c r="AP34" s="43">
        <f t="shared" ref="AP34:AV34" si="7">SUM(AP4:AP33)</f>
        <v>0</v>
      </c>
      <c r="AQ34" s="43">
        <f t="shared" si="7"/>
        <v>0</v>
      </c>
      <c r="AR34" s="43">
        <f t="shared" si="7"/>
        <v>0</v>
      </c>
      <c r="AS34" s="43">
        <f t="shared" si="7"/>
        <v>0</v>
      </c>
      <c r="AT34" s="43">
        <f t="shared" si="7"/>
        <v>0</v>
      </c>
      <c r="AU34" s="43">
        <f t="shared" si="7"/>
        <v>0</v>
      </c>
      <c r="AV34" s="43">
        <f t="shared" si="7"/>
        <v>0</v>
      </c>
      <c r="AW34" s="1"/>
      <c r="AX34" s="1"/>
      <c r="AY34" s="1"/>
      <c r="AZ34" s="44"/>
      <c r="BA34" s="43"/>
    </row>
    <row r="35" ht="22.05" customHeight="1" spans="1:53">
      <c r="A35" s="45"/>
      <c r="X35" s="46"/>
      <c r="AG35" s="4"/>
      <c r="AM35" s="47"/>
      <c r="AN35" s="47"/>
      <c r="AO35" s="48">
        <v>0.5</v>
      </c>
      <c r="AP35" s="47">
        <f t="shared" ref="AP35:AV35" si="8">AP34*$AO$35</f>
        <v>0</v>
      </c>
      <c r="AQ35" s="47">
        <f t="shared" si="8"/>
        <v>0</v>
      </c>
      <c r="AR35" s="47">
        <f t="shared" si="8"/>
        <v>0</v>
      </c>
      <c r="AS35" s="47">
        <f t="shared" si="8"/>
        <v>0</v>
      </c>
      <c r="AT35" s="47">
        <f t="shared" si="8"/>
        <v>0</v>
      </c>
      <c r="AU35" s="47">
        <f t="shared" si="8"/>
        <v>0</v>
      </c>
      <c r="AV35" s="47">
        <f t="shared" si="8"/>
        <v>0</v>
      </c>
      <c r="BA35" s="47"/>
    </row>
    <row r="36" ht="168" customHeight="1" spans="1:53">
      <c r="A36" s="49" t="s">
        <v>277</v>
      </c>
      <c r="B36" s="45"/>
      <c r="C36" s="45"/>
      <c r="D36" s="45"/>
      <c r="E36" s="45"/>
      <c r="F36" s="45"/>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1"/>
      <c r="AH36" s="50"/>
      <c r="AI36" s="50"/>
      <c r="AJ36" s="50"/>
      <c r="AK36" s="50"/>
      <c r="AL36" s="50"/>
      <c r="AM36" s="50"/>
      <c r="AN36" s="50"/>
      <c r="AO36" s="50"/>
      <c r="AP36" s="52" t="e">
        <f>AP35/AM35</f>
        <v>#DIV/0!</v>
      </c>
      <c r="AQ36" s="52" t="e">
        <f>AQ35/AM35</f>
        <v>#DIV/0!</v>
      </c>
      <c r="AR36" s="52" t="e">
        <f>AR35/AM35</f>
        <v>#DIV/0!</v>
      </c>
      <c r="AS36" s="52" t="e">
        <f>AS35/AM35</f>
        <v>#DIV/0!</v>
      </c>
      <c r="AT36" s="52" t="e">
        <f>AT35/AM35</f>
        <v>#DIV/0!</v>
      </c>
      <c r="AU36" s="52" t="e">
        <f>AU35/AM35</f>
        <v>#DIV/0!</v>
      </c>
      <c r="AV36" s="52" t="e">
        <f>AV35/AM35</f>
        <v>#DIV/0!</v>
      </c>
      <c r="BA36" s="50"/>
    </row>
    <row r="37" ht="22.95" customHeight="1" spans="1:53">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4"/>
      <c r="AH37" s="53"/>
      <c r="AI37" s="53"/>
      <c r="AJ37" s="53"/>
      <c r="AK37" s="53"/>
      <c r="AL37" s="53"/>
      <c r="AM37" s="53"/>
      <c r="AN37" s="53"/>
      <c r="AO37" s="53"/>
      <c r="AP37" s="53"/>
      <c r="AQ37" s="53"/>
      <c r="AR37" s="53"/>
      <c r="AS37" s="53"/>
      <c r="AT37" s="53"/>
      <c r="AU37" s="53"/>
      <c r="AV37" s="53"/>
      <c r="BA37" s="53"/>
    </row>
    <row r="38" ht="22.95" customHeight="1" spans="1:53">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5"/>
      <c r="AH38" s="50"/>
      <c r="AI38" s="50"/>
      <c r="AJ38" s="50"/>
      <c r="AK38" s="50"/>
      <c r="AL38" s="50"/>
      <c r="AM38" s="50"/>
      <c r="AN38" s="50"/>
      <c r="AO38" s="50"/>
      <c r="AP38" s="50"/>
      <c r="AQ38" s="50"/>
      <c r="AR38" s="50"/>
      <c r="AS38" s="50"/>
      <c r="AT38" s="50"/>
      <c r="AU38" s="50"/>
      <c r="AV38" s="50"/>
      <c r="BA38" s="50"/>
    </row>
    <row r="39" ht="22.05" customHeight="1" spans="1:53">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5"/>
      <c r="AH39" s="50"/>
      <c r="AI39" s="50"/>
      <c r="AJ39" s="50"/>
      <c r="AK39" s="50"/>
      <c r="AL39" s="50"/>
      <c r="AM39" s="50"/>
      <c r="AN39" s="50"/>
      <c r="AO39" s="50"/>
      <c r="AP39" s="50"/>
      <c r="AQ39" s="50"/>
      <c r="AR39" s="50"/>
      <c r="AS39" s="50"/>
      <c r="AT39" s="50"/>
      <c r="AU39" s="50"/>
      <c r="AV39" s="50"/>
      <c r="BA39" s="50"/>
    </row>
    <row r="40" ht="90" customHeight="1" spans="1:53">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56"/>
      <c r="AH40" s="45"/>
      <c r="AI40" s="45"/>
      <c r="AJ40" s="45"/>
      <c r="AK40" s="45"/>
      <c r="AL40" s="45"/>
      <c r="AM40" s="45"/>
      <c r="AN40" s="45"/>
      <c r="AO40" s="45"/>
      <c r="AP40" s="45"/>
      <c r="AQ40" s="45"/>
      <c r="AR40" s="45"/>
      <c r="AS40" s="45"/>
      <c r="AT40" s="45"/>
      <c r="AU40" s="45"/>
      <c r="AV40" s="45"/>
      <c r="BA40" s="45"/>
    </row>
    <row r="41" ht="93" customHeight="1" spans="1:53">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5"/>
      <c r="AH41" s="50"/>
      <c r="AI41" s="50"/>
      <c r="AJ41" s="50"/>
      <c r="AK41" s="50"/>
      <c r="AL41" s="50"/>
      <c r="AM41" s="50"/>
      <c r="AN41" s="50"/>
      <c r="AO41" s="50"/>
      <c r="AP41" s="50"/>
      <c r="AQ41" s="50"/>
      <c r="AR41" s="50"/>
      <c r="AS41" s="50"/>
      <c r="AT41" s="50"/>
      <c r="AU41" s="50"/>
      <c r="AV41" s="50"/>
      <c r="BA41" s="50"/>
    </row>
    <row r="42" ht="28.5" customHeight="1" spans="1:53">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5"/>
      <c r="AH42" s="50"/>
      <c r="AI42" s="50"/>
      <c r="AJ42" s="50"/>
      <c r="AK42" s="50"/>
      <c r="AL42" s="50"/>
      <c r="AM42" s="50"/>
      <c r="AN42" s="50"/>
      <c r="AO42" s="50"/>
      <c r="AP42" s="50"/>
      <c r="AQ42" s="50"/>
      <c r="AR42" s="50"/>
      <c r="AS42" s="50"/>
      <c r="AT42" s="50"/>
      <c r="AU42" s="50"/>
      <c r="AV42" s="50"/>
      <c r="BA42" s="50"/>
    </row>
    <row r="43" ht="34.5" customHeight="1" spans="1:53">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5"/>
      <c r="AH43" s="50"/>
      <c r="AI43" s="50"/>
      <c r="AJ43" s="50"/>
      <c r="AK43" s="50"/>
      <c r="AL43" s="50"/>
      <c r="AM43" s="50"/>
      <c r="AN43" s="50"/>
      <c r="AO43" s="50"/>
      <c r="AP43" s="50"/>
      <c r="AQ43" s="50"/>
      <c r="AR43" s="50"/>
      <c r="AS43" s="50"/>
      <c r="AT43" s="50"/>
      <c r="AU43" s="50"/>
      <c r="AV43" s="50"/>
      <c r="BA43" s="50"/>
    </row>
    <row r="44" ht="31.5" customHeight="1" spans="1:53">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5"/>
      <c r="AH44" s="50"/>
      <c r="AI44" s="50"/>
      <c r="AJ44" s="50"/>
      <c r="AK44" s="50"/>
      <c r="AL44" s="50"/>
      <c r="AM44" s="50"/>
      <c r="AN44" s="50"/>
      <c r="AO44" s="50"/>
      <c r="AP44" s="50"/>
      <c r="AQ44" s="50"/>
      <c r="AR44" s="50"/>
      <c r="AS44" s="50"/>
      <c r="AT44" s="50"/>
      <c r="AU44" s="50"/>
      <c r="AV44" s="50"/>
      <c r="BA44" s="50"/>
    </row>
    <row r="45" ht="19.5" customHeight="1" spans="1:53">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56"/>
      <c r="AH45" s="45"/>
      <c r="AI45" s="45"/>
      <c r="AJ45" s="45"/>
      <c r="AK45" s="45"/>
      <c r="AL45" s="45"/>
      <c r="AM45" s="45"/>
      <c r="AN45" s="45"/>
      <c r="AO45" s="45"/>
      <c r="AP45" s="45"/>
      <c r="AQ45" s="45"/>
      <c r="AR45" s="45"/>
      <c r="AS45" s="45"/>
      <c r="AT45" s="45"/>
      <c r="AU45" s="45"/>
      <c r="AV45" s="45"/>
      <c r="BA45" s="45"/>
    </row>
    <row r="46" ht="19.5" customHeight="1" spans="1:53">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5"/>
      <c r="AH46" s="50"/>
      <c r="AI46" s="50"/>
      <c r="AJ46" s="50"/>
      <c r="AK46" s="50"/>
      <c r="AL46" s="50"/>
      <c r="AM46" s="50"/>
      <c r="AN46" s="50"/>
      <c r="AO46" s="50"/>
      <c r="AP46" s="50"/>
      <c r="AQ46" s="50"/>
      <c r="AR46" s="50"/>
      <c r="AS46" s="50"/>
      <c r="AT46" s="50"/>
      <c r="AU46" s="50"/>
      <c r="AV46" s="50"/>
      <c r="BA46" s="50"/>
    </row>
    <row r="47" ht="19.5" customHeight="1" spans="1:53">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5"/>
      <c r="AH47" s="50"/>
      <c r="AI47" s="50"/>
      <c r="AJ47" s="50"/>
      <c r="AK47" s="50"/>
      <c r="AL47" s="50"/>
      <c r="AM47" s="50"/>
      <c r="AN47" s="50"/>
      <c r="AO47" s="50"/>
      <c r="AP47" s="50"/>
      <c r="AQ47" s="50"/>
      <c r="AR47" s="50"/>
      <c r="AS47" s="50"/>
      <c r="AT47" s="50"/>
      <c r="AU47" s="50"/>
      <c r="AV47" s="50"/>
      <c r="BA47" s="50"/>
    </row>
    <row r="48" ht="19.5" customHeight="1" spans="1:53">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5"/>
      <c r="AH48" s="50"/>
      <c r="AI48" s="50"/>
      <c r="AJ48" s="50"/>
      <c r="AK48" s="50"/>
      <c r="AL48" s="50"/>
      <c r="AM48" s="50"/>
      <c r="AN48" s="50"/>
      <c r="AO48" s="50"/>
      <c r="AP48" s="50"/>
      <c r="AQ48" s="50"/>
      <c r="AR48" s="50"/>
      <c r="AS48" s="50"/>
      <c r="AT48" s="50"/>
      <c r="AU48" s="50"/>
      <c r="AV48" s="50"/>
      <c r="BA48" s="50"/>
    </row>
    <row r="51" hidden="1" spans="39:40">
      <c r="AM51" s="4">
        <f>SUM(AM8:AM32)</f>
        <v>0</v>
      </c>
      <c r="AN51" s="4" t="e">
        <f>SUM(AM51:AM54)</f>
        <v>#REF!</v>
      </c>
    </row>
    <row r="52" hidden="1" spans="39:40">
      <c r="AM52" s="4" t="e">
        <f>SUM(#REF!)</f>
        <v>#REF!</v>
      </c>
    </row>
    <row r="53" hidden="1" spans="39:40">
      <c r="AM53" s="4" t="e">
        <f>SUM(#REF!)</f>
        <v>#REF!</v>
      </c>
    </row>
    <row r="54" hidden="1" spans="39:40">
      <c r="AM54" s="4" t="e">
        <f>SUM(#REF!)</f>
        <v>#REF!</v>
      </c>
    </row>
    <row r="55" hidden="1"/>
    <row r="56" hidden="1" spans="39:40">
      <c r="AM56" s="4" t="e">
        <f>AM4+AM5+#REF!+AM6+#REF!+#REF!+AM7+#REF!+#REF!+#REF!+#REF!+#REF!+#REF!+AM33</f>
        <v>#REF!</v>
      </c>
    </row>
    <row r="57" hidden="1" spans="39:40">
      <c r="AM57" s="4" t="e">
        <f>#REF!+#REF!+#REF!</f>
        <v>#REF!</v>
      </c>
    </row>
    <row r="58" hidden="1"/>
  </sheetData>
  <autoFilter xmlns:etc="http://www.wps.cn/officeDocument/2017/etCustomData" ref="A3:BA48" etc:filterBottomFollowUsedRange="0">
    <extLst/>
  </autoFilter>
  <mergeCells count="68">
    <mergeCell ref="A1:BA1"/>
    <mergeCell ref="H2:I2"/>
    <mergeCell ref="M2:N2"/>
    <mergeCell ref="Q2:U2"/>
    <mergeCell ref="V2:W2"/>
    <mergeCell ref="X2:Y2"/>
    <mergeCell ref="AB2:AD2"/>
    <mergeCell ref="A34:C34"/>
    <mergeCell ref="A36:F36"/>
    <mergeCell ref="A37:AM37"/>
    <mergeCell ref="A38:AM38"/>
    <mergeCell ref="A39:AM39"/>
    <mergeCell ref="A40:AM40"/>
    <mergeCell ref="A41:AM41"/>
    <mergeCell ref="A42:AM42"/>
    <mergeCell ref="A43:AM43"/>
    <mergeCell ref="A44:AM44"/>
    <mergeCell ref="A45:AM45"/>
    <mergeCell ref="A46:AM46"/>
    <mergeCell ref="A47:AM47"/>
    <mergeCell ref="A48:AM48"/>
    <mergeCell ref="A2:A3"/>
    <mergeCell ref="A8:A10"/>
    <mergeCell ref="A11:A21"/>
    <mergeCell ref="A22:A32"/>
    <mergeCell ref="B2:B3"/>
    <mergeCell ref="C2:C3"/>
    <mergeCell ref="C8:C10"/>
    <mergeCell ref="C11:C21"/>
    <mergeCell ref="C22:C27"/>
    <mergeCell ref="C28:C32"/>
    <mergeCell ref="D2:D3"/>
    <mergeCell ref="E2:E3"/>
    <mergeCell ref="F2:F3"/>
    <mergeCell ref="G2:G3"/>
    <mergeCell ref="J2:J3"/>
    <mergeCell ref="K2:K3"/>
    <mergeCell ref="L2:L3"/>
    <mergeCell ref="O2:O3"/>
    <mergeCell ref="P2:P3"/>
    <mergeCell ref="Z2:Z3"/>
    <mergeCell ref="AA2:AA3"/>
    <mergeCell ref="AE2:AE3"/>
    <mergeCell ref="AF2:AF3"/>
    <mergeCell ref="AG2:AG3"/>
    <mergeCell ref="AH2:AH3"/>
    <mergeCell ref="AI2:AI3"/>
    <mergeCell ref="AJ2:AJ3"/>
    <mergeCell ref="AK2:AK3"/>
    <mergeCell ref="AL2:AL3"/>
    <mergeCell ref="AM2:AM3"/>
    <mergeCell ref="AN2:AN3"/>
    <mergeCell ref="AO2:AO3"/>
    <mergeCell ref="AP2:AP3"/>
    <mergeCell ref="AQ2:AQ3"/>
    <mergeCell ref="AR2:AR3"/>
    <mergeCell ref="AS2:AS3"/>
    <mergeCell ref="AT2:AT3"/>
    <mergeCell ref="AU2:AU3"/>
    <mergeCell ref="AV2:AV3"/>
    <mergeCell ref="AW2:AW3"/>
    <mergeCell ref="AX2:AX3"/>
    <mergeCell ref="AY2:AY3"/>
    <mergeCell ref="AZ2:AZ3"/>
    <mergeCell ref="AZ8:AZ10"/>
    <mergeCell ref="AZ11:AZ21"/>
    <mergeCell ref="AZ22:AZ32"/>
    <mergeCell ref="BA2:BA3"/>
  </mergeCells>
  <pageMargins left="0.700694444444444" right="0.700694444444444" top="0.751388888888889" bottom="0.751388888888889" header="0.298611111111111" footer="0.298611111111111"/>
  <pageSetup paperSize="9" scale="44" fitToHeight="0" orientation="landscape"/>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F14"/>
  <sheetViews>
    <sheetView workbookViewId="0">
      <selection activeCell="B13" sqref="B13"/>
    </sheetView>
  </sheetViews>
  <sheetFormatPr defaultColWidth="9" defaultRowHeight="14.25" outlineLevelCol="5"/>
  <sheetData>
    <row r="3" spans="2:6">
      <c r="C3" t="s">
        <v>278</v>
      </c>
    </row>
    <row r="4" spans="2:6">
      <c r="C4" t="s">
        <v>279</v>
      </c>
    </row>
    <row r="12" spans="2:6">
      <c r="B12" t="s">
        <v>225</v>
      </c>
      <c r="D12" s="1">
        <f>70000+850*(95-50)</f>
        <v>108250</v>
      </c>
      <c r="E12" s="1">
        <f>27000+300*(95-50)</f>
        <v>40500</v>
      </c>
      <c r="F12" s="2">
        <v>60000</v>
      </c>
    </row>
    <row r="14" spans="2:6">
      <c r="D14">
        <f>D12*0.5</f>
        <v>54125</v>
      </c>
      <c r="E14">
        <f>E12*0.5</f>
        <v>20250</v>
      </c>
      <c r="F14">
        <f>F12*0.5</f>
        <v>30000</v>
      </c>
    </row>
  </sheetData>
  <pageMargins left="0.75" right="0.75" top="1" bottom="1" header="0.5" footer="0.5"/>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7:S51"/>
  <sheetViews>
    <sheetView zoomScale="85" zoomScaleNormal="85" workbookViewId="0">
      <selection activeCell="S9" sqref="S9:S38"/>
    </sheetView>
  </sheetViews>
  <sheetFormatPr defaultColWidth="9" defaultRowHeight="14.25"/>
  <sheetData>
    <row r="7" spans="6:19">
      <c r="F7" t="s">
        <v>280</v>
      </c>
    </row>
    <row r="9" spans="6:19">
      <c r="F9">
        <v>30000</v>
      </c>
      <c r="G9">
        <f>F9*0.85</f>
        <v>25500</v>
      </c>
      <c r="H9">
        <v>25500</v>
      </c>
      <c r="L9">
        <v>150000</v>
      </c>
      <c r="M9">
        <f>L9*0.85</f>
        <v>127500</v>
      </c>
      <c r="N9">
        <v>127500</v>
      </c>
      <c r="Q9">
        <v>30000</v>
      </c>
      <c r="R9">
        <f>Q9*0.85</f>
        <v>25500</v>
      </c>
      <c r="S9">
        <v>25500</v>
      </c>
    </row>
    <row r="10" spans="6:19">
      <c r="F10">
        <v>50000</v>
      </c>
      <c r="G10">
        <f>F10*0.85</f>
        <v>42500</v>
      </c>
      <c r="H10">
        <v>42500</v>
      </c>
      <c r="L10">
        <v>15000</v>
      </c>
      <c r="M10">
        <f>L10*0.85</f>
        <v>12750</v>
      </c>
      <c r="N10">
        <v>12750</v>
      </c>
      <c r="Q10">
        <v>30000</v>
      </c>
      <c r="R10">
        <f>Q10*0.85</f>
        <v>25500</v>
      </c>
      <c r="S10">
        <v>25500</v>
      </c>
    </row>
    <row r="11" spans="6:19">
      <c r="F11">
        <v>15000</v>
      </c>
      <c r="G11">
        <f t="shared" ref="G11:G51" si="0">F11*0.85</f>
        <v>12750</v>
      </c>
      <c r="H11">
        <v>12750</v>
      </c>
      <c r="L11">
        <v>50000</v>
      </c>
      <c r="M11">
        <f t="shared" ref="M11:M36" si="1">L11*0.85</f>
        <v>42500</v>
      </c>
      <c r="N11">
        <v>42500</v>
      </c>
      <c r="Q11">
        <v>150000</v>
      </c>
      <c r="R11">
        <f t="shared" ref="R11:R38" si="2">Q11*0.85</f>
        <v>127500</v>
      </c>
      <c r="S11">
        <v>127500</v>
      </c>
    </row>
    <row r="12" spans="6:19">
      <c r="F12">
        <v>15000</v>
      </c>
      <c r="G12">
        <f t="shared" si="0"/>
        <v>12750</v>
      </c>
      <c r="H12">
        <v>12750</v>
      </c>
      <c r="L12">
        <v>50000</v>
      </c>
      <c r="M12">
        <f t="shared" si="1"/>
        <v>42500</v>
      </c>
      <c r="N12">
        <v>42500</v>
      </c>
      <c r="Q12">
        <v>60000</v>
      </c>
      <c r="R12">
        <f t="shared" si="2"/>
        <v>51000</v>
      </c>
      <c r="S12">
        <v>51000</v>
      </c>
    </row>
    <row r="13" spans="6:19">
      <c r="F13">
        <v>10000</v>
      </c>
      <c r="G13">
        <f t="shared" si="0"/>
        <v>8500</v>
      </c>
      <c r="H13">
        <v>8500</v>
      </c>
      <c r="L13">
        <v>30000</v>
      </c>
      <c r="M13">
        <f t="shared" si="1"/>
        <v>25500</v>
      </c>
      <c r="N13">
        <v>25500</v>
      </c>
      <c r="Q13">
        <v>30000</v>
      </c>
      <c r="R13">
        <f t="shared" si="2"/>
        <v>25500</v>
      </c>
      <c r="S13">
        <v>25500</v>
      </c>
    </row>
    <row r="14" spans="6:19">
      <c r="F14">
        <v>150000</v>
      </c>
      <c r="G14">
        <f t="shared" si="0"/>
        <v>127500</v>
      </c>
      <c r="H14">
        <v>127500</v>
      </c>
      <c r="L14">
        <v>30000</v>
      </c>
      <c r="M14">
        <f t="shared" si="1"/>
        <v>25500</v>
      </c>
      <c r="N14">
        <v>25500</v>
      </c>
      <c r="Q14">
        <v>15000</v>
      </c>
      <c r="R14">
        <f t="shared" si="2"/>
        <v>12750</v>
      </c>
      <c r="S14">
        <v>12750</v>
      </c>
    </row>
    <row r="15" spans="6:19">
      <c r="F15">
        <v>30000</v>
      </c>
      <c r="G15">
        <f t="shared" si="0"/>
        <v>25500</v>
      </c>
      <c r="H15">
        <v>25500</v>
      </c>
      <c r="L15">
        <v>15000</v>
      </c>
      <c r="M15">
        <f t="shared" si="1"/>
        <v>12750</v>
      </c>
      <c r="N15">
        <v>12750</v>
      </c>
      <c r="Q15">
        <v>15000</v>
      </c>
      <c r="R15">
        <f t="shared" si="2"/>
        <v>12750</v>
      </c>
      <c r="S15">
        <v>12750</v>
      </c>
    </row>
    <row r="16" spans="6:19">
      <c r="F16">
        <v>15000</v>
      </c>
      <c r="G16">
        <f t="shared" si="0"/>
        <v>12750</v>
      </c>
      <c r="H16">
        <v>12750</v>
      </c>
      <c r="L16">
        <v>15000</v>
      </c>
      <c r="M16">
        <f t="shared" si="1"/>
        <v>12750</v>
      </c>
      <c r="N16">
        <v>12750</v>
      </c>
      <c r="Q16">
        <v>15000</v>
      </c>
      <c r="R16">
        <f t="shared" si="2"/>
        <v>12750</v>
      </c>
      <c r="S16">
        <v>12750</v>
      </c>
    </row>
    <row r="17" spans="6:19">
      <c r="F17">
        <v>15000</v>
      </c>
      <c r="G17">
        <f t="shared" si="0"/>
        <v>12750</v>
      </c>
      <c r="H17">
        <v>12750</v>
      </c>
      <c r="L17">
        <v>15000</v>
      </c>
      <c r="M17">
        <f t="shared" si="1"/>
        <v>12750</v>
      </c>
      <c r="N17">
        <v>12750</v>
      </c>
      <c r="Q17">
        <v>15000</v>
      </c>
      <c r="R17">
        <f t="shared" si="2"/>
        <v>12750</v>
      </c>
      <c r="S17">
        <v>12750</v>
      </c>
    </row>
    <row r="18" spans="6:19">
      <c r="F18">
        <v>15000</v>
      </c>
      <c r="G18">
        <f t="shared" si="0"/>
        <v>12750</v>
      </c>
      <c r="H18">
        <v>12750</v>
      </c>
      <c r="L18">
        <v>15000</v>
      </c>
      <c r="M18">
        <f t="shared" si="1"/>
        <v>12750</v>
      </c>
      <c r="N18">
        <v>12750</v>
      </c>
      <c r="Q18">
        <v>15000</v>
      </c>
      <c r="R18">
        <f t="shared" si="2"/>
        <v>12750</v>
      </c>
      <c r="S18">
        <v>12750</v>
      </c>
    </row>
    <row r="19" spans="6:19">
      <c r="F19">
        <v>15000</v>
      </c>
      <c r="G19">
        <f t="shared" si="0"/>
        <v>12750</v>
      </c>
      <c r="H19">
        <v>12750</v>
      </c>
      <c r="L19">
        <v>15000</v>
      </c>
      <c r="M19">
        <f t="shared" si="1"/>
        <v>12750</v>
      </c>
      <c r="N19">
        <v>12750</v>
      </c>
      <c r="Q19">
        <v>15000</v>
      </c>
      <c r="R19">
        <f t="shared" si="2"/>
        <v>12750</v>
      </c>
      <c r="S19">
        <v>12750</v>
      </c>
    </row>
    <row r="20" spans="6:19">
      <c r="F20">
        <v>15000</v>
      </c>
      <c r="G20">
        <f t="shared" si="0"/>
        <v>12750</v>
      </c>
      <c r="H20">
        <v>12750</v>
      </c>
      <c r="L20">
        <v>15000</v>
      </c>
      <c r="M20">
        <f t="shared" si="1"/>
        <v>12750</v>
      </c>
      <c r="N20">
        <v>12750</v>
      </c>
      <c r="Q20">
        <v>15000</v>
      </c>
      <c r="R20">
        <f t="shared" si="2"/>
        <v>12750</v>
      </c>
      <c r="S20">
        <v>12750</v>
      </c>
    </row>
    <row r="21" spans="6:19">
      <c r="F21">
        <v>15000</v>
      </c>
      <c r="G21">
        <f t="shared" si="0"/>
        <v>12750</v>
      </c>
      <c r="H21">
        <v>12750</v>
      </c>
      <c r="L21">
        <v>15000</v>
      </c>
      <c r="M21">
        <f t="shared" si="1"/>
        <v>12750</v>
      </c>
      <c r="N21">
        <v>12750</v>
      </c>
      <c r="Q21">
        <v>15000</v>
      </c>
      <c r="R21">
        <f t="shared" si="2"/>
        <v>12750</v>
      </c>
      <c r="S21">
        <v>12750</v>
      </c>
    </row>
    <row r="22" spans="6:19">
      <c r="F22">
        <v>15000</v>
      </c>
      <c r="G22">
        <f t="shared" si="0"/>
        <v>12750</v>
      </c>
      <c r="H22">
        <v>12750</v>
      </c>
      <c r="L22">
        <v>15000</v>
      </c>
      <c r="M22">
        <f t="shared" si="1"/>
        <v>12750</v>
      </c>
      <c r="N22">
        <v>12750</v>
      </c>
      <c r="Q22">
        <v>15000</v>
      </c>
      <c r="R22">
        <f t="shared" si="2"/>
        <v>12750</v>
      </c>
      <c r="S22">
        <v>12750</v>
      </c>
    </row>
    <row r="23" spans="6:19">
      <c r="F23">
        <v>15000</v>
      </c>
      <c r="G23">
        <f t="shared" si="0"/>
        <v>12750</v>
      </c>
      <c r="H23">
        <v>12750</v>
      </c>
      <c r="L23">
        <v>15000</v>
      </c>
      <c r="M23">
        <f t="shared" si="1"/>
        <v>12750</v>
      </c>
      <c r="N23">
        <v>12750</v>
      </c>
      <c r="Q23">
        <v>15000</v>
      </c>
      <c r="R23">
        <f t="shared" si="2"/>
        <v>12750</v>
      </c>
      <c r="S23">
        <v>12750</v>
      </c>
    </row>
    <row r="24" spans="6:19">
      <c r="F24">
        <v>15000</v>
      </c>
      <c r="G24">
        <f t="shared" si="0"/>
        <v>12750</v>
      </c>
      <c r="H24">
        <v>12750</v>
      </c>
      <c r="L24">
        <v>30000</v>
      </c>
      <c r="M24">
        <f t="shared" si="1"/>
        <v>25500</v>
      </c>
      <c r="N24">
        <v>25500</v>
      </c>
      <c r="Q24">
        <v>15000</v>
      </c>
      <c r="R24">
        <f t="shared" si="2"/>
        <v>12750</v>
      </c>
      <c r="S24">
        <v>12750</v>
      </c>
    </row>
    <row r="25" spans="6:19">
      <c r="F25">
        <v>10000</v>
      </c>
      <c r="G25">
        <f t="shared" si="0"/>
        <v>8500</v>
      </c>
      <c r="H25">
        <v>8500</v>
      </c>
      <c r="L25">
        <v>15000</v>
      </c>
      <c r="M25">
        <f t="shared" si="1"/>
        <v>12750</v>
      </c>
      <c r="N25">
        <v>12750</v>
      </c>
      <c r="Q25">
        <v>15000</v>
      </c>
      <c r="R25">
        <f t="shared" si="2"/>
        <v>12750</v>
      </c>
      <c r="S25">
        <v>12750</v>
      </c>
    </row>
    <row r="26" spans="6:19">
      <c r="F26">
        <v>50000</v>
      </c>
      <c r="G26">
        <f t="shared" si="0"/>
        <v>42500</v>
      </c>
      <c r="H26">
        <v>42500</v>
      </c>
      <c r="L26">
        <v>15000</v>
      </c>
      <c r="M26">
        <f t="shared" si="1"/>
        <v>12750</v>
      </c>
      <c r="N26">
        <v>12750</v>
      </c>
      <c r="Q26">
        <v>30000</v>
      </c>
      <c r="R26">
        <f t="shared" si="2"/>
        <v>25500</v>
      </c>
      <c r="S26">
        <v>25500</v>
      </c>
    </row>
    <row r="27" spans="6:19">
      <c r="F27">
        <v>15000</v>
      </c>
      <c r="G27">
        <f t="shared" si="0"/>
        <v>12750</v>
      </c>
      <c r="H27">
        <v>12750</v>
      </c>
      <c r="L27">
        <v>15000</v>
      </c>
      <c r="M27">
        <f t="shared" si="1"/>
        <v>12750</v>
      </c>
      <c r="N27">
        <v>12750</v>
      </c>
      <c r="Q27">
        <v>30000</v>
      </c>
      <c r="R27">
        <f t="shared" si="2"/>
        <v>25500</v>
      </c>
      <c r="S27">
        <v>25500</v>
      </c>
    </row>
    <row r="28" spans="6:19">
      <c r="F28">
        <v>15000</v>
      </c>
      <c r="G28">
        <f t="shared" si="0"/>
        <v>12750</v>
      </c>
      <c r="H28">
        <v>12750</v>
      </c>
      <c r="L28">
        <v>15000</v>
      </c>
      <c r="M28">
        <f t="shared" si="1"/>
        <v>12750</v>
      </c>
      <c r="N28">
        <v>12750</v>
      </c>
      <c r="Q28">
        <v>15000</v>
      </c>
      <c r="R28">
        <f t="shared" si="2"/>
        <v>12750</v>
      </c>
      <c r="S28">
        <v>12750</v>
      </c>
    </row>
    <row r="29" spans="6:19">
      <c r="F29">
        <v>15000</v>
      </c>
      <c r="G29">
        <f t="shared" si="0"/>
        <v>12750</v>
      </c>
      <c r="H29">
        <v>12750</v>
      </c>
      <c r="L29">
        <v>30000</v>
      </c>
      <c r="M29">
        <f t="shared" si="1"/>
        <v>25500</v>
      </c>
      <c r="N29">
        <v>25500</v>
      </c>
      <c r="Q29">
        <v>15000</v>
      </c>
      <c r="R29">
        <f t="shared" si="2"/>
        <v>12750</v>
      </c>
      <c r="S29">
        <v>12750</v>
      </c>
    </row>
    <row r="30" spans="6:19">
      <c r="F30">
        <v>15000</v>
      </c>
      <c r="G30">
        <f t="shared" si="0"/>
        <v>12750</v>
      </c>
      <c r="H30">
        <v>12750</v>
      </c>
      <c r="L30">
        <v>30000</v>
      </c>
      <c r="M30">
        <f t="shared" si="1"/>
        <v>25500</v>
      </c>
      <c r="N30">
        <v>25500</v>
      </c>
      <c r="Q30">
        <v>15000</v>
      </c>
      <c r="R30">
        <f t="shared" si="2"/>
        <v>12750</v>
      </c>
      <c r="S30">
        <v>12750</v>
      </c>
    </row>
    <row r="31" spans="6:19">
      <c r="F31">
        <v>15000</v>
      </c>
      <c r="G31">
        <f t="shared" si="0"/>
        <v>12750</v>
      </c>
      <c r="H31">
        <v>12750</v>
      </c>
      <c r="L31">
        <v>15000</v>
      </c>
      <c r="M31">
        <f t="shared" si="1"/>
        <v>12750</v>
      </c>
      <c r="N31">
        <v>12750</v>
      </c>
      <c r="Q31">
        <v>15000</v>
      </c>
      <c r="R31">
        <f t="shared" si="2"/>
        <v>12750</v>
      </c>
      <c r="S31">
        <v>12750</v>
      </c>
    </row>
    <row r="32" spans="6:19">
      <c r="F32">
        <v>15000</v>
      </c>
      <c r="G32">
        <f t="shared" si="0"/>
        <v>12750</v>
      </c>
      <c r="H32">
        <v>12750</v>
      </c>
      <c r="L32">
        <v>15000</v>
      </c>
      <c r="M32">
        <f t="shared" si="1"/>
        <v>12750</v>
      </c>
      <c r="N32">
        <v>12750</v>
      </c>
      <c r="Q32">
        <v>15000</v>
      </c>
      <c r="R32">
        <f t="shared" si="2"/>
        <v>12750</v>
      </c>
      <c r="S32">
        <v>12750</v>
      </c>
    </row>
    <row r="33" spans="6:19">
      <c r="F33">
        <v>15000</v>
      </c>
      <c r="G33">
        <f t="shared" si="0"/>
        <v>12750</v>
      </c>
      <c r="H33">
        <v>12750</v>
      </c>
      <c r="L33">
        <v>15000</v>
      </c>
      <c r="M33">
        <f t="shared" si="1"/>
        <v>12750</v>
      </c>
      <c r="N33">
        <v>12750</v>
      </c>
      <c r="Q33">
        <v>15000</v>
      </c>
      <c r="R33">
        <f t="shared" si="2"/>
        <v>12750</v>
      </c>
      <c r="S33">
        <v>12750</v>
      </c>
    </row>
    <row r="34" spans="6:19">
      <c r="F34">
        <v>15000</v>
      </c>
      <c r="G34">
        <f t="shared" si="0"/>
        <v>12750</v>
      </c>
      <c r="H34">
        <v>12750</v>
      </c>
      <c r="L34">
        <v>15000</v>
      </c>
      <c r="M34">
        <f t="shared" si="1"/>
        <v>12750</v>
      </c>
      <c r="N34">
        <v>12750</v>
      </c>
      <c r="Q34">
        <v>15000</v>
      </c>
      <c r="R34">
        <f t="shared" si="2"/>
        <v>12750</v>
      </c>
      <c r="S34">
        <v>12750</v>
      </c>
    </row>
    <row r="35" spans="6:19">
      <c r="F35">
        <v>15000</v>
      </c>
      <c r="G35">
        <f t="shared" si="0"/>
        <v>12750</v>
      </c>
      <c r="H35">
        <v>12750</v>
      </c>
      <c r="L35">
        <v>15000</v>
      </c>
      <c r="M35">
        <f t="shared" si="1"/>
        <v>12750</v>
      </c>
      <c r="N35">
        <v>12750</v>
      </c>
      <c r="Q35">
        <v>15000</v>
      </c>
      <c r="R35">
        <f t="shared" si="2"/>
        <v>12750</v>
      </c>
      <c r="S35">
        <v>12750</v>
      </c>
    </row>
    <row r="36" spans="6:19">
      <c r="F36">
        <v>15000</v>
      </c>
      <c r="G36">
        <f t="shared" si="0"/>
        <v>12750</v>
      </c>
      <c r="H36">
        <v>12750</v>
      </c>
      <c r="L36">
        <v>50000</v>
      </c>
      <c r="M36">
        <f t="shared" si="1"/>
        <v>42500</v>
      </c>
      <c r="N36">
        <v>42500</v>
      </c>
      <c r="Q36">
        <v>15000</v>
      </c>
      <c r="R36">
        <f t="shared" si="2"/>
        <v>12750</v>
      </c>
      <c r="S36">
        <v>12750</v>
      </c>
    </row>
    <row r="37" spans="6:19">
      <c r="F37">
        <v>15000</v>
      </c>
      <c r="G37">
        <f t="shared" si="0"/>
        <v>12750</v>
      </c>
      <c r="H37">
        <v>12750</v>
      </c>
      <c r="Q37">
        <v>15000</v>
      </c>
      <c r="R37">
        <f t="shared" si="2"/>
        <v>12750</v>
      </c>
      <c r="S37">
        <v>12750</v>
      </c>
    </row>
    <row r="38" spans="6:19">
      <c r="F38">
        <v>15000</v>
      </c>
      <c r="G38">
        <f t="shared" si="0"/>
        <v>12750</v>
      </c>
      <c r="H38">
        <v>12750</v>
      </c>
      <c r="Q38">
        <v>150000</v>
      </c>
      <c r="R38">
        <f t="shared" si="2"/>
        <v>127500</v>
      </c>
      <c r="S38">
        <v>127500</v>
      </c>
    </row>
    <row r="39" spans="6:19">
      <c r="F39">
        <v>15000</v>
      </c>
      <c r="G39">
        <f t="shared" si="0"/>
        <v>12750</v>
      </c>
      <c r="H39">
        <v>12750</v>
      </c>
    </row>
    <row r="40" spans="6:19">
      <c r="F40">
        <v>30000</v>
      </c>
      <c r="G40">
        <f t="shared" si="0"/>
        <v>25500</v>
      </c>
      <c r="H40">
        <v>25500</v>
      </c>
    </row>
    <row r="41" spans="6:19">
      <c r="F41">
        <v>15000</v>
      </c>
      <c r="G41">
        <f t="shared" si="0"/>
        <v>12750</v>
      </c>
      <c r="H41">
        <v>12750</v>
      </c>
    </row>
    <row r="42" spans="6:19">
      <c r="F42">
        <v>15000</v>
      </c>
      <c r="G42">
        <f t="shared" si="0"/>
        <v>12750</v>
      </c>
      <c r="H42">
        <v>12750</v>
      </c>
    </row>
    <row r="43" spans="6:19">
      <c r="F43">
        <v>30000</v>
      </c>
      <c r="G43">
        <f t="shared" si="0"/>
        <v>25500</v>
      </c>
      <c r="H43">
        <v>25500</v>
      </c>
    </row>
    <row r="44" spans="6:19">
      <c r="F44">
        <v>15000</v>
      </c>
      <c r="G44">
        <f t="shared" si="0"/>
        <v>12750</v>
      </c>
      <c r="H44">
        <v>12750</v>
      </c>
    </row>
    <row r="45" spans="6:19">
      <c r="F45">
        <v>15000</v>
      </c>
      <c r="G45">
        <f t="shared" si="0"/>
        <v>12750</v>
      </c>
      <c r="H45">
        <v>12750</v>
      </c>
    </row>
    <row r="46" spans="6:19">
      <c r="F46">
        <v>15000</v>
      </c>
      <c r="G46">
        <f t="shared" si="0"/>
        <v>12750</v>
      </c>
      <c r="H46">
        <v>12750</v>
      </c>
    </row>
    <row r="47" spans="6:19">
      <c r="F47">
        <v>15000</v>
      </c>
      <c r="G47">
        <f t="shared" si="0"/>
        <v>12750</v>
      </c>
      <c r="H47">
        <v>12750</v>
      </c>
    </row>
    <row r="48" spans="6:19">
      <c r="F48">
        <v>15000</v>
      </c>
      <c r="G48">
        <f t="shared" si="0"/>
        <v>12750</v>
      </c>
      <c r="H48">
        <v>12750</v>
      </c>
    </row>
    <row r="49" spans="6:8">
      <c r="F49">
        <v>15000</v>
      </c>
      <c r="G49">
        <f t="shared" si="0"/>
        <v>12750</v>
      </c>
      <c r="H49">
        <v>12750</v>
      </c>
    </row>
    <row r="50" spans="6:8">
      <c r="F50">
        <v>15000</v>
      </c>
      <c r="G50">
        <f t="shared" si="0"/>
        <v>12750</v>
      </c>
      <c r="H50">
        <v>12750</v>
      </c>
    </row>
    <row r="51" spans="6:8">
      <c r="F51">
        <v>15000</v>
      </c>
      <c r="G51">
        <f t="shared" si="0"/>
        <v>12750</v>
      </c>
      <c r="H51">
        <v>12750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2025.6.12调</vt:lpstr>
      <vt:lpstr>各标段汇总</vt:lpstr>
      <vt:lpstr>1标</vt:lpstr>
      <vt:lpstr>2标</vt:lpstr>
      <vt:lpstr>3标</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风风火火</cp:lastModifiedBy>
  <dcterms:created xsi:type="dcterms:W3CDTF">2007-11-06T05:49:00Z</dcterms:created>
  <cp:lastPrinted>2017-11-08T08:44:00Z</cp:lastPrinted>
  <dcterms:modified xsi:type="dcterms:W3CDTF">2025-12-02T07:40:33Z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6C19B62960C64E3DA84613AC528921F5_13</vt:lpwstr>
  </property>
  <property fmtid="{D5CDD505-2E9C-101B-9397-08002B2CF9AE}" pid="4" name="KSOReadingLayout">
    <vt:bool>true</vt:bool>
  </property>
</Properties>
</file>