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definedNames>
    <definedName name="_xlnm._FilterDatabase" localSheetId="0" hidden="1">Sheet1!$A$2:$F$423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133D21E73F3A4E55AA8C67106D2C2D1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43760" y="5715000"/>
          <a:ext cx="3248025" cy="486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A9DFE38BA5E64C328799E4ACE1B7A3E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43760" y="11430000"/>
          <a:ext cx="7038975" cy="4686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8D40A66C00A4D41A3E6D52870763CB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43760" y="28575000"/>
          <a:ext cx="6781800" cy="3000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82D2F8D37F6407A8DF321D19480437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43760" y="26670000"/>
          <a:ext cx="11306175" cy="4714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7D013B9D96AA44DDA83DEF6F7F788F1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43760" y="28575000"/>
          <a:ext cx="1714500" cy="2495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6E4C54C99C2749858E20B60EA150EE5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43760" y="30480000"/>
          <a:ext cx="6781800" cy="3000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27FAB35F0AF54C04B4912B6CD756EE9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43760" y="36195000"/>
          <a:ext cx="2009775" cy="2066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55A3E0C2A64446318F282E21B24FB16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43760" y="38100000"/>
          <a:ext cx="2057400" cy="2524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0A565D38C38A4114A2930ABC29D49A8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1660" y="40005000"/>
          <a:ext cx="3486150" cy="2790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6B73062A90A04F7683F334FA3199A82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43760" y="43815000"/>
          <a:ext cx="1695450" cy="2276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BDA0934BC2314FD2A22E5C2AF290F25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43760" y="41910000"/>
          <a:ext cx="3352800" cy="299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367688676A35452DBD8EA033F60DB4B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43760" y="47625000"/>
          <a:ext cx="2609850" cy="190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79F90BA1FD9140FFA408579D23E9222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43760" y="47625000"/>
          <a:ext cx="9553575" cy="478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D4811EF3DAEE476B9A60C306BF5EF32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43760" y="55245000"/>
          <a:ext cx="3648075" cy="2790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383D7EBE090841C6AF357E7BB700DB2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43760" y="62865000"/>
          <a:ext cx="7277100" cy="1981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7430C6FA1C514E3FBFFF8F8BF436A81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81660" y="59055000"/>
          <a:ext cx="2657475" cy="335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EF4761811B5941EAA66B7238BC823C9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43760" y="64770000"/>
          <a:ext cx="4962525" cy="2638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F5F209BED69E41D4AB0A8A49DDA01E6A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43760" y="116205000"/>
          <a:ext cx="4714875" cy="2571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41E2F3146AEA42ADA5F2A4955D72DE4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43760" y="68580000"/>
          <a:ext cx="6858000" cy="2114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3DD59019BE5A4A4788D9B78F4DB4484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43760" y="70485000"/>
          <a:ext cx="6858000" cy="2114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F6906734659B4DAA95D4997A315D4D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143760" y="121920000"/>
          <a:ext cx="6524625" cy="1724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ED8B4B58F8B451AB3CB670B7789F46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43760" y="72390000"/>
          <a:ext cx="6858000" cy="2114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2E9EC12060794F52B8B0AD38BC0241B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143760" y="74295000"/>
          <a:ext cx="8562975" cy="299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A2F79DB0CBD24883881AD481CE418FBD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143760" y="129540000"/>
          <a:ext cx="3419475" cy="2419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EEDAC0CDD91C436BA8E7F07CA446E3DA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43760" y="81915000"/>
          <a:ext cx="5191125" cy="342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3D10512F87564F7FB695949AA4F4700C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143760" y="139065000"/>
          <a:ext cx="1743075" cy="1724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C137A5C0DBE146719D79A00E4AEC671B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43760" y="85725000"/>
          <a:ext cx="7086600" cy="1466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31F71B3099BE47FE8B841FF6D2747DF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617710" y="106680000"/>
          <a:ext cx="4381500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74931822F2DC4C6DA8CC0D4273A0CF5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143760" y="89535000"/>
          <a:ext cx="4333875" cy="2628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92194F1E526E4A70B917147D9836470C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143760" y="91440000"/>
          <a:ext cx="2152650" cy="2924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3BDCF8431CDC4920B4B84C474BEC93A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143760" y="93345000"/>
          <a:ext cx="4057650" cy="220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59398CD005B543F6A1DFDA5ACB62A90C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43760" y="95250000"/>
          <a:ext cx="2533650" cy="2695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76FA27A24A984D4CA18CCCB62F62CD0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143760" y="99060000"/>
          <a:ext cx="2552700" cy="1600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8E9C5C64C8FC499B8FCD652B7C5C32E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617710" y="104775000"/>
          <a:ext cx="5362575" cy="558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A093CEF21C1441599B02227B529C3B1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143760" y="150495000"/>
          <a:ext cx="1724025" cy="232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EFC8719144514D97A4BD86FF7B0E1AAA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143760" y="106680000"/>
          <a:ext cx="5476875" cy="1895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E1C0DE17C22E457A9E084CB381C9319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143760" y="112395000"/>
          <a:ext cx="2705100" cy="2219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846FC32722D34918B8FDB1C4FE31A3A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143760" y="120015000"/>
          <a:ext cx="2219325" cy="2657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A8C96DA7F386485DBA09CB273700814D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143760" y="123825000"/>
          <a:ext cx="3971925" cy="1704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52F285C5E0AE419988C4055DB914345B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143760" y="131445000"/>
          <a:ext cx="3067050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408B978F811346F89C13A6EBF9B51166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143760" y="133350000"/>
          <a:ext cx="2562225" cy="313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189C1B7629D1443B8A39D328D1F9961F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143760" y="135255000"/>
          <a:ext cx="3267075" cy="5686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2FA32B21F48C48A0992ECE86118B529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143760" y="137160000"/>
          <a:ext cx="3267075" cy="5686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75655CA09C1344E6B4B9775B7F66D3A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143760" y="140970000"/>
          <a:ext cx="2752725" cy="326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369C280C5C434076BB9BA0D1E356C68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143760" y="144780000"/>
          <a:ext cx="2762250" cy="2905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C6CE3961F74541B297074E0395BC090F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143760" y="146685000"/>
          <a:ext cx="4810125" cy="2628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883423C6722B4027A86A68E29665FF7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143760" y="148590000"/>
          <a:ext cx="1828800" cy="251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F430424415CB4877826617DCB597BD8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143760" y="171450000"/>
          <a:ext cx="2438400" cy="288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242ED00631F44C65B83160DB497A00D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503170" y="40914320"/>
          <a:ext cx="824230" cy="774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62DD360D2ED4457B9E6CD3847816F32B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568575" y="40098345"/>
          <a:ext cx="650875" cy="66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3C20DD3F7C8A4693B18E3CEEDA6F3D7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350135" y="39073455"/>
          <a:ext cx="1204595" cy="731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9489F025F4B844E693951F895371C02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626995" y="37338635"/>
          <a:ext cx="386715" cy="567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EA9FF88B843B402B8501C5F4F369737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447290" y="36307395"/>
          <a:ext cx="436880" cy="788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B087C04C2B3E4F0DB75B95746B395FCF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513330" y="34944685"/>
          <a:ext cx="452755" cy="950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229A23344FC145AE88762A48220B7DDA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023745" y="33962340"/>
          <a:ext cx="1228725" cy="735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7B21DCF0D5F646808ACEE8386AE1A18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084705" y="33046035"/>
          <a:ext cx="1047115" cy="757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BCF5B815132B47F4913265F774311BEC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252345" y="32056070"/>
          <a:ext cx="798195" cy="871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AAFF81E81B8B4346A0022B6CEF1DF04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389505" y="31198820"/>
          <a:ext cx="802005" cy="822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0A0CD43AA7344729BC409AB64555809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453640" y="30333950"/>
          <a:ext cx="906780" cy="716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42E30CD81A994FFEB5479306CB03FEC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423795" y="29499560"/>
          <a:ext cx="765810" cy="569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EB5936F30D624F679C47CA01A29C15FA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306955" y="28408630"/>
          <a:ext cx="629285" cy="849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4AB4F29B7A314ECEAB8C5A6BB6D1BA7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633980" y="27237055"/>
          <a:ext cx="532765" cy="974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88DDBF72A69C4B2BBCA44DA25DBFD07A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200910" y="26209625"/>
          <a:ext cx="1381760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E65AD0DC0DE2464EA3CD5B60DCA14187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179320" y="25233630"/>
          <a:ext cx="1370965" cy="643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ACA1979E4025437C897E5AEE3FC84FE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2104390" y="24306530"/>
          <a:ext cx="1308735" cy="810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587AEC2B25A24D3CBB86066892952D2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237740" y="23502620"/>
          <a:ext cx="1299845" cy="603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C7EBC17A07044AA5BBE932D6B1E2C377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144395" y="21950045"/>
          <a:ext cx="1804670" cy="957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DE3C18A51342425F961ED90737A3C65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 flipH="1">
          <a:off x="2603500" y="20740370"/>
          <a:ext cx="695325" cy="612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6833BDF88A3D46B88BBB345C21D7185B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183765" y="17557750"/>
          <a:ext cx="1470025" cy="749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1E39B65986C140378F8E1744CDC14DF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159635" y="43104435"/>
          <a:ext cx="1355090" cy="481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027D42BDFA0A407F952A7A76B1597C4E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2252980" y="44042330"/>
          <a:ext cx="876300" cy="74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CC6AAE2F2D254E0B92A66CE63415C68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171065" y="44971335"/>
          <a:ext cx="1054735" cy="518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18A2762EB8334B3996C45EC91A1CB7A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986280" y="48073945"/>
          <a:ext cx="1834515" cy="907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45759B52E20E4A3D9458D7433C22CBDB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2684780" y="51119405"/>
          <a:ext cx="651510" cy="976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A075B9BF33864D1385AB8C7BB85EFA4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2499995" y="60101480"/>
          <a:ext cx="682625" cy="607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ADF0BE637C4F4F1CADBE8560370FC12F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2167890" y="58766075"/>
          <a:ext cx="1446530" cy="695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0200F4D15A3140DF98223451196E429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2245360" y="61067315"/>
          <a:ext cx="1508760" cy="741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39687FDDD6FE42DA8679F23582FC4EDC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979930" y="63011685"/>
          <a:ext cx="1846580" cy="949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C32B6BDDBBAC45758CDD5EB1D57B6C4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2324100" y="62170945"/>
          <a:ext cx="1134745" cy="580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E96CFC9715FB49C5A984E40CF2A04E1A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2423795" y="64230250"/>
          <a:ext cx="989330" cy="73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CA49B9EE0453482C82A6BE3B62BE624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038985" y="65074165"/>
          <a:ext cx="957580" cy="946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F55AD1B4D9D843F698F974F785A17B3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2015490" y="66089530"/>
          <a:ext cx="537210" cy="936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EEFCE6D33AAF45708E2E9B3F002D064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2005330" y="67102355"/>
          <a:ext cx="696595" cy="966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4A04E32F7ABE43849E381DF5C2033BE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2049145" y="68169155"/>
          <a:ext cx="1174115" cy="1906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019E1C2C84A645D8B78654C9DFFC993B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2251710" y="78550770"/>
          <a:ext cx="1332865" cy="518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DF14F36F90CF45A2AA9DAB7C8E59D2A6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2363470" y="82551270"/>
          <a:ext cx="1026160" cy="73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FA36E112A87E47E2B5CFFDB69890573D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2092960" y="81463515"/>
          <a:ext cx="1651635" cy="789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2637ADE82AB144569F7A02D96966DC7C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2208530" y="79599155"/>
          <a:ext cx="1418590" cy="553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C0ABEF5252BC4E089B38C5F9F0A085F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2295525" y="77410310"/>
          <a:ext cx="1198880" cy="688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5F456A03284C4C8D9CD1F7C8CF3CF995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2527935" y="92537280"/>
          <a:ext cx="850265" cy="629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6BA07FBC5AB54B0F8015ACAB439424FC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2445385" y="97597595"/>
          <a:ext cx="955675" cy="880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6BEB1831E57D41D79806995A42939C85" descr="狮子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2539365" y="100138865"/>
          <a:ext cx="687705" cy="64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19A15B10ADDE4FA5BE54636C664EE7C7" descr="小狗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2405380" y="102911275"/>
          <a:ext cx="894080" cy="829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7BA13DE9780147FE87180FCA38FB047C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317115" y="106221530"/>
          <a:ext cx="976630" cy="505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2DF4A42F8A074EB7985D4279369316A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2172335" y="107311825"/>
          <a:ext cx="1223010" cy="412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779FC1FEBEDA4C02A50266BE1FE32B89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2588895" y="108275755"/>
          <a:ext cx="658495" cy="443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600AC25785EB460A90D85A7C45A4C63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2365375" y="114181255"/>
          <a:ext cx="895350" cy="774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C48CC4A23B4B408198F4F74A563D54EC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2635885" y="115174395"/>
          <a:ext cx="349250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4FCF159042724B1CAB37AE11E479328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2367280" y="116349780"/>
          <a:ext cx="692150" cy="93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555353D8B99F43CF90CD9B1A18D90B1C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2410460" y="117465475"/>
          <a:ext cx="548640" cy="904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93CE83C6B1CD42EF91CC8A1557ABA18B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2465070" y="118618000"/>
          <a:ext cx="400050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0BE042503BDE4D5AB8A6FCBEB4AB3535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2217420" y="119418100"/>
          <a:ext cx="920750" cy="9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10BDFD2C93F44F0E96BA823B39FEC62F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2312670" y="120448705"/>
          <a:ext cx="332105" cy="927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D14D4B1FB99141F1AB88CE0EE74F18BB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2131060" y="121641235"/>
          <a:ext cx="1246505" cy="969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1E104D3F19AB4AA08B351770481579A5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2460625" y="122939810"/>
          <a:ext cx="1111250" cy="821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843B2D8817644A6593C220DA38009328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2132330" y="124007880"/>
          <a:ext cx="1660525" cy="706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0" name="ID_B1F10522CD3945489504C92DE83C5BB2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2016125" y="126368810"/>
          <a:ext cx="1454150" cy="584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F173C3CE323645F294F2ABB53B4090A2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2467610" y="89231470"/>
          <a:ext cx="913130" cy="133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E2C98969BC194F3FA17F4C44D449284F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2155825" y="130716020"/>
          <a:ext cx="1445895" cy="714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373BAFC9F9DE4440B9975B79459B1D7D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2363470" y="134598410"/>
          <a:ext cx="1254125" cy="773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814BDF55B14E489CA16572E82CDE3DD9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2258695" y="136598025"/>
          <a:ext cx="1304290" cy="701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4" name="ID_751FD88E1E084D0BB5C14D98A01E76AA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2385695" y="137542905"/>
          <a:ext cx="967105" cy="790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5" name="ID_3F0D94371F074DF2AC3D6BFD0E13618F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2488565" y="138868785"/>
          <a:ext cx="1186815" cy="6343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8" name="ID_229D89D9EAC844A0BCDCA4C69475172F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2209800" y="139757150"/>
          <a:ext cx="1513205" cy="703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6" name="ID_21EB3A30B9AA4CDAA435877D2EDFF108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2360295" y="140714730"/>
          <a:ext cx="992505" cy="79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DD9F27F45A7D4559B116625FCC88C07F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2527935" y="141731365"/>
          <a:ext cx="855980" cy="815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8C71760F18EB4838A474309D2E525387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2453640" y="142756255"/>
          <a:ext cx="960120" cy="749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D04ECE90E33446D3A89EDF1A98A03889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2137410" y="143804640"/>
          <a:ext cx="1287780" cy="754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4" name="ID_6085C65DEA6149B1B2B1DBDD7BCA6E70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2332355" y="144750155"/>
          <a:ext cx="736600" cy="783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3" name="ID_FE4C57BDF3744A7787FB5909E21FB249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571750" y="145949035"/>
          <a:ext cx="573405" cy="581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D7DFA2C797084949B1ADAC12B5803F2F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2400300" y="146881215"/>
          <a:ext cx="671830" cy="645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C47FD23F767C4A60B260A3D426AEBDF3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2252345" y="147842605"/>
          <a:ext cx="1185545" cy="63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8B616B1C263D4F50AC7FC787D81F5BD0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2284730" y="148870035"/>
          <a:ext cx="772795" cy="631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AF4030303EC049A4B5A51EEEDBDEAD8E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2103120" y="149851110"/>
          <a:ext cx="1232535" cy="658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2" name="ID_EF827D77B5FB4A84A48FB4231B873068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2321560" y="150877905"/>
          <a:ext cx="814705" cy="6521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9EB431FF157E4428A6439F3CCA092AE2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2527300" y="231039035"/>
          <a:ext cx="375285" cy="881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55D0B61CD09D42668197E2E68C83FBE6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2522220" y="230080185"/>
          <a:ext cx="570230" cy="783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1FC1AB2C028C41CFB0A5A49319284B1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2385060" y="229072440"/>
          <a:ext cx="1113155" cy="866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20E60F72F5AA45A6B2E3FFA187F4EAD6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2111375" y="232077895"/>
          <a:ext cx="1357630" cy="842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748F9BD0505E4FA19B062D54DBAAD37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2248535" y="233224070"/>
          <a:ext cx="451485" cy="722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B75BC593C5594D7BA39C8FCA90F1016D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2014220" y="234216575"/>
          <a:ext cx="1698625" cy="59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0BF1687DFF1A490AA06F29BF68FC52C6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2511425" y="235225590"/>
          <a:ext cx="480695" cy="988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E2070EB688844C20A6276E1CDB25BD04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2376805" y="236579410"/>
          <a:ext cx="614045" cy="808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CB0634C6416649FB9C6ADAF3EDEEA48C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2165350" y="237643670"/>
          <a:ext cx="1409700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7BD29984C96D49B0BF2C6454A74AB70B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2359660" y="238712375"/>
          <a:ext cx="769620" cy="461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7B8DEFF855D248A895A3ABF56027592C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2416175" y="239645190"/>
          <a:ext cx="769620" cy="461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4" name="ID_72F3889F5B494746A8FD156FDCD10D4D" descr="26befa04574a0bad2a8f3387a436bf9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2354580" y="240633885"/>
          <a:ext cx="1226820" cy="801370"/>
        </a:xfrm>
        <a:prstGeom prst="rect">
          <a:avLst/>
        </a:prstGeom>
      </xdr:spPr>
    </xdr:pic>
  </etc:cellImage>
  <etc:cellImage>
    <xdr:pic>
      <xdr:nvPicPr>
        <xdr:cNvPr id="191" name="ID_BC25C799CE354E3BB24ECBF28FD46D43" descr="b6f4b27bd4120b4e2c2083305c70b2d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2340610" y="241651155"/>
          <a:ext cx="843915" cy="847725"/>
        </a:xfrm>
        <a:prstGeom prst="rect">
          <a:avLst/>
        </a:prstGeom>
      </xdr:spPr>
    </xdr:pic>
  </etc:cellImage>
  <etc:cellImage>
    <xdr:pic>
      <xdr:nvPicPr>
        <xdr:cNvPr id="187" name="ID_CBE786DD40BC4D7EA7328468AB3E9FBA" descr="垫板.png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2156460" y="242669060"/>
          <a:ext cx="1181735" cy="742950"/>
        </a:xfrm>
        <a:prstGeom prst="rect">
          <a:avLst/>
        </a:prstGeom>
      </xdr:spPr>
    </xdr:pic>
  </etc:cellImage>
  <etc:cellImage>
    <xdr:pic>
      <xdr:nvPicPr>
        <xdr:cNvPr id="188" name="ID_BD3BDCD6EB7547249ED74C3BD6F72D3D" descr="滚轴.png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2143760" y="243853335"/>
          <a:ext cx="1177925" cy="591185"/>
        </a:xfrm>
        <a:prstGeom prst="rect">
          <a:avLst/>
        </a:prstGeom>
      </xdr:spPr>
    </xdr:pic>
  </etc:cellImage>
  <etc:cellImage>
    <xdr:pic>
      <xdr:nvPicPr>
        <xdr:cNvPr id="189" name="ID_2DFAFBFC0CB647F7BBF62B6E872F128B" descr="拍泥板.png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2470150" y="244558820"/>
          <a:ext cx="559435" cy="857250"/>
        </a:xfrm>
        <a:prstGeom prst="rect">
          <a:avLst/>
        </a:prstGeom>
      </xdr:spPr>
    </xdr:pic>
  </etc:cellImage>
  <etc:cellImage>
    <xdr:pic>
      <xdr:nvPicPr>
        <xdr:cNvPr id="193" name="ID_D3776474DBE74B42B332468F77895845"/>
        <xdr:cNvPicPr>
          <a:picLocks noChangeAspect="1" noChangeArrowheads="1"/>
        </xdr:cNvPicPr>
      </xdr:nvPicPr>
      <xdr:blipFill>
        <a:blip r:embed="rId136"/>
        <a:srcRect/>
        <a:stretch>
          <a:fillRect/>
        </a:stretch>
      </xdr:blipFill>
      <xdr:spPr>
        <a:xfrm>
          <a:off x="2379345" y="245725950"/>
          <a:ext cx="920750" cy="622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92" name="ID_2F71307160F34C16893226802C2B302A" descr="粘土模具.png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2364105" y="246710835"/>
          <a:ext cx="847725" cy="641985"/>
        </a:xfrm>
        <a:prstGeom prst="rect">
          <a:avLst/>
        </a:prstGeom>
      </xdr:spPr>
    </xdr:pic>
  </etc:cellImage>
  <etc:cellImage>
    <xdr:pic>
      <xdr:nvPicPr>
        <xdr:cNvPr id="190" name="ID_A92E1789C4E748CA87D585C22BE69D1C" descr="白胚.png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2232660" y="247636665"/>
          <a:ext cx="828675" cy="678815"/>
        </a:xfrm>
        <a:prstGeom prst="rect">
          <a:avLst/>
        </a:prstGeom>
      </xdr:spPr>
    </xdr:pic>
  </etc:cellImage>
  <etc:cellImage>
    <xdr:pic>
      <xdr:nvPicPr>
        <xdr:cNvPr id="195" name="ID_0F5CF9C74A754A418E58F914BB0CC100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2237740" y="248887615"/>
          <a:ext cx="1164590" cy="312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6" name="ID_71EC79CE5D5C479F9138C30F905ADB4A" descr="原木片盒.png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2330450" y="249786140"/>
          <a:ext cx="1026795" cy="719455"/>
        </a:xfrm>
        <a:prstGeom prst="rect">
          <a:avLst/>
        </a:prstGeom>
      </xdr:spPr>
    </xdr:pic>
  </etc:cellImage>
  <etc:cellImage>
    <xdr:pic>
      <xdr:nvPicPr>
        <xdr:cNvPr id="197" name="ID_71235739154E42D2912E6ED0BF25176D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2512695" y="250791980"/>
          <a:ext cx="615950" cy="73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8" name="ID_BAAC90E1D59345A2BA7F179FEF05AC3A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2456815" y="251781310"/>
          <a:ext cx="565150" cy="774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9" name="ID_21CA0D1FB08D4EB1B9A337B302C5DB2B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2422525" y="252754130"/>
          <a:ext cx="768350" cy="86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0" name="ID_322DBD85325B4CBEBAECCA34444E0A82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2470150" y="253848870"/>
          <a:ext cx="698500" cy="717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1" name="ID_58AE172CDD0946D38BB49F0A032211F6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2445385" y="255047115"/>
          <a:ext cx="527050" cy="46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2" name="ID_4DE095C639A544748E153A4D154AC970"/>
        <xdr:cNvPicPr>
          <a:picLocks noChangeAspect="1" noChangeArrowheads="1"/>
        </xdr:cNvPicPr>
      </xdr:nvPicPr>
      <xdr:blipFill>
        <a:blip r:embed="rId146"/>
        <a:srcRect/>
        <a:stretch>
          <a:fillRect/>
        </a:stretch>
      </xdr:blipFill>
      <xdr:spPr>
        <a:xfrm>
          <a:off x="2381885" y="255844040"/>
          <a:ext cx="542290" cy="7194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203" name="ID_65798071AFD3491692B2D48CB59E0F1A"/>
        <xdr:cNvPicPr>
          <a:picLocks noChangeAspect="1" noChangeArrowheads="1"/>
        </xdr:cNvPicPr>
      </xdr:nvPicPr>
      <xdr:blipFill>
        <a:blip r:embed="rId147"/>
        <a:srcRect/>
        <a:stretch>
          <a:fillRect/>
        </a:stretch>
      </xdr:blipFill>
      <xdr:spPr>
        <a:xfrm>
          <a:off x="2373630" y="256835275"/>
          <a:ext cx="542290" cy="7200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204" name="ID_B950A0FA02E9411A86FAD9900A68C6FE" descr="玉米皮.png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2433320" y="258072890"/>
          <a:ext cx="629285" cy="397510"/>
        </a:xfrm>
        <a:prstGeom prst="rect">
          <a:avLst/>
        </a:prstGeom>
      </xdr:spPr>
    </xdr:pic>
  </etc:cellImage>
  <etc:cellImage>
    <xdr:pic>
      <xdr:nvPicPr>
        <xdr:cNvPr id="205" name="ID_75B3C5484CB049D6A8820BD72917F5EB" descr="莲蓬.png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2472690" y="259087620"/>
          <a:ext cx="527050" cy="400050"/>
        </a:xfrm>
        <a:prstGeom prst="rect">
          <a:avLst/>
        </a:prstGeom>
      </xdr:spPr>
    </xdr:pic>
  </etc:cellImage>
  <etc:cellImage>
    <xdr:pic>
      <xdr:nvPicPr>
        <xdr:cNvPr id="206" name="ID_46EF0C033FF548AFAC2282BC5E254054" descr="麦穗.png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2486025" y="260047105"/>
          <a:ext cx="542925" cy="458470"/>
        </a:xfrm>
        <a:prstGeom prst="rect">
          <a:avLst/>
        </a:prstGeom>
      </xdr:spPr>
    </xdr:pic>
  </etc:cellImage>
  <etc:cellImage>
    <xdr:pic>
      <xdr:nvPicPr>
        <xdr:cNvPr id="210" name="ID_859444812A8E4FADBEF78168DD1617DF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2350770" y="261000875"/>
          <a:ext cx="813435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8" name="ID_2209F0D70A924346AA59690F98DF69A3" descr="10瓶种子.png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2409825" y="262033385"/>
          <a:ext cx="460375" cy="415290"/>
        </a:xfrm>
        <a:prstGeom prst="rect">
          <a:avLst/>
        </a:prstGeom>
      </xdr:spPr>
    </xdr:pic>
  </etc:cellImage>
  <etc:cellImage>
    <xdr:pic>
      <xdr:nvPicPr>
        <xdr:cNvPr id="207" name="ID_2719E91955F941B2ABCB469A1D484576" descr="大自然小石子.png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2393950" y="263064625"/>
          <a:ext cx="692150" cy="494665"/>
        </a:xfrm>
        <a:prstGeom prst="rect">
          <a:avLst/>
        </a:prstGeom>
      </xdr:spPr>
    </xdr:pic>
  </etc:cellImage>
  <etc:cellImage>
    <xdr:pic>
      <xdr:nvPicPr>
        <xdr:cNvPr id="209" name="ID_1DC3A747D78C434B9CF84485F83F8E08" descr="海螺.png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2259330" y="264041255"/>
          <a:ext cx="935355" cy="784225"/>
        </a:xfrm>
        <a:prstGeom prst="rect">
          <a:avLst/>
        </a:prstGeom>
      </xdr:spPr>
    </xdr:pic>
  </etc:cellImage>
  <etc:cellImage>
    <xdr:pic>
      <xdr:nvPicPr>
        <xdr:cNvPr id="211" name="ID_8C0A9A49F30D49EBA4A001CFC95B613D" descr="24色纸绳.jpg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2467610" y="265097260"/>
          <a:ext cx="655955" cy="655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2" name="ID_D27E53999DF34B1CB2A94A0868039077" descr="彩色胶片纸.png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2249170" y="266281535"/>
          <a:ext cx="1021715" cy="516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3" name="ID_662A13EAE7CC4C6199E90E3DF39A53D5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2362835" y="267273405"/>
          <a:ext cx="953135" cy="546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4" name="ID_EFAF55F2FF50438D86C9544E9E21810D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2447290" y="268172565"/>
          <a:ext cx="640715" cy="516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5" name="ID_9926823540434CED978CED040D4D512B" descr="美纹纸.png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2256155" y="269086965"/>
          <a:ext cx="754380" cy="646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7" name="ID_AD8FAD94D601480BB1BB429D9E2B3945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2296795" y="270242030"/>
          <a:ext cx="799465" cy="57213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219" name="ID_C065FF52D0734FDCA285A123B2D12C0B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2439035" y="271187545"/>
          <a:ext cx="724535" cy="532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6" name="ID_8A7B396DD91F4EDFBE35B8738BEC0AED" descr="纸浆马勺.png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2523490" y="272155285"/>
          <a:ext cx="670560" cy="685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8" name="ID_B206D756D6AD46F1A61D9EB5555B146C" descr="玉米粒.png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2466975" y="273482435"/>
          <a:ext cx="755015" cy="402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8" name="ID_D92462AD353B40A3A0E15100D7C81BF2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2089150" y="282156535"/>
          <a:ext cx="917575" cy="50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9" name="ID_C2CE16E5B3A54555AC3DE767B1C786BF" descr="纸筒.png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2278380" y="283202380"/>
          <a:ext cx="643890" cy="719455"/>
        </a:xfrm>
        <a:prstGeom prst="rect">
          <a:avLst/>
        </a:prstGeom>
      </xdr:spPr>
    </xdr:pic>
  </etc:cellImage>
  <etc:cellImage>
    <xdr:pic>
      <xdr:nvPicPr>
        <xdr:cNvPr id="230" name="ID_03B20B148C3543918D1478F255ED62A9" descr="纸筒.png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2192655" y="284219015"/>
          <a:ext cx="643890" cy="719455"/>
        </a:xfrm>
        <a:prstGeom prst="rect">
          <a:avLst/>
        </a:prstGeom>
      </xdr:spPr>
    </xdr:pic>
  </etc:cellImage>
  <etc:cellImage>
    <xdr:pic>
      <xdr:nvPicPr>
        <xdr:cNvPr id="232" name="ID_03FC31181CD1454ABBD3F8AA0A125192" descr="彩色砂纸.png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2308225" y="285360745"/>
          <a:ext cx="828040" cy="719455"/>
        </a:xfrm>
        <a:prstGeom prst="rect">
          <a:avLst/>
        </a:prstGeom>
      </xdr:spPr>
    </xdr:pic>
  </etc:cellImage>
  <etc:cellImage>
    <xdr:pic>
      <xdr:nvPicPr>
        <xdr:cNvPr id="231" name="ID_D0808913B33C4A58AC569D5721317234" descr="硬卡纸.png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2430145" y="286336105"/>
          <a:ext cx="888365" cy="719455"/>
        </a:xfrm>
        <a:prstGeom prst="rect">
          <a:avLst/>
        </a:prstGeom>
      </xdr:spPr>
    </xdr:pic>
  </etc:cellImage>
  <etc:cellImage>
    <xdr:pic>
      <xdr:nvPicPr>
        <xdr:cNvPr id="234" name="ID_1A86A0856BB64B3CA22FA50A7DC80222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2484755" y="287489265"/>
          <a:ext cx="527050" cy="473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6" name="ID_A272531AB2374B71A82983FC15461E2A" descr="皱纹纸.png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2291080" y="288296350"/>
          <a:ext cx="969645" cy="719455"/>
        </a:xfrm>
        <a:prstGeom prst="rect">
          <a:avLst/>
        </a:prstGeom>
      </xdr:spPr>
    </xdr:pic>
  </etc:cellImage>
  <etc:cellImage>
    <xdr:pic>
      <xdr:nvPicPr>
        <xdr:cNvPr id="238" name="ID_7ECA348CDC6042B2A9E5AF9AB42760A1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2344420" y="289486340"/>
          <a:ext cx="967740" cy="704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" name="ID_C7B0EE3E154E436B81527AF13BDDBCB2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2345055" y="290599495"/>
          <a:ext cx="952500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0" name="ID_680CA913FFBD4187AF7A42D56221625A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2598420" y="291518975"/>
          <a:ext cx="488950" cy="50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D187B1D542C948DEB2598483555F9196"/>
        <xdr:cNvPicPr>
          <a:picLocks noChangeAspect="1" noChangeArrowheads="1"/>
        </xdr:cNvPicPr>
      </xdr:nvPicPr>
      <xdr:blipFill>
        <a:blip r:embed="rId172"/>
        <a:srcRect/>
        <a:stretch>
          <a:fillRect/>
        </a:stretch>
      </xdr:blipFill>
      <xdr:spPr>
        <a:xfrm>
          <a:off x="2668270" y="303668430"/>
          <a:ext cx="45593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61" name="ID_47716535EA2B401A92C348F3CE32EC63" descr="7e10d42fd5da39eb1b55df5e4d7ae3d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2414905" y="304633630"/>
          <a:ext cx="744220" cy="761365"/>
        </a:xfrm>
        <a:prstGeom prst="rect">
          <a:avLst/>
        </a:prstGeom>
      </xdr:spPr>
    </xdr:pic>
  </etc:cellImage>
  <etc:cellImage>
    <xdr:pic>
      <xdr:nvPicPr>
        <xdr:cNvPr id="262" name="ID_585945DD896F40358A12FFEFF03A9270" descr="7e10d42fd5da39eb1b55df5e4d7ae3d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2500630" y="305729640"/>
          <a:ext cx="744220" cy="704215"/>
        </a:xfrm>
        <a:prstGeom prst="rect">
          <a:avLst/>
        </a:prstGeom>
      </xdr:spPr>
    </xdr:pic>
  </etc:cellImage>
  <etc:cellImage>
    <xdr:pic>
      <xdr:nvPicPr>
        <xdr:cNvPr id="263" name="ID_EE40703C8E0C49988D80AB2F1B4EE6DC" descr="15b822db70c23f5f1e3e83568546a57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 flipH="1">
          <a:off x="2366645" y="306730400"/>
          <a:ext cx="678815" cy="546100"/>
        </a:xfrm>
        <a:prstGeom prst="rect">
          <a:avLst/>
        </a:prstGeom>
      </xdr:spPr>
    </xdr:pic>
  </etc:cellImage>
  <etc:cellImage>
    <xdr:pic>
      <xdr:nvPicPr>
        <xdr:cNvPr id="270" name="ID_68A101EC086245B98E500AF902BADCF3" descr="15b822db70c23f5f1e3e83568546a57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 flipH="1">
          <a:off x="2338705" y="307837205"/>
          <a:ext cx="699135" cy="562610"/>
        </a:xfrm>
        <a:prstGeom prst="rect">
          <a:avLst/>
        </a:prstGeom>
      </xdr:spPr>
    </xdr:pic>
  </etc:cellImage>
  <etc:cellImage>
    <xdr:pic>
      <xdr:nvPicPr>
        <xdr:cNvPr id="264" name="ID_F2D869A3A42844A2905A6A5C3980B745" descr="23fa3ef9012b114ef108264517396a4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2331085" y="308757320"/>
          <a:ext cx="734695" cy="747395"/>
        </a:xfrm>
        <a:prstGeom prst="rect">
          <a:avLst/>
        </a:prstGeom>
      </xdr:spPr>
    </xdr:pic>
  </etc:cellImage>
  <etc:cellImage>
    <xdr:pic>
      <xdr:nvPicPr>
        <xdr:cNvPr id="265" name="ID_C364B65B8EC441F5874C5C1BD2A64439" descr="3ecbbcd42dab672371daa6245cb43d8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2339340" y="309803165"/>
          <a:ext cx="619125" cy="606425"/>
        </a:xfrm>
        <a:prstGeom prst="rect">
          <a:avLst/>
        </a:prstGeom>
      </xdr:spPr>
    </xdr:pic>
  </etc:cellImage>
  <etc:cellImage>
    <xdr:pic>
      <xdr:nvPicPr>
        <xdr:cNvPr id="266" name="ID_938E054409834E0AB419D84C0D8BF12F" descr="f497ac48d7336dcbdff03eda296295a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 flipH="1">
          <a:off x="2247900" y="310763920"/>
          <a:ext cx="947420" cy="749935"/>
        </a:xfrm>
        <a:prstGeom prst="rect">
          <a:avLst/>
        </a:prstGeom>
      </xdr:spPr>
    </xdr:pic>
  </etc:cellImage>
  <etc:cellImage>
    <xdr:pic>
      <xdr:nvPicPr>
        <xdr:cNvPr id="267" name="ID_F0B05EC7BB744740B57738A3B5EA667E" descr="7781e7fd2451418a7d83e3ae13fbf05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2319020" y="311761505"/>
          <a:ext cx="809625" cy="772795"/>
        </a:xfrm>
        <a:prstGeom prst="rect">
          <a:avLst/>
        </a:prstGeom>
      </xdr:spPr>
    </xdr:pic>
  </etc:cellImage>
  <etc:cellImage>
    <xdr:pic>
      <xdr:nvPicPr>
        <xdr:cNvPr id="268" name="ID_C1695D7EB3F545E790B6BE7A38E82B37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2245360" y="312818145"/>
          <a:ext cx="1050925" cy="706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9" name="ID_8212F7A1D9054FE4838027537504D039" descr="73710cf9a028c471e6e91a16dc53a9c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2221230" y="313826525"/>
          <a:ext cx="1066800" cy="725170"/>
        </a:xfrm>
        <a:prstGeom prst="rect">
          <a:avLst/>
        </a:prstGeom>
      </xdr:spPr>
    </xdr:pic>
  </etc:cellImage>
  <etc:cellImage>
    <xdr:pic>
      <xdr:nvPicPr>
        <xdr:cNvPr id="254" name="ID_DC3256AAD4484158BB092A324162DC8C" descr="293930d27e2b6ca8f715571b64a3af6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2215515" y="315949965"/>
          <a:ext cx="1024890" cy="688975"/>
        </a:xfrm>
        <a:prstGeom prst="rect">
          <a:avLst/>
        </a:prstGeom>
      </xdr:spPr>
    </xdr:pic>
  </etc:cellImage>
  <etc:cellImage>
    <xdr:pic>
      <xdr:nvPicPr>
        <xdr:cNvPr id="253" name="ID_6F037143DAEE4E0BBBA8F404DAB88C6D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2233930" y="314884435"/>
          <a:ext cx="1008380" cy="613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5" name="ID_01D6B7DB74C34896898C39A6C6D10E6B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2267585" y="316876430"/>
          <a:ext cx="1177290" cy="737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6" name="ID_D1E0D86FA87349A1AC510E5995F12466" descr="3a8469485061978772c976ae0d28bbe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2463165" y="317927990"/>
          <a:ext cx="962660" cy="726440"/>
        </a:xfrm>
        <a:prstGeom prst="rect">
          <a:avLst/>
        </a:prstGeom>
      </xdr:spPr>
    </xdr:pic>
  </etc:cellImage>
  <etc:cellImage>
    <xdr:pic>
      <xdr:nvPicPr>
        <xdr:cNvPr id="257" name="ID_A032F0D77FD24747B89A97048C438BC7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2173605" y="320067940"/>
          <a:ext cx="828040" cy="581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91E8D8F622104746BF39500E7CC8C82C" descr="360截图20200907155731666.jpg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2529840" y="320965195"/>
          <a:ext cx="721360" cy="715645"/>
        </a:xfrm>
        <a:prstGeom prst="rect">
          <a:avLst/>
        </a:prstGeom>
      </xdr:spPr>
    </xdr:pic>
  </etc:cellImage>
  <etc:cellImage>
    <xdr:pic>
      <xdr:nvPicPr>
        <xdr:cNvPr id="259" name="ID_63ACF99D44B1498DAFF965A49621D2C9" descr="360截图20200907155731666.jpg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2418715" y="321873245"/>
          <a:ext cx="721360" cy="715645"/>
        </a:xfrm>
        <a:prstGeom prst="rect">
          <a:avLst/>
        </a:prstGeom>
      </xdr:spPr>
    </xdr:pic>
  </etc:cellImage>
  <etc:cellImage>
    <xdr:pic>
      <xdr:nvPicPr>
        <xdr:cNvPr id="272" name="ID_2DAAFC6EB23545C49AA6D650E7BABDF2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2366010" y="327143745"/>
          <a:ext cx="808990" cy="726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3" name="ID_91C59CDE33664759B85C80EE1E415E3A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2268220" y="328389615"/>
          <a:ext cx="1291590" cy="661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4" name="ID_3F53519FFE3E43AABAC4054A5C37AB25" descr="2021-01-19 09:37:28.971000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2746375" y="329234165"/>
          <a:ext cx="525780" cy="703580"/>
        </a:xfrm>
        <a:prstGeom prst="rect">
          <a:avLst/>
        </a:prstGeom>
      </xdr:spPr>
    </xdr:pic>
  </etc:cellImage>
  <etc:cellImage>
    <xdr:pic>
      <xdr:nvPicPr>
        <xdr:cNvPr id="275" name="ID_35BF724F946249AF8ED347969B24F515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2426335" y="330363830"/>
          <a:ext cx="1033145" cy="689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6" name="ID_03D27FFCB3D443CE86744187A6522089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2587625" y="331384910"/>
          <a:ext cx="854075" cy="7435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7" name="ID_C6384217D3394FDE8CD7FA02BEF5ADBE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2489200" y="332270735"/>
          <a:ext cx="977900" cy="805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9" name="ID_2C62E4DB915E40FC9B987A22D4D709D6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2226945" y="333621380"/>
          <a:ext cx="1188720" cy="901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8" name="ID_3D23F4F0EE474081894C119BFE5ADA31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2385695" y="335143475"/>
          <a:ext cx="1038225" cy="1233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1" name="ID_28ABD4FF643249CB843C48C4612667B9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2417445" y="352191955"/>
          <a:ext cx="657860" cy="812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706D574524CF4401A5345B3BBCA7F021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2282190" y="351303590"/>
          <a:ext cx="1029970" cy="718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3" name="ID_AD91DCD417114010999D0D6158330E7A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2257425" y="353425760"/>
          <a:ext cx="1153795" cy="86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4" name="ID_0BF90F650FDA480688A65604FE602CA0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2460625" y="354711635"/>
          <a:ext cx="1031240" cy="569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96A3C72A18514C03B38400FBF74D1026" descr="企鹅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2053590" y="322552695"/>
          <a:ext cx="1691640" cy="1578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5" name="ID_EA33D30FFF3C4E10A416F910F4D35C7C" descr="猴子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2069465" y="319900300"/>
          <a:ext cx="1823720" cy="1698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6" name="ID_8ACC72019DBA4951A35DA4B449CEF0B3" descr="小马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2051050" y="317885445"/>
          <a:ext cx="1358265" cy="12687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7" name="ID_FCB286F414C64B0F83BCC52746B8F7E3" descr="小牛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2157095" y="309760620"/>
          <a:ext cx="1706880" cy="1589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8" name="ID_34E87C4E0F344B61B290DE4C64F2B187" descr="小象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2216150" y="312319670"/>
          <a:ext cx="1619250" cy="1510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9" name="ID_A482DCB324A44B9384C77120D075C21A" descr="灰狼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2368550" y="314919360"/>
          <a:ext cx="1390650" cy="1303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E43A97E07FC9478DB34CB10E444D558E" descr="666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2552700" y="325150480"/>
          <a:ext cx="819785" cy="1160145"/>
        </a:xfrm>
        <a:prstGeom prst="rect">
          <a:avLst/>
        </a:prstGeom>
      </xdr:spPr>
    </xdr:pic>
  </etc:cellImage>
  <etc:cellImage>
    <xdr:pic>
      <xdr:nvPicPr>
        <xdr:cNvPr id="368" name="ID_FAC74B3DDC6F49DFA73D50DE1D545C38" descr="100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2407920" y="326537955"/>
          <a:ext cx="972820" cy="662305"/>
        </a:xfrm>
        <a:prstGeom prst="rect">
          <a:avLst/>
        </a:prstGeom>
      </xdr:spPr>
    </xdr:pic>
  </etc:cellImage>
  <etc:cellImage>
    <xdr:pic>
      <xdr:nvPicPr>
        <xdr:cNvPr id="373" name="ID_BC58C537AC3C49C9BF2C92584F86F116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2702560" y="327570465"/>
          <a:ext cx="796290" cy="1398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1" name="ID_CC2357B4F70C4BE2B33E08F7CF52BCC4" descr="_cgi-bin_mmwebwx-bin_webwxgetmsgimg__&amp;MsgID=2343425934728262732&amp;skey=@crypt_3781dfdf_5d9ab3d8741090801f8bb8d2d3048078&amp;mmweb_appid=wx_webfilehelper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2197735" y="281570430"/>
          <a:ext cx="1547495" cy="1160780"/>
        </a:xfrm>
        <a:prstGeom prst="rect">
          <a:avLst/>
        </a:prstGeom>
      </xdr:spPr>
    </xdr:pic>
  </etc:cellImage>
  <etc:cellImage>
    <xdr:pic>
      <xdr:nvPicPr>
        <xdr:cNvPr id="224" name="ID_B4C09FDE0ECF468D8FDC91A0AFCA2015" descr="彩色纸杯.png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2471420" y="249421015"/>
          <a:ext cx="777240" cy="601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1" name="ID_93E4EC1C54BC4EA58F2A9CBA0D0C26EA" descr="纸盘.png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2423160" y="250308110"/>
          <a:ext cx="700405" cy="661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2" name="ID_E4690F699D3442F0B7A72BE9E6A9F473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2235835" y="251286645"/>
          <a:ext cx="923290" cy="62611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220" name="ID_567E7FB674D744B29497C719AC631D68" descr="彩色毛根.png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2655570" y="252185170"/>
          <a:ext cx="495300" cy="516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5" name="ID_A97999B4FBB444AA8900EE2BA4B5CACD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2151380" y="253015750"/>
          <a:ext cx="653415" cy="841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1" name="ID_22C10450B3344E13B08F7410202EF4D8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2700020" y="254029210"/>
          <a:ext cx="653415" cy="841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6" name="ID_DB9F07A1CA734E7CA7E06618A979BA42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2275840" y="254963930"/>
          <a:ext cx="765810" cy="6902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7" name="ID_B87763BF6774401A900791501D546140" descr="双面胶.png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2350770" y="255925320"/>
          <a:ext cx="636270" cy="719455"/>
        </a:xfrm>
        <a:prstGeom prst="rect">
          <a:avLst/>
        </a:prstGeom>
      </xdr:spPr>
    </xdr:pic>
  </etc:cellImage>
  <etc:cellImage>
    <xdr:pic>
      <xdr:nvPicPr>
        <xdr:cNvPr id="241" name="ID_B0FC88317389429E946A9F212F2599D0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2837180" y="263617710"/>
          <a:ext cx="488950" cy="50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F6DD7FAFC2BD4D87AAB10C16AC507674"/>
        <xdr:cNvPicPr>
          <a:picLocks noChangeAspect="1" noChangeArrowheads="1"/>
        </xdr:cNvPicPr>
      </xdr:nvPicPr>
      <xdr:blipFill>
        <a:blip r:embed="rId218"/>
        <a:srcRect/>
        <a:stretch>
          <a:fillRect/>
        </a:stretch>
      </xdr:blipFill>
      <xdr:spPr>
        <a:xfrm>
          <a:off x="2699385" y="264220325"/>
          <a:ext cx="6381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43" name="ID_BDEF39EDA0404F51880C5A26F2A83C58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2574290" y="264984865"/>
          <a:ext cx="789940" cy="786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45F5EB9220E54A9E96CC3BC263B716EF"/>
        <xdr:cNvPicPr>
          <a:picLocks noChangeAspect="1" noChangeArrowheads="1"/>
        </xdr:cNvPicPr>
      </xdr:nvPicPr>
      <xdr:blipFill>
        <a:blip r:embed="rId220"/>
        <a:srcRect/>
        <a:stretch>
          <a:fillRect/>
        </a:stretch>
      </xdr:blipFill>
      <xdr:spPr>
        <a:xfrm>
          <a:off x="2647950" y="266031345"/>
          <a:ext cx="870585" cy="27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45" name="ID_D7BD718A03604919916AE114ADE5B472"/>
        <xdr:cNvPicPr>
          <a:picLocks noChangeAspect="1" noChangeArrowheads="1"/>
        </xdr:cNvPicPr>
      </xdr:nvPicPr>
      <xdr:blipFill>
        <a:blip r:embed="rId221"/>
        <a:srcRect/>
        <a:stretch>
          <a:fillRect/>
        </a:stretch>
      </xdr:blipFill>
      <xdr:spPr>
        <a:xfrm>
          <a:off x="2818765" y="266524740"/>
          <a:ext cx="552450" cy="31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46" name="ID_347034A1B5AA4273B6851F7F1DFC2D75"/>
        <xdr:cNvPicPr>
          <a:picLocks noChangeAspect="1" noChangeArrowheads="1"/>
        </xdr:cNvPicPr>
      </xdr:nvPicPr>
      <xdr:blipFill>
        <a:blip r:embed="rId222"/>
        <a:srcRect/>
        <a:stretch>
          <a:fillRect/>
        </a:stretch>
      </xdr:blipFill>
      <xdr:spPr>
        <a:xfrm>
          <a:off x="2705100" y="267228955"/>
          <a:ext cx="552450" cy="37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51" name="ID_921DBBDD259344F2B02B7219779599C2"/>
        <xdr:cNvPicPr/>
      </xdr:nvPicPr>
      <xdr:blipFill>
        <a:blip r:embed="rId223"/>
        <a:stretch>
          <a:fillRect/>
        </a:stretch>
      </xdr:blipFill>
      <xdr:spPr>
        <a:xfrm>
          <a:off x="2722245" y="267625830"/>
          <a:ext cx="648335" cy="551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7" name="ID_6173D21FAE2D422CB17AB329A9237002"/>
        <xdr:cNvPicPr>
          <a:picLocks noChangeAspect="1" noChangeArrowheads="1"/>
        </xdr:cNvPicPr>
      </xdr:nvPicPr>
      <xdr:blipFill>
        <a:blip r:embed="rId224"/>
        <a:srcRect/>
        <a:stretch>
          <a:fillRect/>
        </a:stretch>
      </xdr:blipFill>
      <xdr:spPr>
        <a:xfrm>
          <a:off x="2011680" y="268312900"/>
          <a:ext cx="20256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48" name="ID_9439A7A865EF475E86BA09C2C871D8B1"/>
        <xdr:cNvPicPr>
          <a:picLocks noChangeAspect="1" noChangeArrowheads="1"/>
        </xdr:cNvPicPr>
      </xdr:nvPicPr>
      <xdr:blipFill>
        <a:blip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352675" y="268792325"/>
          <a:ext cx="1501140" cy="540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49" name="ID_787428582E90469B9BEE79E8EDA05654"/>
        <xdr:cNvPicPr>
          <a:picLocks noChangeAspect="1" noChangeArrowheads="1"/>
        </xdr:cNvPicPr>
      </xdr:nvPicPr>
      <xdr:blipFill>
        <a:blip r:embed="rId226"/>
        <a:srcRect/>
        <a:stretch>
          <a:fillRect/>
        </a:stretch>
      </xdr:blipFill>
      <xdr:spPr>
        <a:xfrm>
          <a:off x="2606675" y="269481935"/>
          <a:ext cx="773430" cy="871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244" name="ID_0A0F155AAA8D4F19AE7F0FA265C540FA"/>
        <xdr:cNvPicPr>
          <a:picLocks noChangeAspect="1" noChangeArrowheads="1"/>
        </xdr:cNvPicPr>
      </xdr:nvPicPr>
      <xdr:blipFill>
        <a:blip r:embed="rId227"/>
        <a:srcRect/>
        <a:stretch>
          <a:fillRect/>
        </a:stretch>
      </xdr:blipFill>
      <xdr:spPr>
        <a:xfrm>
          <a:off x="2905760" y="270626205"/>
          <a:ext cx="3524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  <etc:cellImage>
    <xdr:pic>
      <xdr:nvPicPr>
        <xdr:cNvPr id="152" name="ID_4EB851A8BC3F4859992B8E3C588F053C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1991360" y="1240790"/>
          <a:ext cx="1993265" cy="668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3" name="ID_52392886A6C7413997AD4830E254A94D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2302510" y="2224405"/>
          <a:ext cx="1465580" cy="10090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4" name="ID_B7B6D89F38114819B5B67797CEFF332B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2229485" y="3302000"/>
          <a:ext cx="1336675" cy="1082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5" name="ID_60B6949D8E1549D8B1FF0C9830248F04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2320925" y="4481830"/>
          <a:ext cx="1272540" cy="1509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6" name="ID_D627DEA5EDD74B97B10E0EA885CDDE08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2188845" y="6171565"/>
          <a:ext cx="1428750" cy="1250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7" name="ID_F05AD583834E432887DF957443C1CE87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2486025" y="7571105"/>
          <a:ext cx="969010" cy="838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8" name="ID_A742190FBCCA44C3896D02EC7C1D881D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2259965" y="8951595"/>
          <a:ext cx="1453515" cy="86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9" name="ID_58E7A236DD6142AE8C33153AFF76D7C2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2294890" y="9966325"/>
          <a:ext cx="1553210" cy="929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0" name="ID_191D084DE96B4168BA86C3C18D49E0BD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2506980" y="11042650"/>
          <a:ext cx="981075" cy="787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D668869D2F484CAE8E7E302E717ABCF1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2435225" y="12498070"/>
          <a:ext cx="1102995" cy="951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8" name="ID_8DAB4642A1F94CD98F4C06DD7AC74B31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2138045" y="14166850"/>
          <a:ext cx="1491615" cy="786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9" name="ID_F517C647950D43A796D0B68A45E70BC4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2387600" y="36237545"/>
          <a:ext cx="1348740" cy="960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0" name="ID_666592E04E1A45D5915471CD80ACDEAF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2326640" y="37462460"/>
          <a:ext cx="1350010" cy="1404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1" name="ID_BF3AA17B2DDB4D8CBB9F8AE8F78F9C51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2685415" y="41271190"/>
          <a:ext cx="856615" cy="1285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3" name="ID_F713186453B2441CAA561C19BD4D26B6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2656205" y="40466645"/>
          <a:ext cx="933450" cy="1703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4" name="ID_BF4E5DF7A90B4404A48B7BC9C4DB3348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2183130" y="72445245"/>
          <a:ext cx="1533525" cy="680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5" name="ID_F15E0BC4CEC147F68D5930F4AE869460"/>
        <xdr:cNvPicPr>
          <a:picLocks noChangeAspect="1"/>
        </xdr:cNvPicPr>
      </xdr:nvPicPr>
      <xdr:blipFill>
        <a:blip r:embed="rId244"/>
        <a:srcRect l="7042" t="9796" r="10515" b="2417"/>
        <a:stretch>
          <a:fillRect/>
        </a:stretch>
      </xdr:blipFill>
      <xdr:spPr>
        <a:xfrm>
          <a:off x="2233295" y="326536685"/>
          <a:ext cx="1640840" cy="1313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6FC62588B86F448F99233F633A76746F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2550160" y="351561400"/>
          <a:ext cx="824865" cy="1203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6" name="ID_4A948DBA1B5C49FBA2DBDB27515C1690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2563495" y="352952685"/>
          <a:ext cx="542925" cy="83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6" name="ID_30384FC1C37642D6B90C92581FF8E0CF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2665730" y="353950905"/>
          <a:ext cx="824865" cy="920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5" name="ID_3FBBBA574F9042DE9D90C493DC383B22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2325370" y="355015800"/>
          <a:ext cx="1273175" cy="753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4" name="ID_9230AF3AAACC4C299EDC3FE97C434C0B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2099945" y="355927660"/>
          <a:ext cx="1466850" cy="876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5" name="ID_2067BC3E5E224D93B8F551F6D81C3239"/>
        <xdr:cNvPicPr>
          <a:picLocks noChangeAspect="1"/>
        </xdr:cNvPicPr>
      </xdr:nvPicPr>
      <xdr:blipFill>
        <a:blip r:embed="rId250"/>
        <a:stretch>
          <a:fillRect/>
        </a:stretch>
      </xdr:blipFill>
      <xdr:spPr>
        <a:xfrm>
          <a:off x="2045335" y="358198420"/>
          <a:ext cx="1891030" cy="481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1" name="ID_28592C2BE4F245738E1266E421C74901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2501900" y="369252500"/>
          <a:ext cx="775335" cy="70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2" name="ID_96B300DA0E1A47C69484397D4956678D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2427605" y="370104670"/>
          <a:ext cx="1125855" cy="710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3" name="ID_99FBB2A8A408404BAC5CF9E6F2DF6339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2226945" y="370892705"/>
          <a:ext cx="1387475" cy="1158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2" name="ID_FB426323487C4829855E6B8870619A45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2205990" y="372345585"/>
          <a:ext cx="1633855" cy="890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3" name="ID_9858739AE1E34157855BB5707EB7508E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2449830" y="373546370"/>
          <a:ext cx="1108075" cy="653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5" name="ID_C54C8B3FB34644B8B0EE0568238A8C60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2381885" y="374277890"/>
          <a:ext cx="1036320" cy="765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4" name="ID_624F842445554A74BBEC89E0ED6D2D1F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2425700" y="375192290"/>
          <a:ext cx="1098550" cy="695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6" name="ID_37AE4F7489F24A59B92E7A32E34B36D3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2301875" y="376118755"/>
          <a:ext cx="1061085" cy="749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7" name="ID_B0F24A716893409D9E6FACB9952976ED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2212975" y="377153170"/>
          <a:ext cx="883285" cy="1031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8" name="ID_2ACD53920B1545CC94045A01056F207C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2660650" y="378583190"/>
          <a:ext cx="583565" cy="838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0" name="ID_BDF15D323F6C4007912AF1B9BDFD20C2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2399030" y="379089920"/>
          <a:ext cx="1236345" cy="97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9" name="ID_33CFB720F52B483387221857310F6349"/>
        <xdr:cNvPicPr>
          <a:picLocks noChangeAspect="1"/>
        </xdr:cNvPicPr>
      </xdr:nvPicPr>
      <xdr:blipFill>
        <a:blip r:embed="rId262"/>
        <a:stretch>
          <a:fillRect/>
        </a:stretch>
      </xdr:blipFill>
      <xdr:spPr>
        <a:xfrm>
          <a:off x="2323465" y="380319280"/>
          <a:ext cx="1143635" cy="1270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1" name="ID_4486BBE42D7547E2BA092EB548656D44"/>
        <xdr:cNvPicPr>
          <a:picLocks noChangeAspect="1"/>
        </xdr:cNvPicPr>
      </xdr:nvPicPr>
      <xdr:blipFill>
        <a:blip r:embed="rId263"/>
        <a:stretch>
          <a:fillRect/>
        </a:stretch>
      </xdr:blipFill>
      <xdr:spPr>
        <a:xfrm>
          <a:off x="2540000" y="381879475"/>
          <a:ext cx="1011555" cy="14014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3" name="ID_EA8D27F4FB6B4F5FAEC6846432BCCB1E" descr="_cgi-bin_mmwebwx-bin_webwxgetmsgimg__&amp;MsgID=2612182431350374527&amp;skey=@crypt_b9911dbf_02e6b24d4a0ecdef7ea0020875321947&amp;mmweb_appid=wx_webfilehelper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2605405" y="388887335"/>
          <a:ext cx="723265" cy="724535"/>
        </a:xfrm>
        <a:prstGeom prst="rect">
          <a:avLst/>
        </a:prstGeom>
      </xdr:spPr>
    </xdr:pic>
  </etc:cellImage>
  <etc:cellImage>
    <xdr:pic>
      <xdr:nvPicPr>
        <xdr:cNvPr id="235" name="ID_F8E31942EDFF4D10A292B0AFFFB6FE36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2257425" y="392617960"/>
          <a:ext cx="1207770" cy="839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8" name="ID_FF97855818A34B60A114251ED88B2603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2240915" y="393658725"/>
          <a:ext cx="1207770" cy="839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0" name="ID_91218917C7804ED9918BC1F99F7885EF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2219325" y="394792200"/>
          <a:ext cx="1203960" cy="70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0" name="ID_9B027785A6C346E99875AA4D830B48A4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2407285" y="395812010"/>
          <a:ext cx="1160780" cy="934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1" name="ID_3D9F7BF87F3A43EEAF35CCA8BB9E904D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2434590" y="396846425"/>
          <a:ext cx="1160780" cy="934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2" name="ID_60D9FC9A7CB04A5FA121F05138C2BB41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2416175" y="397894175"/>
          <a:ext cx="1160780" cy="934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4" name="ID_BB436572108749A7B2C50C1E36CC0130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2401570" y="398995265"/>
          <a:ext cx="1160780" cy="934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2" name="ID_7DD75F31113642738E7E830E4D9D34A0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>
          <a:off x="2169160" y="400237325"/>
          <a:ext cx="1544320" cy="728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3" name="ID_33AA4C3F834B4283B120408A37693F88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2137410" y="401548600"/>
          <a:ext cx="1737360" cy="872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4" name="ID_5AE8DC76BDAD406593DD1A98C91DD671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2243455" y="403706330"/>
          <a:ext cx="1574165" cy="829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5" name="ID_B31C9104B6464868AE5E3E4FF2333CFB"/>
        <xdr:cNvPicPr>
          <a:picLocks noChangeAspect="1"/>
        </xdr:cNvPicPr>
      </xdr:nvPicPr>
      <xdr:blipFill>
        <a:blip r:embed="rId271"/>
        <a:stretch>
          <a:fillRect/>
        </a:stretch>
      </xdr:blipFill>
      <xdr:spPr>
        <a:xfrm>
          <a:off x="2444750" y="404833455"/>
          <a:ext cx="894080" cy="7664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9" name="ID_FEEE0D97301249E4B0DE35611C8D985E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2191385" y="405764365"/>
          <a:ext cx="1118235" cy="946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1" name="ID_0441EAFA61D544B5838407D29073E0AA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2295525" y="406860375"/>
          <a:ext cx="935990" cy="815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0" name="ID_9FBFFEE9107B494991E88EAEFE8D4A60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2263775" y="407983690"/>
          <a:ext cx="829945" cy="721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2" name="ID_4378F07DBA244DF0B10B9B4363FD5C6D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2168525" y="409223845"/>
          <a:ext cx="1611630" cy="459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6" name="ID_55620DB16FC14C23BEB4A7E7D93F69D4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2223770" y="411236160"/>
          <a:ext cx="1040765" cy="854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7" name="ID_0527F1B98F50405DA29218D43EAC1163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2282825" y="412295340"/>
          <a:ext cx="1131570" cy="751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8" name="ID_FB2EC745C9DC47AB8A6F2D2BD3F7E43A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2243455" y="413427545"/>
          <a:ext cx="1131570" cy="751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0" name="ID_ADEB47EE9E9F43069586B342C372227A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2302510" y="414601025"/>
          <a:ext cx="1033145" cy="709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9" name="ID_9188A32BCFE2410485C902FC5149E96E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2235200" y="415657665"/>
          <a:ext cx="1131570" cy="751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1" name="ID_81EABE948EBD4AB0AB3A736B59EF83B5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2708910" y="416613975"/>
          <a:ext cx="740410" cy="67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5" name="ID_3ACD140778534C25BA2E30C7CB0DB385"/>
        <xdr:cNvPicPr>
          <a:picLocks noChangeAspect="1"/>
        </xdr:cNvPicPr>
      </xdr:nvPicPr>
      <xdr:blipFill>
        <a:blip r:embed="rId280"/>
        <a:stretch>
          <a:fillRect/>
        </a:stretch>
      </xdr:blipFill>
      <xdr:spPr>
        <a:xfrm>
          <a:off x="2259965" y="417669345"/>
          <a:ext cx="1386840" cy="83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6" name="ID_71EC1F31B93549F4B7FBD82B2B0AE6F1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2562860" y="418799010"/>
          <a:ext cx="909320" cy="800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2" name="ID_D08ADD55C726489292856821E41E79B8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2604135" y="419874700"/>
          <a:ext cx="909320" cy="800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3" name="ID_08C5AE1DEC6045B18465017B8734EA2A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2601595" y="420968805"/>
          <a:ext cx="909320" cy="800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8" name="ID_48F0D624B96A4A18AA8846DD6EE25E1D"/>
        <xdr:cNvPicPr>
          <a:picLocks noChangeAspect="1"/>
        </xdr:cNvPicPr>
      </xdr:nvPicPr>
      <xdr:blipFill>
        <a:blip r:embed="rId282"/>
        <a:stretch>
          <a:fillRect/>
        </a:stretch>
      </xdr:blipFill>
      <xdr:spPr>
        <a:xfrm>
          <a:off x="2988945" y="422050845"/>
          <a:ext cx="948690" cy="6902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9" name="ID_99E49F051B2D43539C9B763D8D6CAA39"/>
        <xdr:cNvPicPr>
          <a:picLocks noChangeAspect="1"/>
        </xdr:cNvPicPr>
      </xdr:nvPicPr>
      <xdr:blipFill>
        <a:blip r:embed="rId283"/>
        <a:stretch>
          <a:fillRect/>
        </a:stretch>
      </xdr:blipFill>
      <xdr:spPr>
        <a:xfrm>
          <a:off x="2915285" y="423209720"/>
          <a:ext cx="892175" cy="61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9" name="ID_3857D760C50D49CFB1D954FD0E3376FF"/>
        <xdr:cNvPicPr>
          <a:picLocks noChangeAspect="1"/>
        </xdr:cNvPicPr>
      </xdr:nvPicPr>
      <xdr:blipFill>
        <a:blip r:embed="rId284"/>
        <a:stretch>
          <a:fillRect/>
        </a:stretch>
      </xdr:blipFill>
      <xdr:spPr>
        <a:xfrm>
          <a:off x="2857500" y="434000275"/>
          <a:ext cx="1134110" cy="654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0" name="ID_B33B3C719F8240438984D5122F939D2E"/>
        <xdr:cNvPicPr>
          <a:picLocks noChangeAspect="1"/>
        </xdr:cNvPicPr>
      </xdr:nvPicPr>
      <xdr:blipFill>
        <a:blip r:embed="rId285"/>
        <a:stretch>
          <a:fillRect/>
        </a:stretch>
      </xdr:blipFill>
      <xdr:spPr>
        <a:xfrm>
          <a:off x="3056255" y="435048660"/>
          <a:ext cx="1082675" cy="654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7" name="ID_356DFE7638BB4CA2951FB157FC9DBB27"/>
        <xdr:cNvPicPr>
          <a:picLocks noChangeAspect="1"/>
        </xdr:cNvPicPr>
      </xdr:nvPicPr>
      <xdr:blipFill>
        <a:blip r:embed="rId286"/>
        <a:stretch>
          <a:fillRect/>
        </a:stretch>
      </xdr:blipFill>
      <xdr:spPr>
        <a:xfrm>
          <a:off x="2699385" y="442482605"/>
          <a:ext cx="979805" cy="714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8" name="ID_28FEF3E58C2B44D8B69E974A9F47363E"/>
        <xdr:cNvPicPr>
          <a:picLocks noChangeAspect="1"/>
        </xdr:cNvPicPr>
      </xdr:nvPicPr>
      <xdr:blipFill>
        <a:blip r:embed="rId287"/>
        <a:stretch>
          <a:fillRect/>
        </a:stretch>
      </xdr:blipFill>
      <xdr:spPr>
        <a:xfrm>
          <a:off x="2813050" y="443743080"/>
          <a:ext cx="552450" cy="488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9" name="ID_1D744329A2414B9BAC4264D3B86839D8"/>
        <xdr:cNvPicPr>
          <a:picLocks noChangeAspect="1"/>
        </xdr:cNvPicPr>
      </xdr:nvPicPr>
      <xdr:blipFill>
        <a:blip r:embed="rId288"/>
        <a:stretch>
          <a:fillRect/>
        </a:stretch>
      </xdr:blipFill>
      <xdr:spPr>
        <a:xfrm>
          <a:off x="2296795" y="444686690"/>
          <a:ext cx="1151890" cy="94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0" name="ID_7A9AF9D6BDF94E6CAF123EF1570CDCB3"/>
        <xdr:cNvPicPr>
          <a:picLocks noChangeAspect="1"/>
        </xdr:cNvPicPr>
      </xdr:nvPicPr>
      <xdr:blipFill>
        <a:blip r:embed="rId289"/>
        <a:stretch>
          <a:fillRect/>
        </a:stretch>
      </xdr:blipFill>
      <xdr:spPr>
        <a:xfrm>
          <a:off x="2281555" y="445910970"/>
          <a:ext cx="129730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1" name="ID_E9361DCED9BD4F3587B7B5F1ED230EA2"/>
        <xdr:cNvPicPr>
          <a:picLocks noChangeAspect="1"/>
        </xdr:cNvPicPr>
      </xdr:nvPicPr>
      <xdr:blipFill>
        <a:blip r:embed="rId290"/>
        <a:stretch>
          <a:fillRect/>
        </a:stretch>
      </xdr:blipFill>
      <xdr:spPr>
        <a:xfrm>
          <a:off x="2258695" y="446826640"/>
          <a:ext cx="1204595" cy="962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2" name="ID_F40363F63C184D359C2E45ACACB949E5"/>
        <xdr:cNvPicPr>
          <a:picLocks noChangeAspect="1"/>
        </xdr:cNvPicPr>
      </xdr:nvPicPr>
      <xdr:blipFill>
        <a:blip r:embed="rId291"/>
        <a:stretch>
          <a:fillRect/>
        </a:stretch>
      </xdr:blipFill>
      <xdr:spPr>
        <a:xfrm>
          <a:off x="2442845" y="447882645"/>
          <a:ext cx="681355" cy="985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3" name="ID_B5C1CE6043E540A5A28ACD77C53EC6EF"/>
        <xdr:cNvPicPr>
          <a:picLocks noChangeAspect="1"/>
        </xdr:cNvPicPr>
      </xdr:nvPicPr>
      <xdr:blipFill>
        <a:blip r:embed="rId292"/>
        <a:stretch>
          <a:fillRect/>
        </a:stretch>
      </xdr:blipFill>
      <xdr:spPr>
        <a:xfrm>
          <a:off x="2251075" y="449084065"/>
          <a:ext cx="1276985" cy="693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4" name="ID_6ACBED208B6E454DA7E9F09EB8A3DC36"/>
        <xdr:cNvPicPr>
          <a:picLocks noChangeAspect="1"/>
        </xdr:cNvPicPr>
      </xdr:nvPicPr>
      <xdr:blipFill>
        <a:blip r:embed="rId293"/>
        <a:stretch>
          <a:fillRect/>
        </a:stretch>
      </xdr:blipFill>
      <xdr:spPr>
        <a:xfrm>
          <a:off x="2312035" y="450106415"/>
          <a:ext cx="949960" cy="920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5" name="ID_23B9E1C627A34709B4A65E5BCEF266C7"/>
        <xdr:cNvPicPr>
          <a:picLocks noChangeAspect="1"/>
        </xdr:cNvPicPr>
      </xdr:nvPicPr>
      <xdr:blipFill>
        <a:blip r:embed="rId294"/>
        <a:srcRect l="42552" r="1009" b="4413"/>
        <a:stretch>
          <a:fillRect/>
        </a:stretch>
      </xdr:blipFill>
      <xdr:spPr>
        <a:xfrm>
          <a:off x="2459355" y="451152260"/>
          <a:ext cx="817880" cy="754380"/>
        </a:xfrm>
        <a:prstGeom prst="rect">
          <a:avLst/>
        </a:prstGeom>
      </xdr:spPr>
    </xdr:pic>
  </etc:cellImage>
  <etc:cellImage>
    <xdr:pic>
      <xdr:nvPicPr>
        <xdr:cNvPr id="450" name="ID_7E1EE01C2F1944499FE3CC49F366620E"/>
        <xdr:cNvPicPr>
          <a:picLocks noChangeAspect="1"/>
        </xdr:cNvPicPr>
      </xdr:nvPicPr>
      <xdr:blipFill>
        <a:blip r:embed="rId295"/>
        <a:stretch>
          <a:fillRect/>
        </a:stretch>
      </xdr:blipFill>
      <xdr:spPr>
        <a:xfrm>
          <a:off x="2487295" y="452304785"/>
          <a:ext cx="922020" cy="609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4" name="ID_0F6ADC13EBED48E6BFC1D916FA695ABC"/>
        <xdr:cNvPicPr>
          <a:picLocks noChangeAspect="1"/>
        </xdr:cNvPicPr>
      </xdr:nvPicPr>
      <xdr:blipFill>
        <a:blip r:embed="rId296"/>
        <a:stretch>
          <a:fillRect/>
        </a:stretch>
      </xdr:blipFill>
      <xdr:spPr>
        <a:xfrm>
          <a:off x="2709545" y="453341740"/>
          <a:ext cx="853440" cy="749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6" name="ID_2E9E2E0F56B14ACDA6ED120C7C1A128D"/>
        <xdr:cNvPicPr>
          <a:picLocks noChangeAspect="1"/>
        </xdr:cNvPicPr>
      </xdr:nvPicPr>
      <xdr:blipFill>
        <a:blip r:embed="rId297"/>
        <a:stretch>
          <a:fillRect/>
        </a:stretch>
      </xdr:blipFill>
      <xdr:spPr>
        <a:xfrm>
          <a:off x="2543810" y="454367265"/>
          <a:ext cx="939800" cy="742315"/>
        </a:xfrm>
        <a:prstGeom prst="rect">
          <a:avLst/>
        </a:prstGeom>
      </xdr:spPr>
    </xdr:pic>
  </etc:cellImage>
  <etc:cellImage>
    <xdr:pic>
      <xdr:nvPicPr>
        <xdr:cNvPr id="447" name="ID_193377251C7D44C2ADC546406190BB67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2543810" y="455591545"/>
          <a:ext cx="1021715" cy="645160"/>
        </a:xfrm>
        <a:prstGeom prst="rect">
          <a:avLst/>
        </a:prstGeom>
      </xdr:spPr>
    </xdr:pic>
  </etc:cellImage>
  <etc:cellImage>
    <xdr:pic>
      <xdr:nvPicPr>
        <xdr:cNvPr id="475" name="ID_AE9ADF5FE8A74BEAA2F08629C80725A7"/>
        <xdr:cNvPicPr>
          <a:picLocks noChangeAspect="1"/>
        </xdr:cNvPicPr>
      </xdr:nvPicPr>
      <xdr:blipFill>
        <a:blip r:embed="rId299"/>
        <a:stretch>
          <a:fillRect/>
        </a:stretch>
      </xdr:blipFill>
      <xdr:spPr>
        <a:xfrm>
          <a:off x="2673985" y="462255235"/>
          <a:ext cx="1176020" cy="802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6" name="ID_93437D28A39249CA97B174572C132695"/>
        <xdr:cNvPicPr>
          <a:picLocks noChangeAspect="1"/>
        </xdr:cNvPicPr>
      </xdr:nvPicPr>
      <xdr:blipFill>
        <a:blip r:embed="rId300"/>
        <a:stretch>
          <a:fillRect/>
        </a:stretch>
      </xdr:blipFill>
      <xdr:spPr>
        <a:xfrm>
          <a:off x="2339340" y="464591400"/>
          <a:ext cx="1287145" cy="638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7" name="ID_E524D22F15664E6EBE82518405069867"/>
        <xdr:cNvPicPr>
          <a:picLocks noChangeAspect="1"/>
        </xdr:cNvPicPr>
      </xdr:nvPicPr>
      <xdr:blipFill>
        <a:blip r:embed="rId301"/>
        <a:stretch>
          <a:fillRect/>
        </a:stretch>
      </xdr:blipFill>
      <xdr:spPr>
        <a:xfrm>
          <a:off x="2247900" y="465701380"/>
          <a:ext cx="1224915" cy="607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4" name="ID_0636A1B6D3A347439FCAC24D5829C88C"/>
        <xdr:cNvPicPr>
          <a:picLocks noChangeAspect="1"/>
        </xdr:cNvPicPr>
      </xdr:nvPicPr>
      <xdr:blipFill>
        <a:blip r:embed="rId302"/>
        <a:stretch>
          <a:fillRect/>
        </a:stretch>
      </xdr:blipFill>
      <xdr:spPr>
        <a:xfrm>
          <a:off x="2946400" y="470958545"/>
          <a:ext cx="676275" cy="1087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8" name="ID_BE99A847E6634EB39B7295D7A207F640"/>
        <xdr:cNvPicPr>
          <a:picLocks noChangeAspect="1"/>
        </xdr:cNvPicPr>
      </xdr:nvPicPr>
      <xdr:blipFill>
        <a:blip r:embed="rId303"/>
        <a:stretch>
          <a:fillRect/>
        </a:stretch>
      </xdr:blipFill>
      <xdr:spPr>
        <a:xfrm>
          <a:off x="2689860" y="474560265"/>
          <a:ext cx="1103630" cy="791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9" name="ID_1AABDD01D3E748499D318CEA9024F0B0"/>
        <xdr:cNvPicPr>
          <a:picLocks noChangeAspect="1"/>
        </xdr:cNvPicPr>
      </xdr:nvPicPr>
      <xdr:blipFill>
        <a:blip r:embed="rId304"/>
        <a:stretch>
          <a:fillRect/>
        </a:stretch>
      </xdr:blipFill>
      <xdr:spPr>
        <a:xfrm>
          <a:off x="2649855" y="475561660"/>
          <a:ext cx="626110" cy="872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5" name="ID_BE2C1953CFE14EDC97EF8772296D3653" descr="_cgi-bin_mmwebwx-bin_webwxgetmsgimg__&amp;MsgID=2652924988832971432&amp;skey=@crypt_b9911dbf_f7a6d8f3161add70f2433f8cd8243746&amp;mmweb_appid=wx_webfilehelper"/>
        <xdr:cNvPicPr>
          <a:picLocks noChangeAspect="1"/>
        </xdr:cNvPicPr>
      </xdr:nvPicPr>
      <xdr:blipFill>
        <a:blip r:embed="rId305"/>
        <a:stretch>
          <a:fillRect/>
        </a:stretch>
      </xdr:blipFill>
      <xdr:spPr>
        <a:xfrm>
          <a:off x="2476500" y="476798005"/>
          <a:ext cx="1283335" cy="731520"/>
        </a:xfrm>
        <a:prstGeom prst="rect">
          <a:avLst/>
        </a:prstGeom>
      </xdr:spPr>
    </xdr:pic>
  </etc:cellImage>
  <etc:cellImage>
    <xdr:pic>
      <xdr:nvPicPr>
        <xdr:cNvPr id="287" name="ID_13F8B81F3D374D0CBED11D4507ABD89D"/>
        <xdr:cNvPicPr>
          <a:picLocks noChangeAspect="1"/>
        </xdr:cNvPicPr>
      </xdr:nvPicPr>
      <xdr:blipFill>
        <a:blip r:embed="rId306"/>
        <a:stretch>
          <a:fillRect/>
        </a:stretch>
      </xdr:blipFill>
      <xdr:spPr>
        <a:xfrm>
          <a:off x="2033905" y="144136110"/>
          <a:ext cx="1555750" cy="5969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<sst xmlns="http://schemas.openxmlformats.org/spreadsheetml/2006/main" count="1198" uniqueCount="772">
  <si>
    <t>浦口区园特路幼儿园园舍文化布置服务清单</t>
  </si>
  <si>
    <t>序号</t>
  </si>
  <si>
    <t>项目名称</t>
  </si>
  <si>
    <t>参考图</t>
  </si>
  <si>
    <t>规格参数及工艺</t>
  </si>
  <si>
    <t>单位</t>
  </si>
  <si>
    <t>数量</t>
  </si>
  <si>
    <t>大门</t>
  </si>
  <si>
    <t>楼体外立面园名</t>
  </si>
  <si>
    <t>尺寸(mm)：单字尺寸600*600mm，整体尺寸11300*1650mm,材质：不锈钢钛金字：南京市浦口区行知高新幼儿园（13个字）,含安装费，字体颜色需与园方确认</t>
  </si>
  <si>
    <t>字数</t>
  </si>
  <si>
    <t>儿歌文化墙</t>
  </si>
  <si>
    <t>尺寸(mm)：1500*800mm，亚克力板厚度5mm，材质：透明亚克力板+UV字</t>
  </si>
  <si>
    <t>块</t>
  </si>
  <si>
    <t>宣传栏</t>
  </si>
  <si>
    <t>尺寸(mm)：2100*1100mm，材质：镀锌板，中间磁吸板，亚克力橱窗，含安装</t>
  </si>
  <si>
    <t>个</t>
  </si>
  <si>
    <t>师德信箱</t>
  </si>
  <si>
    <t>尺寸(mm)：260*120*340mm，材质：不锈钢，可定制不干胶图案和文字</t>
  </si>
  <si>
    <t>儿童情景雕塑</t>
  </si>
  <si>
    <t>尺寸(mm)：人像高1800mm、1500mm、1400mm、1300mm，材质：玻璃钢，需带安装基础</t>
  </si>
  <si>
    <t>组</t>
  </si>
  <si>
    <t>文化石</t>
  </si>
  <si>
    <t>尺寸(mm)：长1500mm高1000mm厚度300mm，材质：天然景观石带刻字</t>
  </si>
  <si>
    <t>庭院石</t>
  </si>
  <si>
    <t>尺寸(mm)：立式高800mm宽500mm，材质：自然原石</t>
  </si>
  <si>
    <t>尺寸(mm)：立式高600mm宽400mm，材质：自然原石</t>
  </si>
  <si>
    <t>鹅卵石</t>
  </si>
  <si>
    <t>尺寸(mm)：150~180mm不规则一个，200~220mm不规则一个，250~280mm不规则一个，材质：自然原石，一组3块</t>
  </si>
  <si>
    <t>井盖装饰</t>
  </si>
  <si>
    <t>井盖尺寸1：830mm*730mm，井盖尺寸2：直径750mm，表面用仿真草皮遮挡，20mm加密草坪</t>
  </si>
  <si>
    <t>㎡</t>
  </si>
  <si>
    <t>宣传栏拆除/重新安装</t>
  </si>
  <si>
    <t>保安室宣传栏拆装，安置到后侧种植地，宣传栏尺寸：长3000mm宽1000mm</t>
  </si>
  <si>
    <t>项</t>
  </si>
  <si>
    <t>八礼四仪及社会主义核心价值观标牌</t>
  </si>
  <si>
    <t>尺寸(mm)：墙面尺寸3950*2950mm，需实地放样取最适合尺寸，材质：镀锌板</t>
  </si>
  <si>
    <t>保健室橱窗保护性拆除</t>
  </si>
  <si>
    <t>描述：拆除大厅原有宣传栏</t>
  </si>
  <si>
    <t>保健室橱窗异地安装</t>
  </si>
  <si>
    <t>安装原有宣传栏移至教学楼门口左侧，加一块橱窗亚克力盖板，边框松木，</t>
  </si>
  <si>
    <t>中庭</t>
  </si>
  <si>
    <t>山坡钻洞玩具</t>
  </si>
  <si>
    <t>新建钻洞玩具，不锈钢钻洞，长度2m，土坡造型，长款2m*2m，高0.9m</t>
  </si>
  <si>
    <t>山坡钻洞玩具拆除</t>
  </si>
  <si>
    <t>水泥山坡尺寸(mm)：4700x7500x1400mm,材质：水泥，人工拆除、清理、运输至指定地点，含垃圾费、处置费</t>
  </si>
  <si>
    <t>草皮补种</t>
  </si>
  <si>
    <t>人工拆除原地表植物，拆除垃圾包弃置，铺种草皮,品种：马尼拉 含基肥 铺种</t>
  </si>
  <si>
    <t>吉祥物景观布置</t>
  </si>
  <si>
    <t>吉祥物尺寸：直径500mm，高1200mm，两个吉祥物，等园方吉祥物定稿后，制作安装，搭配木框等装饰物造景</t>
  </si>
  <si>
    <t>旗台</t>
  </si>
  <si>
    <t>1、塑木双层地台，尺寸：3000*1800*300mm
旗台砖砌外扩，外贴塑木地板</t>
  </si>
  <si>
    <t>资源地图牌</t>
  </si>
  <si>
    <t>尺寸：2400mm*高1500mm左右，手绘定制图纸，pvc/ uv打印，亚克力/雪弗板立体字，含安装及基础</t>
  </si>
  <si>
    <t>菜园地门头（入口）</t>
  </si>
  <si>
    <t>尺寸：长1600，高1800mm，需要加种植园名字
材质：樟子松防腐木门头
含安装及基础</t>
  </si>
  <si>
    <t>菜园地门头（出口）</t>
  </si>
  <si>
    <t>尺寸：长1600mm，高1800mm，需要加种植园名字
材质：樟子松防腐木门头
含安装及基础</t>
  </si>
  <si>
    <t>花园摆件:猫咪</t>
  </si>
  <si>
    <t>尺寸：300*200*570mm，材质：树脂</t>
  </si>
  <si>
    <t>花园摆件:精灵</t>
  </si>
  <si>
    <t>尺寸：430*200*570mm，材质：树脂</t>
  </si>
  <si>
    <t>花园小凳子</t>
  </si>
  <si>
    <t>尺寸：220*250*320mm，材质：树脂，一套4个</t>
  </si>
  <si>
    <t>套</t>
  </si>
  <si>
    <t>花园摆件：白鸭盆</t>
  </si>
  <si>
    <t>尺寸：盆宽170mm高120mm，材质：树指</t>
  </si>
  <si>
    <t>花园摆件：猫咪花盆</t>
  </si>
  <si>
    <t>尺寸：420*200*170mm，材质：树指</t>
  </si>
  <si>
    <t>铁艺小提琴</t>
  </si>
  <si>
    <t>尺寸：270mm*180mm*500mm.工艺;铁艺</t>
  </si>
  <si>
    <t>花园摆件：松鼠</t>
  </si>
  <si>
    <t>尺寸：600*300*650mm，材质：树脂</t>
  </si>
  <si>
    <t>花园摆件：七星瓢虫</t>
  </si>
  <si>
    <t>尺寸：600*600*250mm，材质：树脂</t>
  </si>
  <si>
    <t>花园摆件：水壶造型地插牌</t>
  </si>
  <si>
    <t>尺寸：水壶宽260mm，整体高1000mm,材质：铁艺</t>
  </si>
  <si>
    <t>花园摆件：蓝色风车</t>
  </si>
  <si>
    <t>尺寸：花朵直径250mm，整体高1300mm,材质：铁艺</t>
  </si>
  <si>
    <t>花园摆件：七彩风车</t>
  </si>
  <si>
    <t>尺寸：花朵直径620mm，整体高2000mm,材质：铁艺</t>
  </si>
  <si>
    <t>挡树叶网</t>
  </si>
  <si>
    <t>尺寸：400*600mm，材质：丝网，网兜款</t>
  </si>
  <si>
    <t>片</t>
  </si>
  <si>
    <t>木桥</t>
  </si>
  <si>
    <t>尺寸：长1800mm宽800mm，立柱70*70mm，材质：碳化木</t>
  </si>
  <si>
    <t>座</t>
  </si>
  <si>
    <t>茅草伞</t>
  </si>
  <si>
    <t>尺寸：伞直径2000mm，材质：仿真茅草，带底座</t>
  </si>
  <si>
    <t>遮阳伞</t>
  </si>
  <si>
    <t>尺寸：伞直径2700mm，户外遮阳伞，带普通底座</t>
  </si>
  <si>
    <t>户外桌椅组合</t>
  </si>
  <si>
    <t>一桌四椅，尺寸：桌子600*600*550mm,椅子：坐高300mm，材质：铁艺</t>
  </si>
  <si>
    <t>流水摆件</t>
  </si>
  <si>
    <t>尺寸(mm)：1710*820*980mm，材质：人造石</t>
  </si>
  <si>
    <t>灶台</t>
  </si>
  <si>
    <t>尺寸：800*800*550，红砖砌灶台，水泥台面，1个大锅灶</t>
  </si>
  <si>
    <t>原有车棚移位</t>
  </si>
  <si>
    <t>拆装移位，含基础、起吊等一切费用</t>
  </si>
  <si>
    <t>井盖更换</t>
  </si>
  <si>
    <t>尺寸：830mm*730mm，材质：201不锈钢，厚3mm，含安装、辅材等一切内容</t>
  </si>
  <si>
    <t>户外指引牌</t>
  </si>
  <si>
    <t>尺寸：高度1400mm*800mm，材质：防腐木，含安装 基础</t>
  </si>
  <si>
    <t>大厅</t>
  </si>
  <si>
    <t>木制地台</t>
  </si>
  <si>
    <t>尺寸：5210*1750mm，地台厚度100mm，材质：多层板</t>
  </si>
  <si>
    <t>m²</t>
  </si>
  <si>
    <t>造型隔断</t>
  </si>
  <si>
    <t>尺寸：宽610mm*高3000mm，材质：石膏板异形隔断</t>
  </si>
  <si>
    <t xml:space="preserve">   </t>
  </si>
  <si>
    <t>树枝</t>
  </si>
  <si>
    <t>尺寸：1900mm长，粗90mm，材质：原木去皮带杈</t>
  </si>
  <si>
    <t>根</t>
  </si>
  <si>
    <t>生态小景</t>
  </si>
  <si>
    <t>尺寸：1平方                                 材质：永生苔藓，仿真绿植，异形罐子，干花</t>
  </si>
  <si>
    <t>亚克力盒子</t>
  </si>
  <si>
    <t xml:space="preserve">尺寸：300*800*350mm，200*250*350mm，250*250*400mm，800*300*200mm，250*300*400mm，700*200*150mm。 材质：厚度5mm，彩色亚克力五面盒
</t>
  </si>
  <si>
    <t>艺术生态小景</t>
  </si>
  <si>
    <t>尺寸：3平方。                              材质：永生苔藓，动物雕塑，艺术摆件及陶罐</t>
  </si>
  <si>
    <t xml:space="preserve">尺寸：500*150*200，250*250*400，250*250*250，800*300*250，200*200*200，700*350*300，350*450*250。材质：彩色亚克力五面盒，厚度5mm
</t>
  </si>
  <si>
    <t>尺寸：1.5米，粗5cm.材质：去皮带杈原木</t>
  </si>
  <si>
    <t>绿植</t>
  </si>
  <si>
    <t>尺寸：1.5米高，75cm粗。   材质：发财树，竹叶兰，散尾葵等</t>
  </si>
  <si>
    <t>造型灯1</t>
  </si>
  <si>
    <t>尺寸：350*320*280mm，470*180*180mm，330*330*660mm, 330*400*235mm，材质：阻燃板造型，石膏板饰面刷乳胶漆，内置灯</t>
  </si>
  <si>
    <t>造型灯2</t>
  </si>
  <si>
    <t>尺寸：350*350*150mm，材质：阻燃板造型，石膏板饰面刷乳胶漆，内置灯,微景观</t>
  </si>
  <si>
    <t>课程墙</t>
  </si>
  <si>
    <t>尺寸：3360*1170mm，材质松木板、洞洞板</t>
  </si>
  <si>
    <t>教师风采墙</t>
  </si>
  <si>
    <t>尺寸：3350*960mm，材质：镀锌管，镀锌板，亚克力透明卡槽，木盒</t>
  </si>
  <si>
    <t>异形地台</t>
  </si>
  <si>
    <t>尺寸：7100*2620mm，地台厚度100mm，材质：木工板基层，木饰面面层</t>
  </si>
  <si>
    <t>墙面石膏板造型</t>
  </si>
  <si>
    <t>尺寸： 10150*2800mm，材质：石膏板造型墙，刷彩色乳胶漆，3遍面漆3遍腻子</t>
  </si>
  <si>
    <t>尺寸： 3200*2800mm，材质：石膏板造型墙，刷彩色乳胶漆，3遍面漆3遍腻子</t>
  </si>
  <si>
    <t>尺寸： 800*2136mm，石膏板造型墙，刷彩色乳胶漆，3遍面漆3遍腻子</t>
  </si>
  <si>
    <t>尺寸：1570*2440mm，石膏板造型墙，刷彩色乳胶漆，3遍面漆3遍腻子</t>
  </si>
  <si>
    <t>尺寸：1600*2800mm，石膏板造型墙，刷彩色乳胶漆，3遍面漆3遍腻子</t>
  </si>
  <si>
    <t xml:space="preserve">尺寸： 915*1020mm，石膏板造型墙刷漆 </t>
  </si>
  <si>
    <t>艺术肌理</t>
  </si>
  <si>
    <t xml:space="preserve">尺寸：30平方。工艺：艺术涂料及表面异形肌理，腻子2道，底漆2道做出艺术肌理，面漆2道，罩面漆一道
</t>
  </si>
  <si>
    <t>平</t>
  </si>
  <si>
    <t>竹篾</t>
  </si>
  <si>
    <t>尺寸：40*100cm工艺：漂白竹篾条</t>
  </si>
  <si>
    <t>米</t>
  </si>
  <si>
    <t>尺寸：
450*250*250mm,450*150*200mm,450*450*550mm,400*400*800mm，400*400*470mm,800*300*200mm,500*400*400mm,800*500*250mm,400*400*470mm,300*300*300mm*4个，250*600*250mm，300*300*200mm*3个，300*300*300mm，200*200*200mm，300*300*400mm，500*500*250mm，500*500*500mm*4个，400*400*400mm,750*400*400mm，材质：5mm彩色亚克力五面盒</t>
  </si>
  <si>
    <t>艺术摆件</t>
  </si>
  <si>
    <t xml:space="preserve">尺寸：150~300mm，工艺：异形陶罐及异形雕塑，永生干花等
</t>
  </si>
  <si>
    <t>飞机模型1</t>
  </si>
  <si>
    <t>尺寸：460*500*220mm，材质：强化树脂，机型：A380原型</t>
  </si>
  <si>
    <t>飞机模型2</t>
  </si>
  <si>
    <t>尺寸：460*440*220mm，材质：强化树脂，机型：B747原厂型</t>
  </si>
  <si>
    <t>飞机模型3</t>
  </si>
  <si>
    <t>尺寸：420*440*200mm，材质：树脂，机型：梦幻运输机+暴风雪号</t>
  </si>
  <si>
    <t>飞机模型4</t>
  </si>
  <si>
    <t>尺寸：280*180*260mm，材质：塑料，机型：战斗机</t>
  </si>
  <si>
    <t>飞机模型5</t>
  </si>
  <si>
    <t>尺寸：200*150*160mm，材质：合金，机型：空警</t>
  </si>
  <si>
    <t>飞机模型6</t>
  </si>
  <si>
    <t>尺寸：470*410*200mm，材质：复合ABS，机型：777-300er</t>
  </si>
  <si>
    <t>亚克力植物标本</t>
  </si>
  <si>
    <t xml:space="preserve">尺寸：300*400mm，250*250mm等。工艺：亚克力插槽，植物标本
</t>
  </si>
  <si>
    <t>星球吊灯</t>
  </si>
  <si>
    <t>尺寸：直径400mm，暖光，32w</t>
  </si>
  <si>
    <t>艺术肌理画</t>
  </si>
  <si>
    <t xml:space="preserve">尺寸：500*800mm，工艺：艺术涂料肌理加彩色绘画，含安装。
</t>
  </si>
  <si>
    <t>幅</t>
  </si>
  <si>
    <t>亚克力板</t>
  </si>
  <si>
    <t xml:space="preserve">尺寸：900*1000mm，8mm厚度.工艺：透明亚克力加广告钉，按安装
</t>
  </si>
  <si>
    <t>尺寸：1.5米.工艺：琴叶榕加素色盆</t>
  </si>
  <si>
    <t>智能机器人</t>
  </si>
  <si>
    <t>尺寸：900mm(高)x400mm(深)x420mm(宽) 
重量：19KG 
电池：锂电池 
容量:20Ah/300W
正常使用时间约10小时，待机时间大于20小时
中央处理器 8核CPU 
操作系统 ROS操作系统 
连接方式 Wifi、蓝牙4.0、ZiBee 
显示 10.1英寸触摸显示 
充电桩参数(需要联系客服提前配对)
尺寸：250mm(高)x118mm(深)x248mm(宽) 
重量：1.35KG(含适配器) 
输入 AC100-240V50/60Hz 
输出 DC19V/4.75A 
指引距离 0~5m,180度信号覆盖 
(自动充电红外线)
安装方式 室内落地式</t>
  </si>
  <si>
    <t>台</t>
  </si>
  <si>
    <t>AI智能对话陪伴动物1</t>
  </si>
  <si>
    <t>产品描述：
AI动物园陪伴玩偶是融合人工智能技术（大语言模型、情感识别、多模态交互）与传统玩偶载体的新型智能硬件，旨在为用户提供情感支持、教育陪伴和互动娱乐的AI智能玩偶。
1. 社交沟通能力训练
角色扮演与情景模拟：玩偶为多种动物角色，通过剧本化对话引导儿童练习社交规则和表达技巧。模拟日常互动场景。
2. 即时反馈机制：玩偶对儿童的表达给予积极回应或修正建议，强化沟通信心，提升语言流畅度。
情绪认知与行为干预
3.情感识别与响应：海码AI陪伴大熊通过多模态分析（语音反馈、沟通内容等）识别儿童情绪，触发安抚模式（如安抚话语、讲述故事等）。
4.情绪调节引导：针对孤独症儿童，玩偶提供可预测的交互流程（如固定问答模式），减少因变化引发的情绪失控。
5.正向行为强化：通过语言激励，鼓励目标行为，例如儿童完成任务后给予语音表扬。
6.认知与学习能力提升：根据儿童能力动态调整教学内容，如为发育迟缓儿童简化指令，或为高功能孤独症儿童提供进阶知识（如百科问答、双语对话）。
7.多感官刺激学习：将抽象概念转化为触觉（玩偶交互）、听觉（故事讲解）等的多通道输入，适配不同学习风格。
硬件参数：
拥抱大熊：
高度160cm
材质：外表绒布材质
填充物材质：聚酯纤维
手感细腻亲肤，舒适软绵、造型可爱、细致电绣工艺
颜色：粉色、棕色可选。
AI智能对话盒子：
处理器：ESP32-S3
Wi-Fi: 2.4GHz Wi-Fi
屏幕尺寸：1.28’ 可触摸屏
分辨率：240*240 RGB
电源接口：typeC</t>
  </si>
  <si>
    <t>AI智能对话陪伴动物2</t>
  </si>
  <si>
    <t>硬件参数：
可爱老虎：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</si>
  <si>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AI智能对话陪伴动物3</t>
  </si>
  <si>
    <t>硬件参数：
可爱狮子：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</si>
  <si>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AI智能对话陪伴动物4</t>
  </si>
  <si>
    <t>硬件参数：
可爱小狗：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</si>
  <si>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投影灯</t>
  </si>
  <si>
    <t>定制幼儿园园标图案1个，可替换，成品采购，顶部安装，</t>
  </si>
  <si>
    <t>园标园名</t>
  </si>
  <si>
    <t>尺寸：墙面长6000MM，材质：亚克力雕刻园标、字，需现场放样看字大小比例</t>
  </si>
  <si>
    <t>木头字</t>
  </si>
  <si>
    <t>尺寸：大厅空间内，所有木头雕刻字</t>
  </si>
  <si>
    <t>背景墙灯带</t>
  </si>
  <si>
    <t>成品定制安装</t>
  </si>
  <si>
    <t>m</t>
  </si>
  <si>
    <t>电路改造</t>
  </si>
  <si>
    <t>人工加辅材</t>
  </si>
  <si>
    <t>无线开关</t>
  </si>
  <si>
    <t>尺寸：86*90mm，材质：智能产品，一开四控</t>
  </si>
  <si>
    <t>水系景观</t>
  </si>
  <si>
    <t>班级走廊</t>
  </si>
  <si>
    <t>异形定制课程展板1</t>
  </si>
  <si>
    <t>尺寸：2370*1876mm，材质：9mm厚毛毡板，18mm厚松木底板</t>
  </si>
  <si>
    <t>洞洞板</t>
  </si>
  <si>
    <t>尺寸：1120*465mm，材质：16mm厚白色免漆板洞洞板，20mm宽松木边框</t>
  </si>
  <si>
    <t>异形定制课程展板2</t>
  </si>
  <si>
    <t>尺寸：1225*960mm，材质：9mm厚毛毡板，异形18mm厚松木底板</t>
  </si>
  <si>
    <t>圆弧定制课程展板</t>
  </si>
  <si>
    <t>尺寸：1260*800mm，材质：9mm厚毛毡板，18mm厚松木底板</t>
  </si>
  <si>
    <t>异形定制课程展板3</t>
  </si>
  <si>
    <t>尺寸：950*540mm，材质：9mm厚毛毡板，18mm厚松木底板</t>
  </si>
  <si>
    <t>异形定制洞洞板</t>
  </si>
  <si>
    <t>尺寸：底板1180*1050mm，洞洞板930*610mm，材质：16mm厚白色免漆板洞洞板，18mm厚松木底板</t>
  </si>
  <si>
    <t>消防栓贴纸</t>
  </si>
  <si>
    <t>尺寸：1600*800mm，材质：黑胶地贴</t>
  </si>
  <si>
    <t>游戏展示墙</t>
  </si>
  <si>
    <t>尺寸：1200*800，材质：阻燃板基层贴白色磁吸板，30mm宽松木边条</t>
  </si>
  <si>
    <t>铁艺网格</t>
  </si>
  <si>
    <t>尺寸：1630mm，高600mm，材质：铁艺</t>
  </si>
  <si>
    <t>顶部波浪造型</t>
  </si>
  <si>
    <t>尺寸：13000*480*18厚/19500*680*18
9MM厚石膏板双层造型，表面乳胶漆，一底两面</t>
  </si>
  <si>
    <t>底部多色海浪造型</t>
  </si>
  <si>
    <t>尺寸：1600*350*18厚/1700*230*18厚/680*8050*18厚
9MM厚石膏板双层造型，乳胶漆，3遍面漆3遍腻子</t>
  </si>
  <si>
    <t>江豚造型展示墙基层</t>
  </si>
  <si>
    <t>尺寸：3750*1500*18
9MM厚石膏板双层造型，乳胶漆，3遍面漆3遍腻子</t>
  </si>
  <si>
    <t>江豚造型展示墙洞洞板</t>
  </si>
  <si>
    <t>18mm厚造型蓝色松木洞洞板，尺寸：600*1150*18
18mm厚造型免漆松木洞洞板，尺寸：1250*1000*18</t>
  </si>
  <si>
    <t>江豚造型墙松木展示格</t>
  </si>
  <si>
    <t>尺寸：230*1230mm*150mm，定制松木造型盒，
尺寸：280*280,松木造型</t>
  </si>
  <si>
    <t>白色木盒展示墙基层</t>
  </si>
  <si>
    <t>尺寸：2800*1250mm，9MM厚石膏板双层造型，乳胶漆，3遍面漆3遍腻子</t>
  </si>
  <si>
    <t>白色木盒展示墙毛毡展示板</t>
  </si>
  <si>
    <t>尺寸： 1500*900mm，软木板造型</t>
  </si>
  <si>
    <t>白色木盒展示墙松木洞洞板</t>
  </si>
  <si>
    <t>尺寸： 1200*1000mm，18mm厚造型松木洞洞板</t>
  </si>
  <si>
    <t>白色木盒展示墙松木盒</t>
  </si>
  <si>
    <t>尺寸：900*250mm，定制白色松木造型盒</t>
  </si>
  <si>
    <t>洞洞板展示墙基层</t>
  </si>
  <si>
    <t>洞洞板展示墙松木洞洞板</t>
  </si>
  <si>
    <t>尺寸：1740*540mm，18mm厚造型松木洞洞板</t>
  </si>
  <si>
    <t>洞洞板展示墙松木隔板</t>
  </si>
  <si>
    <t>尺寸：1450*120mm，18mm厚免漆松木板，圆角处理</t>
  </si>
  <si>
    <t>毛毡板造型展示墙</t>
  </si>
  <si>
    <t>尺寸：4850*1250mm，材质：9mm厚阻燃板基层贴9mm厚毛毡板，30mm宽白色松木异形线条</t>
  </si>
  <si>
    <t>白色圆形展示板</t>
  </si>
  <si>
    <t>尺寸： 圆形直径640mm，实木造型，刷白色</t>
  </si>
  <si>
    <t>白色实木东洞洞板展示板</t>
  </si>
  <si>
    <t>尺寸： 圆形直径900mm，洞洞板，免漆松木造型</t>
  </si>
  <si>
    <t>亚克力展示板</t>
  </si>
  <si>
    <t>尺寸： 400*800mm，免漆松木造型</t>
  </si>
  <si>
    <t>黄色圆形展示板</t>
  </si>
  <si>
    <t>尺寸： 圆形直径600mm，免漆松木造型</t>
  </si>
  <si>
    <t>圆形亚麻布展示板</t>
  </si>
  <si>
    <t>尺寸： 圆形直径860mm，软木板，免漆松木造型</t>
  </si>
  <si>
    <t>白色洞洞板</t>
  </si>
  <si>
    <t>尺寸： 圆形直径1000mm，圆形洞洞板</t>
  </si>
  <si>
    <t>定制松木展示格</t>
  </si>
  <si>
    <t>尺寸： 180*800mm*120mm，免漆松木造型格</t>
  </si>
  <si>
    <t>定制木制作</t>
  </si>
  <si>
    <t>尺寸： 1000*760mm，软木板</t>
  </si>
  <si>
    <t>尺寸： 200*950mm*120mm，免漆松木造型格</t>
  </si>
  <si>
    <t>定制异形松木洞洞板</t>
  </si>
  <si>
    <t>尺寸：1460*1055mm，异形松木洞洞板</t>
  </si>
  <si>
    <t>尺寸： 200*950mm，实木造型</t>
  </si>
  <si>
    <t>尺寸：1460*1055mm，洞洞板</t>
  </si>
  <si>
    <t>石膏板造型墙</t>
  </si>
  <si>
    <t>尺寸：4237*560mm，造型石膏板刷漆，乳胶漆，3遍面漆3遍腻子</t>
  </si>
  <si>
    <t>楼梯一</t>
  </si>
  <si>
    <t>课程展板1</t>
  </si>
  <si>
    <t>尺寸：800*800mm，材质：16mm厚松木有色洞洞板</t>
  </si>
  <si>
    <t>课程展板2</t>
  </si>
  <si>
    <t>尺寸：1100*500mm，材质：亚克力，四角广告钉</t>
  </si>
  <si>
    <t>课程展板3</t>
  </si>
  <si>
    <t>尺寸：2000*800mm，材质：16mm厚白色免漆洞洞板</t>
  </si>
  <si>
    <t>课程展板4</t>
  </si>
  <si>
    <t>尺寸：1400*500mm，材质：16mm松木有色洞洞板</t>
  </si>
  <si>
    <t>课程展板5</t>
  </si>
  <si>
    <t>尺寸：1380*480mm，材质：9mm厚毛毡</t>
  </si>
  <si>
    <t>课程展板6</t>
  </si>
  <si>
    <t>尺寸：1200*700mm，材质：16mm厚白色免漆洞洞板，9mm厚彩色异形毛毡板</t>
  </si>
  <si>
    <t>课程展板7</t>
  </si>
  <si>
    <t>尺寸：2200*600mm，材质：16mm厚白色免漆洞洞板，9mm厚彩色异形毛毡板</t>
  </si>
  <si>
    <t>课程展板8</t>
  </si>
  <si>
    <t>课程展板9</t>
  </si>
  <si>
    <t>尺寸：1200*800mm，材质：松木有色洞洞板，上面覆盖800*250mm的白色木盒</t>
  </si>
  <si>
    <t>课程展板10</t>
  </si>
  <si>
    <t>尺寸：2000*800mm，材质：16mm厚白色免漆洞洞板，9mm厚彩色异形毛毡板</t>
  </si>
  <si>
    <t>课程展板11</t>
  </si>
  <si>
    <t>尺寸：1800*800mm，材质：16mm厚白色免漆洞洞板，9mm厚彩色异形毛毡板</t>
  </si>
  <si>
    <t>课程展板12</t>
  </si>
  <si>
    <t>尺寸：1100*500mm，材质：亚克力</t>
  </si>
  <si>
    <t>课程展板13</t>
  </si>
  <si>
    <t>尺寸：580*580mm，材质：9mm厚毛毡板</t>
  </si>
  <si>
    <t>课程展板14</t>
  </si>
  <si>
    <t>尺寸：1500*800mm，材质：9mm厚毛毡板</t>
  </si>
  <si>
    <t>课程展板15</t>
  </si>
  <si>
    <t>尺寸：1257*508mm，材质：9mm厚毛毡板</t>
  </si>
  <si>
    <t>课程展板16</t>
  </si>
  <si>
    <t>尺寸：直径1500mm半圆造型，材质：16mm厚白色免漆洞洞板</t>
  </si>
  <si>
    <t>课程展板17</t>
  </si>
  <si>
    <t>尺寸：2000*800mm，材质：9mm厚毛毡板，点缀彩色异形毛毡板</t>
  </si>
  <si>
    <t>课程展板18</t>
  </si>
  <si>
    <t>尺寸：1360*700mm，材质：16mm厚白色免漆洞洞板</t>
  </si>
  <si>
    <t>课程展板19</t>
  </si>
  <si>
    <t>尺寸：2000*600mm，材质：9mm厚毛毡板，点缀彩色异形毛毡板，覆盖1320*530mm白色面漆洞洞板，墙面点缀异形装饰毛毡板</t>
  </si>
  <si>
    <t>课程展板20</t>
  </si>
  <si>
    <t>尺寸：1000*600mm材质：16mm厚白色免漆洞洞板，点缀异形有色毛毡板</t>
  </si>
  <si>
    <t>课程展板21</t>
  </si>
  <si>
    <t>尺寸：2000*800mm，材质：白色免漆洞洞板，墙面点缀异形装饰毛毡板</t>
  </si>
  <si>
    <t>课程展板22</t>
  </si>
  <si>
    <t>尺寸：1200*600mm，材质：9mm厚毛毡板，覆盖1000*580mm白色免漆洞洞板，墙面点缀异形装饰毛毡板</t>
  </si>
  <si>
    <t>楼梯二</t>
  </si>
  <si>
    <t>尺寸：1200*700mm，材质：9mm厚毛毡板，覆盖600*425mm艺术涂鸦雪弗板</t>
  </si>
  <si>
    <t>尺寸：950*850mm，材质：9mm厚毛毡板，点缀异形装饰造型毛毡板，结合700*200mm松木盒</t>
  </si>
  <si>
    <t>尺寸：1000*800mm，材质：9mm厚毛毡板，点缀1060*690mm异形造型毛毡板，表面覆盖直径500mm白色免漆洞洞板</t>
  </si>
  <si>
    <t>尺寸：1490*550mm，材质：9mm厚毛毡板，覆盖800*300mm艺术涂鸦雪弗板，点缀异形装饰造型毛毡板</t>
  </si>
  <si>
    <t>尺寸：1520*770mm，材质：9mm厚异形毛毡板，点缀异形装饰造型毛毡板，结合450*180mm松木盒</t>
  </si>
  <si>
    <t>美工室</t>
  </si>
  <si>
    <t>地面涂鸦</t>
  </si>
  <si>
    <t xml:space="preserve">尺寸：1平方    工艺：防水颜料加表面防护漆，艺术风格绘画。
                       </t>
  </si>
  <si>
    <t>柜面涂鸦</t>
  </si>
  <si>
    <t>尺寸：3平方。 工艺：防水颜料
料加表面防水漆，艺术风格绘画。</t>
  </si>
  <si>
    <t>油漆桶装置</t>
  </si>
  <si>
    <t>尺寸：500mm，350mm，200mm等。                                                   工艺：防水颜料及表面防护漆，艺术风格涂鸦</t>
  </si>
  <si>
    <t>绘画工具拼贴</t>
  </si>
  <si>
    <t xml:space="preserve">尺寸：2平方。                              工艺：异形木板拼贴，及绘画工具组合
</t>
  </si>
  <si>
    <t>木质收纳盒</t>
  </si>
  <si>
    <t xml:space="preserve">尺寸：350*200*150mm。          工艺：原木收纳框
</t>
  </si>
  <si>
    <t xml:space="preserve">尺寸：2平方，工艺：艺术风格绘画，表面防水处理
</t>
  </si>
  <si>
    <t>彩色亚克力片及木架</t>
  </si>
  <si>
    <t xml:space="preserve">尺寸：木架：1700*600mm，单个亚克力插片400*300mm。5mm厚度。工艺：彩色亚克力插片4个
</t>
  </si>
  <si>
    <t>顶部装饰木架</t>
  </si>
  <si>
    <t xml:space="preserve">尺寸：1700*600mm，材质：松木
</t>
  </si>
  <si>
    <t>毛刷吊灯</t>
  </si>
  <si>
    <t>尺寸：350mm*350mm*350mm，暖白色吊灯。
工艺;毛刷艺术改造吊灯。</t>
  </si>
  <si>
    <t>桌面收纳</t>
  </si>
  <si>
    <t>尺寸：250*250*200mm,550*150*150mm .        工艺：木质收纳盒，竹筒，空心砖等</t>
  </si>
  <si>
    <t>绘画颜料</t>
  </si>
  <si>
    <t>尺寸：100ml工艺：水粉颜料，手指画颜料</t>
  </si>
  <si>
    <t>绘画工具</t>
  </si>
  <si>
    <t>尺寸：250mm，150mm等。
画笔，画板，调色盘，油画框等</t>
  </si>
  <si>
    <t>吊顶艺术装置</t>
  </si>
  <si>
    <t>尺寸：1600*600mm，
工艺：油漆桶艺术改造及绘画工具改造</t>
  </si>
  <si>
    <t>布艺悬挂装置</t>
  </si>
  <si>
    <t>尺寸：450*2800mm.工艺：扎染布，绣绷，异形框内绷布</t>
  </si>
  <si>
    <t>布艺吊灯</t>
  </si>
  <si>
    <t>尺寸：300*300mm。暖白色.     工艺：布艺拼贴吊灯</t>
  </si>
  <si>
    <t>桌面收纳盒</t>
  </si>
  <si>
    <t>尺寸：250*250*200mm,550*150*150mm .  
工艺：木质收纳盒，竹筒，空心砖等</t>
  </si>
  <si>
    <t>布艺拼贴框</t>
  </si>
  <si>
    <t xml:space="preserve">尺寸：800*800mm，350*350mm等。工艺;艺术肌理布拼贴。
</t>
  </si>
  <si>
    <t>异形布艺墙及地台</t>
  </si>
  <si>
    <t>尺寸：3.5平方。工艺：艺术肌理
布艺拼贴</t>
  </si>
  <si>
    <t>桌面布艺拼贴</t>
  </si>
  <si>
    <t>尺寸：2平方工艺:艺术肌理布拼贴</t>
  </si>
  <si>
    <t>棉线</t>
  </si>
  <si>
    <t>尺寸：5mm*10000mm。工艺;棉质线卷</t>
  </si>
  <si>
    <t>扎染布</t>
  </si>
  <si>
    <t>尺寸：40米.工艺：扎染</t>
  </si>
  <si>
    <t>收纳框</t>
  </si>
  <si>
    <t>尺寸：350*200*150mm。          工艺：原木收纳框</t>
  </si>
  <si>
    <t>异形陶罐</t>
  </si>
  <si>
    <t xml:space="preserve">尺寸：高度150~350mm。工艺：陶罐，大小不同8个
</t>
  </si>
  <si>
    <t>桌面陶艺工具</t>
  </si>
  <si>
    <t>尺寸：300*400mm。                 工艺：木质操作板，陶泥转盘，陶泥去泥器，木质
雕刻刀等</t>
  </si>
  <si>
    <t>造型吊灯</t>
  </si>
  <si>
    <t xml:space="preserve">尺寸：350mm*350mm，工艺：泡沫板雕刻，32w
</t>
  </si>
  <si>
    <t>柜体收纳框</t>
  </si>
  <si>
    <t xml:space="preserve">
尺寸：250*200*150mm。 工艺：原木收纳框</t>
  </si>
  <si>
    <t>墙面异形陶罐</t>
  </si>
  <si>
    <t>尺寸：500mm*300mm，300*200mm。工艺：异形陶罐加艺术肌理</t>
  </si>
  <si>
    <t>陶泥底板置物架</t>
  </si>
  <si>
    <t>尺寸：1800mm*700mm，材质：木工底板，面层夯土，艺术肌理</t>
  </si>
  <si>
    <t>藤编吊灯</t>
  </si>
  <si>
    <t>尺寸：350mm直径，暖白色，4500k，32w。工艺：藤编吊灯</t>
  </si>
  <si>
    <t>艺术小景</t>
  </si>
  <si>
    <t>尺寸：1平方.工艺;艺术陶罐，芦苇，枯树造景，永生干花，艺术画框等组合。</t>
  </si>
  <si>
    <t xml:space="preserve">尺寸：250*250*200mm,550*150*150mm .           工艺：木质收纳盒，竹筒，空心砖等
</t>
  </si>
  <si>
    <t xml:space="preserve">尺寸：2平方。                                                    工艺：艺术雕塑，异形陶罐
</t>
  </si>
  <si>
    <t>洞洞板配件</t>
  </si>
  <si>
    <t xml:space="preserve">尺寸：1.5平方.工艺：原木棍及层板
</t>
  </si>
  <si>
    <t>桌面工具</t>
  </si>
  <si>
    <t xml:space="preserve">尺寸：300*200mm。工艺：木质操作板加陶泥工具
</t>
  </si>
  <si>
    <t>尺寸：1米。80mm粗。                      
工艺:去皮树枝</t>
  </si>
  <si>
    <t>布艺树枝</t>
  </si>
  <si>
    <t>尺寸：2米。100mm粗。                      
工艺:去皮树枝</t>
  </si>
  <si>
    <t>椅子布艺装置</t>
  </si>
  <si>
    <t>尺寸：2平方。                              工艺：布艺拼贴凳子及凳子拆解组合。</t>
  </si>
  <si>
    <t>藤编篓</t>
  </si>
  <si>
    <t>尺寸：250*200*200mm。</t>
  </si>
  <si>
    <t>陶泥艺术字</t>
  </si>
  <si>
    <t xml:space="preserve">尺寸：250*250mm。                 工艺;陶泥及瓷砖拼贴
</t>
  </si>
  <si>
    <t xml:space="preserve">尺寸：长度1.8m,80mm粗。       工艺：原木树枝
</t>
  </si>
  <si>
    <t>布艺拼贴树枝</t>
  </si>
  <si>
    <t xml:space="preserve">尺寸：长度1m,5cm粗。               工艺：布艺拼贴树枝
</t>
  </si>
  <si>
    <t>桌面空心砖</t>
  </si>
  <si>
    <t>尺寸：200*200*200mm，200*200*400mm等
工艺：轻质空心水泥砖</t>
  </si>
  <si>
    <t>绿植小景</t>
  </si>
  <si>
    <t xml:space="preserve">尺寸：1平。                                 工艺：绿植，干花，陶罐
</t>
  </si>
  <si>
    <t xml:space="preserve">尺寸：1平方.                                 工艺：原木棍，原木层板
</t>
  </si>
  <si>
    <t>作品展示架</t>
  </si>
  <si>
    <t xml:space="preserve">尺寸：3888*2800mm，材质：50*50厚松木木方作品架
</t>
  </si>
  <si>
    <t>石膏作品陈列架1</t>
  </si>
  <si>
    <t xml:space="preserve">尺寸：1485*1760mm，材质：木工板基层，白色硅藻泥
</t>
  </si>
  <si>
    <t>石膏作品陈列架2</t>
  </si>
  <si>
    <t xml:space="preserve">尺寸：2600*1200mm，材质：木工板基层，白色硅藻泥
</t>
  </si>
  <si>
    <t>洞洞板1</t>
  </si>
  <si>
    <t>尺寸：300*520，460*520，460*520，材质：18mm厚松木</t>
  </si>
  <si>
    <t>洞洞板2</t>
  </si>
  <si>
    <t xml:space="preserve">尺寸：800*800mm，材质：18mm厚松木
</t>
  </si>
  <si>
    <t>双层造型桌</t>
  </si>
  <si>
    <t xml:space="preserve">尺寸：1850*600mm，2200*600mm，不规则波浪圆弧造型桌子，材质：18mm厚松木
</t>
  </si>
  <si>
    <t>作品置物盒</t>
  </si>
  <si>
    <t xml:space="preserve">尺寸：1200*640mm，材质：18mm厚松木
</t>
  </si>
  <si>
    <t>造型墙</t>
  </si>
  <si>
    <t xml:space="preserve">尺寸：1500*1000mm，材质：木工板基层，白色硅藻泥
</t>
  </si>
  <si>
    <t>顶部造型架</t>
  </si>
  <si>
    <t xml:space="preserve">尺寸：3000*900mm，材质：松木，大小不同的木框，错落有致的搭配，有艺术感
</t>
  </si>
  <si>
    <t xml:space="preserve">尺寸：5500*1370mm，材质：50*50厚松木木方作品架，层板
</t>
  </si>
  <si>
    <t>吧台桌</t>
  </si>
  <si>
    <t xml:space="preserve">尺寸：5845*800mm，2600*800,双层桌子，材质：松木
</t>
  </si>
  <si>
    <t>陶泥</t>
  </si>
  <si>
    <t>尺寸：5KG，材质泥</t>
  </si>
  <si>
    <t>袋</t>
  </si>
  <si>
    <t>切泥器</t>
  </si>
  <si>
    <t>尺寸：长240mm，材质：不锈钢</t>
  </si>
  <si>
    <t>陶泥垫板</t>
  </si>
  <si>
    <t>300*240*24mm，材质：松木</t>
  </si>
  <si>
    <t>滚轴</t>
  </si>
  <si>
    <t>长240mm,直径40mm,轴身长110mm</t>
  </si>
  <si>
    <t>拍泥锤</t>
  </si>
  <si>
    <t>250*90mm</t>
  </si>
  <si>
    <t>刮片五件套</t>
  </si>
  <si>
    <t>5件/套</t>
  </si>
  <si>
    <t>粘土模具</t>
  </si>
  <si>
    <t>塑料，33件</t>
  </si>
  <si>
    <t>白胚模具</t>
  </si>
  <si>
    <t>花盆花瓶样式随机，14个/套</t>
  </si>
  <si>
    <t>陶缸</t>
  </si>
  <si>
    <t>尺寸：直径320mm高250mm，材质：土陶，带盖子，存放陶泥</t>
  </si>
  <si>
    <t>原木片盒</t>
  </si>
  <si>
    <t>尺寸：24*14.5*5.5cm，材质：含不同总类木片</t>
  </si>
  <si>
    <t>椭圆竹圈一袋</t>
  </si>
  <si>
    <t>尺寸：竹圈直径40mm,一袋90个,材质：竹子</t>
  </si>
  <si>
    <t>圆形竹圈一袋</t>
  </si>
  <si>
    <t>椭圆形木片</t>
  </si>
  <si>
    <t>材质：木，400片/袋</t>
  </si>
  <si>
    <t>圆形木片</t>
  </si>
  <si>
    <t>松果</t>
  </si>
  <si>
    <t>尺寸：3-7cm，材质：松果10个</t>
  </si>
  <si>
    <t>原木色树枝</t>
  </si>
  <si>
    <t>尺寸：长度30cm,约50支/捆</t>
  </si>
  <si>
    <t>捆</t>
  </si>
  <si>
    <t>深色树枝</t>
  </si>
  <si>
    <t>玉米皮</t>
  </si>
  <si>
    <t>2斤装/袋</t>
  </si>
  <si>
    <t>莲蓬</t>
  </si>
  <si>
    <t>尺寸：80~100mm，5个/袋</t>
  </si>
  <si>
    <t>麦穗</t>
  </si>
  <si>
    <t>10支/束</t>
  </si>
  <si>
    <t>束</t>
  </si>
  <si>
    <t>长树皮</t>
  </si>
  <si>
    <t>尺寸：长度280mm,材质：树皮，120g/袋</t>
  </si>
  <si>
    <t>种子</t>
  </si>
  <si>
    <t>尺寸：10瓶/套，10种石子，罐子直径65高100mm</t>
  </si>
  <si>
    <t>大自然小石子</t>
  </si>
  <si>
    <t>尺寸：10瓶/套，10种种子，罐子直径65高100mm</t>
  </si>
  <si>
    <t>自然角海螺贝壳海星</t>
  </si>
  <si>
    <t>尺寸：6瓶/套，6种贝壳，罐子直径65高100mm</t>
  </si>
  <si>
    <t>纸绳</t>
  </si>
  <si>
    <t>10色混装</t>
  </si>
  <si>
    <t>包</t>
  </si>
  <si>
    <t>彩色胶片</t>
  </si>
  <si>
    <t>A4混装，12片</t>
  </si>
  <si>
    <t>瓦楞纸板</t>
  </si>
  <si>
    <t>尺寸：29*42cm,五层4-6MM厚
一份十张：</t>
  </si>
  <si>
    <t>波纹相框纸板</t>
  </si>
  <si>
    <t>外尺寸4开（53*38）纸板框5个，颜色分类：外尺寸A3（42*30）纸板框10个</t>
  </si>
  <si>
    <t>美纹纸</t>
  </si>
  <si>
    <t>宽度2cm</t>
  </si>
  <si>
    <t>卷</t>
  </si>
  <si>
    <t>彩色玻璃纸</t>
  </si>
  <si>
    <t>颜色随机，100*88cm,</t>
  </si>
  <si>
    <t>张</t>
  </si>
  <si>
    <t>鸡蛋托</t>
  </si>
  <si>
    <t>25片/包</t>
  </si>
  <si>
    <t>马勺</t>
  </si>
  <si>
    <t>1套为大号5个小号5个</t>
  </si>
  <si>
    <t>魔法玉米粒</t>
  </si>
  <si>
    <t>彩色混装1000粒</t>
  </si>
  <si>
    <t>纸杯</t>
  </si>
  <si>
    <t>5*8.5cm,粉色，黑色，橘黄色，天蓝色，各十个</t>
  </si>
  <si>
    <t>纸盘</t>
  </si>
  <si>
    <t>直径15cm,直径20cm</t>
  </si>
  <si>
    <t>彩色扎带</t>
  </si>
  <si>
    <t>长度14.5cm</t>
  </si>
  <si>
    <t>彩色毛根条</t>
  </si>
  <si>
    <r>
      <rPr>
        <sz val="12"/>
        <color indexed="8"/>
        <rFont val="宋体"/>
        <charset val="134"/>
      </rPr>
      <t>混色1捆约100根，50*0.8cm</t>
    </r>
  </si>
  <si>
    <t>水粉纸</t>
  </si>
  <si>
    <t>尺寸：8K,160克，20张/包</t>
  </si>
  <si>
    <t>尺寸：4K,160克，20张/包</t>
  </si>
  <si>
    <t>固体胶棒</t>
  </si>
  <si>
    <t>15g每支，5支装</t>
  </si>
  <si>
    <t>盒</t>
  </si>
  <si>
    <t>双面胶</t>
  </si>
  <si>
    <t>宽1.8厘米</t>
  </si>
  <si>
    <t>海绵纸</t>
  </si>
  <si>
    <t>尺寸：50*50厘米，20色，20张/包</t>
  </si>
  <si>
    <t>白色纸筒1</t>
  </si>
  <si>
    <r>
      <rPr>
        <sz val="11"/>
        <rFont val="宋体"/>
        <charset val="134"/>
      </rPr>
      <t>白色</t>
    </r>
    <r>
      <rPr>
        <sz val="11"/>
        <rFont val="Tahoma"/>
        <charset val="134"/>
      </rPr>
      <t>15cm</t>
    </r>
  </si>
  <si>
    <t>白色纸筒2</t>
  </si>
  <si>
    <r>
      <rPr>
        <sz val="11"/>
        <rFont val="宋体"/>
        <charset val="134"/>
      </rPr>
      <t>白色</t>
    </r>
    <r>
      <rPr>
        <sz val="11"/>
        <rFont val="Tahoma"/>
        <charset val="134"/>
      </rPr>
      <t>30cm</t>
    </r>
    <r>
      <rPr>
        <sz val="11"/>
        <rFont val="宋体"/>
        <charset val="134"/>
      </rPr>
      <t>（直径</t>
    </r>
    <r>
      <rPr>
        <sz val="11"/>
        <rFont val="Tahoma"/>
        <charset val="134"/>
      </rPr>
      <t>5cm</t>
    </r>
    <r>
      <rPr>
        <sz val="11"/>
        <rFont val="宋体"/>
        <charset val="134"/>
      </rPr>
      <t>）</t>
    </r>
  </si>
  <si>
    <t>彩色砂纸</t>
  </si>
  <si>
    <r>
      <rPr>
        <sz val="11"/>
        <rFont val="Tahoma"/>
        <charset val="134"/>
      </rPr>
      <t>4K</t>
    </r>
    <r>
      <rPr>
        <sz val="11"/>
        <rFont val="宋体"/>
        <charset val="134"/>
      </rPr>
      <t>，</t>
    </r>
    <r>
      <rPr>
        <sz val="11"/>
        <rFont val="Tahoma"/>
        <charset val="134"/>
      </rPr>
      <t>10</t>
    </r>
    <r>
      <rPr>
        <sz val="11"/>
        <rFont val="宋体"/>
        <charset val="134"/>
      </rPr>
      <t>色混</t>
    </r>
    <r>
      <rPr>
        <sz val="11"/>
        <rFont val="Tahoma"/>
        <charset val="134"/>
      </rPr>
      <t xml:space="preserve"> 10</t>
    </r>
    <r>
      <rPr>
        <sz val="11"/>
        <rFont val="宋体"/>
        <charset val="134"/>
      </rPr>
      <t>张</t>
    </r>
    <r>
      <rPr>
        <sz val="11"/>
        <rFont val="Tahoma"/>
        <charset val="134"/>
      </rPr>
      <t>/</t>
    </r>
    <r>
      <rPr>
        <sz val="11"/>
        <rFont val="宋体"/>
        <charset val="134"/>
      </rPr>
      <t>包</t>
    </r>
  </si>
  <si>
    <t>硬卡纸</t>
  </si>
  <si>
    <r>
      <rPr>
        <sz val="11"/>
        <rFont val="Tahoma"/>
        <charset val="134"/>
      </rPr>
      <t>78.7*109.2cm,</t>
    </r>
    <r>
      <rPr>
        <sz val="11"/>
        <rFont val="宋体"/>
        <charset val="134"/>
      </rPr>
      <t>黑色，湖蓝，白色，橘红，深绿，浅黄，大红，浅粉，浅紫，咖啡，浅黄，牛皮纸各5卷</t>
    </r>
  </si>
  <si>
    <t>瓦楞纸</t>
  </si>
  <si>
    <t>21*29.7cm,混色，10张/包</t>
  </si>
  <si>
    <t>皱纹纸</t>
  </si>
  <si>
    <t>50*250cm,20色混色</t>
  </si>
  <si>
    <t>大张彩色厚卡纸</t>
  </si>
  <si>
    <t>克重: 230克,尺寸: 88.9*119.4cm,22色/套</t>
  </si>
  <si>
    <t>瓦楞纸卷（宽）</t>
  </si>
  <si>
    <t>宽60公分*长15米</t>
  </si>
  <si>
    <t>瓦楞纸卷（窄）</t>
  </si>
  <si>
    <t>宽30公分*长15米</t>
  </si>
  <si>
    <t>儿童丁晴手套</t>
  </si>
  <si>
    <t>防护手套，50只/套</t>
  </si>
  <si>
    <t>防护围裙</t>
  </si>
  <si>
    <t xml:space="preserve">尺寸：衣长58，袖长50cm                         ，防水防污，柔软舒适          </t>
  </si>
  <si>
    <t>件</t>
  </si>
  <si>
    <t>扎染盆</t>
  </si>
  <si>
    <t>高品质塑料盆， 尺寸：33.5*23.5*8cm</t>
  </si>
  <si>
    <t>尖嘴瓶</t>
  </si>
  <si>
    <t>塑料材质，容量250ml</t>
  </si>
  <si>
    <t>塑料杯</t>
  </si>
  <si>
    <t>塑料材质，容量500ml</t>
  </si>
  <si>
    <t>扎染辅助工具包</t>
  </si>
  <si>
    <t>彩色木夹子50个左右，橡皮筋6.5*0.02cm的200根左右，6.3cm的S型挂钩50个，打孔器4个</t>
  </si>
  <si>
    <t>染料</t>
  </si>
  <si>
    <t>颜料采用无毒环保材料，出口品质，一套12色</t>
  </si>
  <si>
    <t>棉布</t>
  </si>
  <si>
    <t>纯棉材质，尺寸：35*35cm，10条一套</t>
  </si>
  <si>
    <t>围巾</t>
  </si>
  <si>
    <t>纯棉材质，尺寸：180*52cm</t>
  </si>
  <si>
    <t>布袋</t>
  </si>
  <si>
    <t>纯棉材质，尺寸：32*38cm</t>
  </si>
  <si>
    <t>T恤</t>
  </si>
  <si>
    <t>纯棉材质，尺寸：儿童版，适合80-90cm儿童</t>
  </si>
  <si>
    <t>水粉颜料</t>
  </si>
  <si>
    <t>100ml/罐，24色/套</t>
  </si>
  <si>
    <t>丙烯颜料</t>
  </si>
  <si>
    <t>袋装水粉颜料</t>
  </si>
  <si>
    <t>100ml/袋，24色/套</t>
  </si>
  <si>
    <t>袋装丙烯颜料</t>
  </si>
  <si>
    <t>洗笔杯</t>
  </si>
  <si>
    <t>直径8cm</t>
  </si>
  <si>
    <t>板刷</t>
  </si>
  <si>
    <t>【大中小】各1支板刷</t>
  </si>
  <si>
    <t>4件套大号滚刷</t>
  </si>
  <si>
    <t>EVA画刷4件套</t>
  </si>
  <si>
    <t>海绵画刷5件套</t>
  </si>
  <si>
    <t>几何图案滚刷4件套</t>
  </si>
  <si>
    <t>图案印章滚刷4件套</t>
  </si>
  <si>
    <t>4件套小号滚刷</t>
  </si>
  <si>
    <t>旋转绘画4件套</t>
  </si>
  <si>
    <t>椭圆调色盘白色</t>
  </si>
  <si>
    <t>水桶</t>
  </si>
  <si>
    <t>3色，可折叠，直径120mm，高160mm</t>
  </si>
  <si>
    <t>水粉笔套装</t>
  </si>
  <si>
    <t>5支装</t>
  </si>
  <si>
    <t>布面油画框</t>
  </si>
  <si>
    <t>尺寸：300*300mm，材质：木框+亚麻绷布</t>
  </si>
  <si>
    <t>尺寸：300*400mm，材质：木框+亚麻绷布</t>
  </si>
  <si>
    <t>科学室</t>
  </si>
  <si>
    <t>科技齿轮墙</t>
  </si>
  <si>
    <t>尺寸：2700*1600mm，
材质：可互动脉冲式发光灯带，齿轮转动，二次深化</t>
  </si>
  <si>
    <t>生态月球墙</t>
  </si>
  <si>
    <t>尺寸：4000*1600mm，生态墙厚度150mm，工艺：木龙骨及石膏板做出造型，艺术涂料肌理及星球效果，</t>
  </si>
  <si>
    <t>光影区</t>
  </si>
  <si>
    <t>尺寸：2600*200*2600mm,工艺：安装窗帘及轨道,形成光影区</t>
  </si>
  <si>
    <t>墙面反射镜</t>
  </si>
  <si>
    <t xml:space="preserve">凸尺寸：镜20cm的2个，30cm的2个，40cm的2个，半球的30cm2个 </t>
  </si>
  <si>
    <t>光影投影仪</t>
  </si>
  <si>
    <t>尺寸:54x45x31，材质:金属极箱</t>
  </si>
  <si>
    <t>光影游戏桌</t>
  </si>
  <si>
    <t>尺寸：1200*600*550mm,材质：多层板，玻璃，灯</t>
  </si>
  <si>
    <t>光影积木</t>
  </si>
  <si>
    <t>尺寸：包装盒240*200mm，24块亚克力透光积木，材质：亚克力＋木制边框</t>
  </si>
  <si>
    <t>彩虹积木</t>
  </si>
  <si>
    <t>尺寸：方块25*25*25mm，材质：亚克力，14块方块，7块长条，6颗圆柱，带木托盘</t>
  </si>
  <si>
    <t>互动玩水设备</t>
  </si>
  <si>
    <t>尺寸：整个设备长3500mm,圆盘部分直径1000mm，长方形部分宽600mm，高550mm，材质：塑料，包含：手摇漩涡装置，水压力，不平衡水桶，水流迷宫，水压力，转轮花设备，设备形状制作前需与园方确认。</t>
  </si>
  <si>
    <t>星球肌理吊饰品</t>
  </si>
  <si>
    <t>工艺：星球绘画悬吊，6个，直径250，300，350mm各两个，材质：塑料，石英砂肌理</t>
  </si>
  <si>
    <t>AI陪伴动物园（小松鼠）</t>
  </si>
  <si>
    <t>硬件参数：
可爱小松鼠：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</si>
  <si>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AI陪伴动物园（猫头鹰）</t>
  </si>
  <si>
    <t>硬件参数：
可爱猫头鹰：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</si>
  <si>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AI陪伴动物园（小牛）</t>
  </si>
  <si>
    <t>硬件参数：
可爱小牛：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</si>
  <si>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AI陪伴动物园（大象）</t>
  </si>
  <si>
    <t>硬件参数：
可爱大象：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</si>
  <si>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AI陪伴动物园（大灰狼）</t>
  </si>
  <si>
    <t>硬件参数：
可爱大灰狼：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</si>
  <si>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AI陪伴动物园（小马）</t>
  </si>
  <si>
    <t>硬件参数：
可爱小马：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</si>
  <si>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图书室</t>
  </si>
  <si>
    <t>活动隔断</t>
  </si>
  <si>
    <t>尺寸：宽度4900mm高2400mm，材质：环保密度板铝合金门框，带轨道，厚度750mm，含安装</t>
  </si>
  <si>
    <t>柱子装饰</t>
  </si>
  <si>
    <t>尺寸：木制相框及毛毡板粘贴安装，2平方</t>
  </si>
  <si>
    <t>树枝挂书</t>
  </si>
  <si>
    <t>尺寸：花瓶直径300,高600mm，材质：红陶刷白色涂料，1200mm高的树枝，及6本书本环创造景</t>
  </si>
  <si>
    <t>尺寸：3000*1000mm,工艺：10mm彩色棉绳悬挂</t>
  </si>
  <si>
    <t>吊顶装饰</t>
  </si>
  <si>
    <t>尺寸：直径200mm，250mm,300mmc,材质：亚克力透明球，施工工艺：布艺，自然物，综合材料填充等，材料不少于6种</t>
  </si>
  <si>
    <t>AI陪伴动物园（猴子）</t>
  </si>
  <si>
    <t>硬件参数：
可爱猴子：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</si>
  <si>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AI陪伴动物园（企鹅）</t>
  </si>
  <si>
    <t>硬件参数：
可爱企鹅：
高度30cm
材质：外表绒布材质
填充物材质：聚酯纤维
手感细腻亲肤，舒适软绵、造型可爱、细致电绣工艺，颜色：不可选。
AI智能对话盒子：
处理器：ESP32-S3
Wi-Fi: 2.4GHz Wi-Fi
屏幕尺寸：1.28’ 可触摸屏
分辨率：240*240 RGB
电源接口：typeC</t>
  </si>
  <si>
    <t>标识标牌</t>
  </si>
  <si>
    <t>制度牌</t>
  </si>
  <si>
    <t>尺寸：400*600mm，
材质：雪弗板+印刷字，食堂，保健室，功能室，班级等需要的区域</t>
  </si>
  <si>
    <t>紧急疏散图</t>
  </si>
  <si>
    <t>尺寸：300*450mm，
材质：亚克力雕刻+UV画面</t>
  </si>
  <si>
    <t>楼层导视牌</t>
  </si>
  <si>
    <t>尺寸：宽400mm高600mm，材质：松木</t>
  </si>
  <si>
    <t>班牌/办公室标牌</t>
  </si>
  <si>
    <t>尺寸：250*140mm，材质：亚克力UV，注：班级班牌需要3种不同颜色</t>
  </si>
  <si>
    <t>卫生间标牌</t>
  </si>
  <si>
    <t>尺寸：340*90mm
材质：铁艺边框＋木质底板</t>
  </si>
  <si>
    <t>停车场指示牌</t>
  </si>
  <si>
    <t>尺寸：400*600mm，
材质：雪弗板，印刷字</t>
  </si>
  <si>
    <t>楼梯小脚丫地贴</t>
  </si>
  <si>
    <t>尺寸：150*110mm
材质：不干胶</t>
  </si>
  <si>
    <t>对</t>
  </si>
  <si>
    <t>数字号码牌</t>
  </si>
  <si>
    <t>尺寸：180*90mm，材质：不锈钢</t>
  </si>
  <si>
    <t>会议室</t>
  </si>
  <si>
    <t>园标园名墙</t>
  </si>
  <si>
    <t>需勘察现场，根据园方要求设计
会议室尺寸：4200*2700</t>
  </si>
  <si>
    <t>会议室党建墙</t>
  </si>
  <si>
    <t>尺寸：6900*1500
材质：实木板，造型制作，含六角形展示框、带灯带条，雪佛板、亚克力、党旗、党徽雕刻制作，小字UV喷绘，亚克力加雪佛板字等</t>
  </si>
  <si>
    <t>班级环创材料</t>
  </si>
  <si>
    <t>竹圈</t>
  </si>
  <si>
    <t>尺寸：一套32个每个规格8个，直径120，160，220，260mm，材质：木头，干荷叶</t>
  </si>
  <si>
    <t>桌面网格架</t>
  </si>
  <si>
    <t>材质：铁艺；尺寸：450*450mm</t>
  </si>
  <si>
    <t>小房子纸盒模型（60件）</t>
  </si>
  <si>
    <t>材质：纸盒；</t>
  </si>
  <si>
    <t>布幔</t>
  </si>
  <si>
    <t>尺寸：长1000mm宽1600mm，红色系4块，黄绿色系4块，棕色系4块，白灰色系4块，材质：尼龙布</t>
  </si>
  <si>
    <t>纱幔</t>
  </si>
  <si>
    <t>娃娃家布</t>
  </si>
  <si>
    <t>尺寸：500*500mm,材质：棉布</t>
  </si>
  <si>
    <t>娃娃家纱</t>
  </si>
  <si>
    <t>尺寸：500*500mm,材质：纱</t>
  </si>
  <si>
    <t>班级挂饰1</t>
  </si>
  <si>
    <t>材质：棉；尺寸：300*500mm</t>
  </si>
  <si>
    <t>班级挂饰2</t>
  </si>
  <si>
    <t>材质:布艺；尺寸：230*350mm</t>
  </si>
  <si>
    <t>班级挂饰3</t>
  </si>
  <si>
    <t>班级挂饰4</t>
  </si>
  <si>
    <t>材质：天然麻线+木棍；尺寸：400*600mm</t>
  </si>
  <si>
    <t>班级挂饰5</t>
  </si>
  <si>
    <t>材质：棉，毛球；尺寸：长度1500mm</t>
  </si>
  <si>
    <t>班级挂饰6</t>
  </si>
  <si>
    <t>材质：棉；尺寸：400*900mm</t>
  </si>
  <si>
    <t>自然角园艺工具</t>
  </si>
  <si>
    <t>规格:70mm,40m,65mm,62mm,木质手柄</t>
  </si>
  <si>
    <t>班级物品采购</t>
  </si>
  <si>
    <t>教师办公区墙面毛毡板1</t>
  </si>
  <si>
    <t>尺寸：1200*600mm；材质：9mm厚毛毡板，</t>
  </si>
  <si>
    <t>教师办公区墙面毛毡板2</t>
  </si>
  <si>
    <t>尺寸：1800*1200mm；材质：9mm厚毛毡板，</t>
  </si>
  <si>
    <t>行政办公室展示板</t>
  </si>
  <si>
    <t>尺寸：1200*600mm，材质：白色免漆洞洞板＋软木板</t>
  </si>
  <si>
    <t>茶杯箱1</t>
  </si>
  <si>
    <t>尺寸：630*560mm,材质：橡胶木</t>
  </si>
  <si>
    <t>茶杯箱2</t>
  </si>
  <si>
    <t>尺寸：355*560mm,材质：橡胶木</t>
  </si>
  <si>
    <t>茶杯箱3</t>
  </si>
  <si>
    <t>尺寸：800*560mm；材质：橡胶木</t>
  </si>
  <si>
    <t>茶杯箱4</t>
  </si>
  <si>
    <t>尺寸：538*560mm；材质：橡胶木</t>
  </si>
  <si>
    <t>洗手池挡板</t>
  </si>
  <si>
    <t>尺寸：520*80mm；材质：硅胶；每班5个</t>
  </si>
  <si>
    <t>其他物品采购</t>
  </si>
  <si>
    <t>WiFi牌</t>
  </si>
  <si>
    <t>尺寸:200*100mm;材质:亚克力</t>
  </si>
  <si>
    <t>卫生间装饰画</t>
  </si>
  <si>
    <t>尺寸：450*600mm，材质：油画布</t>
  </si>
  <si>
    <t>副</t>
  </si>
  <si>
    <t>卫生间收纳六件套</t>
  </si>
  <si>
    <t>尺寸：300*210mm，材质：树脂</t>
  </si>
  <si>
    <t>户外门槛挡水条</t>
  </si>
  <si>
    <t>尺寸：1370*150mm,2个；1380*150mm;1个；材质：硅胶</t>
  </si>
  <si>
    <t>女厕换纱帘</t>
  </si>
  <si>
    <t>尺寸：长2000*高1600mm；材质：纱</t>
  </si>
  <si>
    <t>镜前纱帘</t>
  </si>
  <si>
    <t>尺寸：长6400*高2200mm；材质：纱</t>
  </si>
  <si>
    <t>纱帘轨道</t>
  </si>
  <si>
    <t>尺寸：6400mm;材质：铝合金及配件</t>
  </si>
  <si>
    <t>桌布</t>
  </si>
  <si>
    <t>尺寸：600*600小方桌桌套，下摆长200mm,材质：布艺</t>
  </si>
  <si>
    <t>桌垫</t>
  </si>
  <si>
    <t xml:space="preserve">尺寸：1200*600幼儿长桌，材质：5MM厚软玻璃
</t>
  </si>
  <si>
    <t>餐桌桌垫</t>
  </si>
  <si>
    <t xml:space="preserve">
尺寸：餐桌800*800，材质：5MM厚软玻璃</t>
  </si>
  <si>
    <t>长条桌桌布</t>
  </si>
  <si>
    <t>尺寸：1200*600桌套*8张，材质：布艺,颜色需园方选</t>
  </si>
  <si>
    <t>美工室桌垫</t>
  </si>
  <si>
    <t xml:space="preserve">
尺寸：1800*750，材质：5MM厚软玻璃</t>
  </si>
  <si>
    <t>窗户限位器</t>
  </si>
  <si>
    <t>尺寸：60*40mm，材质：橡胶；，一袋5个，每班5个</t>
  </si>
  <si>
    <t>户外洗手池边角防护</t>
  </si>
  <si>
    <t>尺寸：2040*660*1050mm；材质：硅胶</t>
  </si>
  <si>
    <t>尺寸：600*800mm*20块
材质：铁艺</t>
  </si>
  <si>
    <t>尺寸：500*500mm*15
材质：铁艺</t>
  </si>
  <si>
    <t>尺寸：400mm*1200mm
材质：铁艺</t>
  </si>
  <si>
    <t>小号宽盒</t>
  </si>
  <si>
    <t>尺寸：240*170*40mm；材质：PP</t>
  </si>
  <si>
    <t>中号宽盒</t>
  </si>
  <si>
    <t>尺寸：310*220*40mm；材质：PP</t>
  </si>
  <si>
    <t>竹编收纳筐（小号）</t>
  </si>
  <si>
    <t>尺寸：250*150*60mm；材质：环保纸绳+铁艺支架+棉麻里布</t>
  </si>
  <si>
    <t>竹编收纳筐（大号）</t>
  </si>
  <si>
    <t>尺寸：350*250*85mm；材质：环保纸绳+铁艺支架+棉麻里布</t>
  </si>
  <si>
    <t>帐篷1</t>
  </si>
  <si>
    <t>帐篷尺寸：1450*700*500mm，材质：水洗棉+纱；垫子尺寸：800*800mm*4块，材质：天鹅绒+海绵</t>
  </si>
  <si>
    <t>帐篷2</t>
  </si>
  <si>
    <t>尺寸：1150*1300mm；材质：桃皮绒</t>
  </si>
  <si>
    <t>绿植花盆1</t>
  </si>
  <si>
    <t>尺寸:85*65mm1；材质：玻璃</t>
  </si>
  <si>
    <t>绿植花盆2</t>
  </si>
  <si>
    <t>尺寸：125*95mm；材质：玻璃+树脂</t>
  </si>
  <si>
    <t>绿植花盆3</t>
  </si>
  <si>
    <t>尺寸：120*65*85；材质：陶瓷+玻璃</t>
  </si>
  <si>
    <t>绿植花盆4</t>
  </si>
  <si>
    <t>尺寸：80*120；材质：玻璃</t>
  </si>
  <si>
    <t>花艺摆件1</t>
  </si>
  <si>
    <t>尺寸：300*200*250；材质：陶瓷花瓶+仿真花</t>
  </si>
  <si>
    <t>花艺摆件2</t>
  </si>
  <si>
    <t>尺寸：高120mm；材质：陶瓷</t>
  </si>
  <si>
    <t>A4展示贴（横牌）</t>
  </si>
  <si>
    <t xml:space="preserve">
尺寸：210*297mm，磁吸封条</t>
  </si>
  <si>
    <t>A4展示贴（竖牌）</t>
  </si>
  <si>
    <t>教室保育员毛巾挂钩</t>
  </si>
  <si>
    <t>材质：不锈钢；尺寸：直径45mm；</t>
  </si>
  <si>
    <t>拖把壁挂夹</t>
  </si>
  <si>
    <t>尺寸：597*105*68mm;材质：ABS，颜色：枪灰色;5夹6钩</t>
  </si>
  <si>
    <t>七步洗手法</t>
  </si>
  <si>
    <t>尺寸：350*250mm；材质：防水贴</t>
  </si>
  <si>
    <t>楼梯拐角改广播室</t>
  </si>
  <si>
    <t>在5280*1700空间中隔出一个广播室，增加木质开合门；内部设施：广播设施、灯、电、网线、壁挂式风扇；成品采购，安装</t>
  </si>
  <si>
    <t>挡鼠板1</t>
  </si>
  <si>
    <t>材质：不锈钢；尺寸：长1200*高600</t>
  </si>
  <si>
    <t>挡鼠板2</t>
  </si>
  <si>
    <t>材质：不锈钢；尺寸：长1500*高600</t>
  </si>
  <si>
    <t>摆件：太空人</t>
  </si>
  <si>
    <t>材质：树脂；尺寸：310*275*1240mm，带星空灯和蓝牙音响</t>
  </si>
  <si>
    <t>开园盆栽</t>
  </si>
  <si>
    <t>绿萝</t>
  </si>
  <si>
    <t>盆</t>
  </si>
  <si>
    <t>户外绿化</t>
  </si>
  <si>
    <t>户外灌木丛清除，平整，种草，约1000平方，含人工铺设费，马尼拉草采购费</t>
  </si>
  <si>
    <t>楼梯羊角条</t>
  </si>
  <si>
    <t>材质：软胶，按实结算，灰色灰底，60*30mm，自带背胶</t>
  </si>
  <si>
    <t>栅栏门</t>
  </si>
  <si>
    <t>尺寸：需实地测量，位置：厨房出餐口，材质：松木</t>
  </si>
  <si>
    <t>排水</t>
  </si>
  <si>
    <t>水池甲供，包含安装、下水改造、等一切内容</t>
  </si>
  <si>
    <t>地毯</t>
  </si>
  <si>
    <t>尺寸：1200*2400mm,材质：尼龙</t>
  </si>
  <si>
    <t>保洁服务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</si>
</sst>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3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22"/>
      <color theme="1"/>
      <name val="微软雅黑"/>
      <charset val="134"/>
    </font>
    <font>
      <sz val="11"/>
      <name val="微软雅黑"/>
      <charset val="134"/>
    </font>
    <font>
      <sz val="11"/>
      <color theme="1"/>
      <name val="微软雅黑"/>
      <charset val="134"/>
    </font>
    <font>
      <b/>
      <sz val="11"/>
      <color theme="1"/>
      <name val="微软雅黑"/>
      <charset val="134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b/>
      <sz val="11"/>
      <name val="微软雅黑"/>
      <charset val="134"/>
    </font>
    <font>
      <sz val="12"/>
      <color theme="1"/>
      <name val="宋体"/>
      <charset val="134"/>
    </font>
    <font>
      <u/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name val="宋体"/>
      <charset val="134"/>
    </font>
    <font>
      <sz val="11"/>
      <name val="Tahoma"/>
      <charset val="134"/>
    </font>
    <font>
      <sz val="12"/>
      <color indexed="8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0" borderId="4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5" applyNumberFormat="0" applyAlignment="0" applyProtection="0">
      <alignment vertical="center"/>
    </xf>
    <xf numFmtId="0" fontId="20" fillId="4" borderId="6" applyNumberFormat="0" applyAlignment="0" applyProtection="0">
      <alignment vertical="center"/>
    </xf>
    <xf numFmtId="0" fontId="21" fillId="4" borderId="5" applyNumberFormat="0" applyAlignment="0" applyProtection="0">
      <alignment vertical="center"/>
    </xf>
    <xf numFmtId="0" fontId="22" fillId="5" borderId="7" applyNumberFormat="0" applyAlignment="0" applyProtection="0">
      <alignment vertical="center"/>
    </xf>
    <xf numFmtId="0" fontId="23" fillId="0" borderId="8" applyNumberFormat="0" applyFill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0" fillId="0" borderId="0" applyBorder="0"/>
  </cellStyleXfs>
  <cellXfs count="43">
    <xf numFmtId="0" fontId="0" fillId="0" borderId="0" xfId="0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vertical="center" wrapText="1"/>
    </xf>
    <xf numFmtId="0" fontId="1" fillId="0" borderId="0" xfId="0" applyFont="1" applyFill="1" applyAlignment="1">
      <alignment vertical="center" wrapText="1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left" vertical="center" wrapText="1"/>
    </xf>
    <xf numFmtId="0" fontId="0" fillId="0" borderId="0" xfId="0" applyFill="1" applyAlignment="1">
      <alignment vertical="center"/>
    </xf>
    <xf numFmtId="0" fontId="2" fillId="0" borderId="1" xfId="49" applyFont="1" applyFill="1" applyBorder="1" applyAlignment="1">
      <alignment horizontal="center" vertical="center" wrapText="1"/>
    </xf>
    <xf numFmtId="0" fontId="2" fillId="0" borderId="1" xfId="49" applyFont="1" applyFill="1" applyBorder="1" applyAlignment="1">
      <alignment horizontal="left" vertical="center" wrapText="1"/>
    </xf>
    <xf numFmtId="0" fontId="2" fillId="0" borderId="1" xfId="49" applyFont="1" applyFill="1" applyBorder="1" applyAlignment="1">
      <alignment vertical="center" wrapText="1"/>
    </xf>
    <xf numFmtId="49" fontId="3" fillId="0" borderId="1" xfId="0" applyNumberFormat="1" applyFont="1" applyFill="1" applyBorder="1" applyAlignment="1" applyProtection="1">
      <alignment horizontal="center" vertical="center"/>
      <protection locked="0"/>
    </xf>
    <xf numFmtId="49" fontId="3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/>
    </xf>
    <xf numFmtId="0" fontId="0" fillId="0" borderId="1" xfId="0" applyFill="1" applyBorder="1" applyAlignment="1">
      <alignment vertical="center"/>
    </xf>
    <xf numFmtId="176" fontId="4" fillId="0" borderId="1" xfId="0" applyNumberFormat="1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left" vertical="center" wrapText="1"/>
    </xf>
    <xf numFmtId="176" fontId="4" fillId="0" borderId="1" xfId="0" applyNumberFormat="1" applyFont="1" applyFill="1" applyBorder="1" applyAlignment="1">
      <alignment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10" fillId="0" borderId="1" xfId="6" applyFont="1" applyFill="1" applyBorder="1" applyAlignment="1">
      <alignment horizontal="left" vertical="center"/>
    </xf>
    <xf numFmtId="0" fontId="6" fillId="0" borderId="1" xfId="0" applyFont="1" applyFill="1" applyBorder="1" applyAlignment="1">
      <alignment horizontal="center" vertical="center"/>
    </xf>
    <xf numFmtId="0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dxfs count="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</dxfs>
  <tableStyles count="1" defaultTableStyle="TableStylePreset3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9.png"/><Relationship Id="rId98" Type="http://schemas.openxmlformats.org/officeDocument/2006/relationships/image" Target="media/image108.png"/><Relationship Id="rId97" Type="http://schemas.openxmlformats.org/officeDocument/2006/relationships/image" Target="media/image107.png"/><Relationship Id="rId96" Type="http://schemas.openxmlformats.org/officeDocument/2006/relationships/image" Target="media/image106.png"/><Relationship Id="rId95" Type="http://schemas.openxmlformats.org/officeDocument/2006/relationships/image" Target="media/image105.png"/><Relationship Id="rId94" Type="http://schemas.openxmlformats.org/officeDocument/2006/relationships/image" Target="media/image104.png"/><Relationship Id="rId93" Type="http://schemas.openxmlformats.org/officeDocument/2006/relationships/image" Target="media/image103.png"/><Relationship Id="rId92" Type="http://schemas.openxmlformats.org/officeDocument/2006/relationships/image" Target="media/image102.png"/><Relationship Id="rId91" Type="http://schemas.openxmlformats.org/officeDocument/2006/relationships/image" Target="media/image101.png"/><Relationship Id="rId90" Type="http://schemas.openxmlformats.org/officeDocument/2006/relationships/image" Target="media/image100.png"/><Relationship Id="rId9" Type="http://schemas.openxmlformats.org/officeDocument/2006/relationships/image" Target="media/image19.jpeg"/><Relationship Id="rId89" Type="http://schemas.openxmlformats.org/officeDocument/2006/relationships/image" Target="media/image99.png"/><Relationship Id="rId88" Type="http://schemas.openxmlformats.org/officeDocument/2006/relationships/image" Target="media/image98.png"/><Relationship Id="rId87" Type="http://schemas.openxmlformats.org/officeDocument/2006/relationships/image" Target="media/image97.png"/><Relationship Id="rId86" Type="http://schemas.openxmlformats.org/officeDocument/2006/relationships/image" Target="media/image96.png"/><Relationship Id="rId85" Type="http://schemas.openxmlformats.org/officeDocument/2006/relationships/image" Target="media/image95.png"/><Relationship Id="rId84" Type="http://schemas.openxmlformats.org/officeDocument/2006/relationships/image" Target="media/image94.png"/><Relationship Id="rId83" Type="http://schemas.openxmlformats.org/officeDocument/2006/relationships/image" Target="media/image93.png"/><Relationship Id="rId82" Type="http://schemas.openxmlformats.org/officeDocument/2006/relationships/image" Target="media/image92.png"/><Relationship Id="rId81" Type="http://schemas.openxmlformats.org/officeDocument/2006/relationships/image" Target="media/image91.png"/><Relationship Id="rId80" Type="http://schemas.openxmlformats.org/officeDocument/2006/relationships/image" Target="media/image90.png"/><Relationship Id="rId8" Type="http://schemas.openxmlformats.org/officeDocument/2006/relationships/image" Target="media/image18.jpeg"/><Relationship Id="rId79" Type="http://schemas.openxmlformats.org/officeDocument/2006/relationships/image" Target="media/image89.png"/><Relationship Id="rId78" Type="http://schemas.openxmlformats.org/officeDocument/2006/relationships/image" Target="media/image88.png"/><Relationship Id="rId77" Type="http://schemas.openxmlformats.org/officeDocument/2006/relationships/image" Target="media/image87.png"/><Relationship Id="rId76" Type="http://schemas.openxmlformats.org/officeDocument/2006/relationships/image" Target="media/image86.png"/><Relationship Id="rId75" Type="http://schemas.openxmlformats.org/officeDocument/2006/relationships/image" Target="media/image85.png"/><Relationship Id="rId74" Type="http://schemas.openxmlformats.org/officeDocument/2006/relationships/image" Target="media/image84.png"/><Relationship Id="rId73" Type="http://schemas.openxmlformats.org/officeDocument/2006/relationships/image" Target="media/image83.png"/><Relationship Id="rId72" Type="http://schemas.openxmlformats.org/officeDocument/2006/relationships/image" Target="media/image82.png"/><Relationship Id="rId71" Type="http://schemas.openxmlformats.org/officeDocument/2006/relationships/image" Target="media/image81.png"/><Relationship Id="rId70" Type="http://schemas.openxmlformats.org/officeDocument/2006/relationships/image" Target="media/image80.jpeg"/><Relationship Id="rId7" Type="http://schemas.openxmlformats.org/officeDocument/2006/relationships/image" Target="media/image17.jpeg"/><Relationship Id="rId69" Type="http://schemas.openxmlformats.org/officeDocument/2006/relationships/image" Target="media/image79.png"/><Relationship Id="rId68" Type="http://schemas.openxmlformats.org/officeDocument/2006/relationships/image" Target="media/image78.png"/><Relationship Id="rId67" Type="http://schemas.openxmlformats.org/officeDocument/2006/relationships/image" Target="media/image77.png"/><Relationship Id="rId66" Type="http://schemas.openxmlformats.org/officeDocument/2006/relationships/image" Target="media/image76.png"/><Relationship Id="rId65" Type="http://schemas.openxmlformats.org/officeDocument/2006/relationships/image" Target="media/image75.png"/><Relationship Id="rId64" Type="http://schemas.openxmlformats.org/officeDocument/2006/relationships/image" Target="media/image74.png"/><Relationship Id="rId63" Type="http://schemas.openxmlformats.org/officeDocument/2006/relationships/image" Target="media/image73.png"/><Relationship Id="rId62" Type="http://schemas.openxmlformats.org/officeDocument/2006/relationships/image" Target="media/image72.png"/><Relationship Id="rId61" Type="http://schemas.openxmlformats.org/officeDocument/2006/relationships/image" Target="media/image71.png"/><Relationship Id="rId60" Type="http://schemas.openxmlformats.org/officeDocument/2006/relationships/image" Target="media/image70.png"/><Relationship Id="rId6" Type="http://schemas.openxmlformats.org/officeDocument/2006/relationships/image" Target="media/image16.jpeg"/><Relationship Id="rId59" Type="http://schemas.openxmlformats.org/officeDocument/2006/relationships/image" Target="media/image69.png"/><Relationship Id="rId58" Type="http://schemas.openxmlformats.org/officeDocument/2006/relationships/image" Target="media/image68.png"/><Relationship Id="rId57" Type="http://schemas.openxmlformats.org/officeDocument/2006/relationships/image" Target="media/image67.png"/><Relationship Id="rId56" Type="http://schemas.openxmlformats.org/officeDocument/2006/relationships/image" Target="media/image66.png"/><Relationship Id="rId55" Type="http://schemas.openxmlformats.org/officeDocument/2006/relationships/image" Target="media/image65.png"/><Relationship Id="rId54" Type="http://schemas.openxmlformats.org/officeDocument/2006/relationships/image" Target="media/image64.png"/><Relationship Id="rId53" Type="http://schemas.openxmlformats.org/officeDocument/2006/relationships/image" Target="media/image63.png"/><Relationship Id="rId52" Type="http://schemas.openxmlformats.org/officeDocument/2006/relationships/image" Target="media/image62.png"/><Relationship Id="rId51" Type="http://schemas.openxmlformats.org/officeDocument/2006/relationships/image" Target="media/image61.png"/><Relationship Id="rId50" Type="http://schemas.openxmlformats.org/officeDocument/2006/relationships/image" Target="media/image60.png"/><Relationship Id="rId5" Type="http://schemas.openxmlformats.org/officeDocument/2006/relationships/image" Target="media/image15.jpeg"/><Relationship Id="rId49" Type="http://schemas.openxmlformats.org/officeDocument/2006/relationships/image" Target="media/image59.png"/><Relationship Id="rId48" Type="http://schemas.openxmlformats.org/officeDocument/2006/relationships/image" Target="media/image58.png"/><Relationship Id="rId47" Type="http://schemas.openxmlformats.org/officeDocument/2006/relationships/image" Target="media/image57.png"/><Relationship Id="rId46" Type="http://schemas.openxmlformats.org/officeDocument/2006/relationships/image" Target="media/image56.png"/><Relationship Id="rId45" Type="http://schemas.openxmlformats.org/officeDocument/2006/relationships/image" Target="media/image55.png"/><Relationship Id="rId44" Type="http://schemas.openxmlformats.org/officeDocument/2006/relationships/image" Target="media/image54.jpeg"/><Relationship Id="rId43" Type="http://schemas.openxmlformats.org/officeDocument/2006/relationships/image" Target="media/image53.jpeg"/><Relationship Id="rId42" Type="http://schemas.openxmlformats.org/officeDocument/2006/relationships/image" Target="media/image52.jpeg"/><Relationship Id="rId41" Type="http://schemas.openxmlformats.org/officeDocument/2006/relationships/image" Target="media/image51.jpeg"/><Relationship Id="rId40" Type="http://schemas.openxmlformats.org/officeDocument/2006/relationships/image" Target="media/image50.jpeg"/><Relationship Id="rId4" Type="http://schemas.openxmlformats.org/officeDocument/2006/relationships/image" Target="media/image14.jpeg"/><Relationship Id="rId39" Type="http://schemas.openxmlformats.org/officeDocument/2006/relationships/image" Target="media/image49.jpeg"/><Relationship Id="rId38" Type="http://schemas.openxmlformats.org/officeDocument/2006/relationships/image" Target="media/image48.jpeg"/><Relationship Id="rId37" Type="http://schemas.openxmlformats.org/officeDocument/2006/relationships/image" Target="media/image47.jpeg"/><Relationship Id="rId36" Type="http://schemas.openxmlformats.org/officeDocument/2006/relationships/image" Target="media/image46.jpeg"/><Relationship Id="rId35" Type="http://schemas.openxmlformats.org/officeDocument/2006/relationships/image" Target="media/image45.jpeg"/><Relationship Id="rId34" Type="http://schemas.openxmlformats.org/officeDocument/2006/relationships/image" Target="media/image44.jpeg"/><Relationship Id="rId33" Type="http://schemas.openxmlformats.org/officeDocument/2006/relationships/image" Target="media/image43.jpeg"/><Relationship Id="rId32" Type="http://schemas.openxmlformats.org/officeDocument/2006/relationships/image" Target="media/image42.jpeg"/><Relationship Id="rId31" Type="http://schemas.openxmlformats.org/officeDocument/2006/relationships/image" Target="media/image41.jpeg"/><Relationship Id="rId306" Type="http://schemas.openxmlformats.org/officeDocument/2006/relationships/image" Target="media/image312.png"/><Relationship Id="rId305" Type="http://schemas.openxmlformats.org/officeDocument/2006/relationships/image" Target="media/image311.jpeg"/><Relationship Id="rId304" Type="http://schemas.openxmlformats.org/officeDocument/2006/relationships/image" Target="media/image310.png"/><Relationship Id="rId303" Type="http://schemas.openxmlformats.org/officeDocument/2006/relationships/image" Target="media/image309.png"/><Relationship Id="rId302" Type="http://schemas.openxmlformats.org/officeDocument/2006/relationships/image" Target="media/image308.png"/><Relationship Id="rId301" Type="http://schemas.openxmlformats.org/officeDocument/2006/relationships/image" Target="media/image307.png"/><Relationship Id="rId300" Type="http://schemas.openxmlformats.org/officeDocument/2006/relationships/image" Target="media/image306.png"/><Relationship Id="rId30" Type="http://schemas.openxmlformats.org/officeDocument/2006/relationships/image" Target="media/image40.jpeg"/><Relationship Id="rId3" Type="http://schemas.openxmlformats.org/officeDocument/2006/relationships/image" Target="media/image13.jpeg"/><Relationship Id="rId299" Type="http://schemas.openxmlformats.org/officeDocument/2006/relationships/image" Target="media/image305.png"/><Relationship Id="rId298" Type="http://schemas.openxmlformats.org/officeDocument/2006/relationships/image" Target="media/image304.png"/><Relationship Id="rId297" Type="http://schemas.openxmlformats.org/officeDocument/2006/relationships/image" Target="media/image303.png"/><Relationship Id="rId296" Type="http://schemas.openxmlformats.org/officeDocument/2006/relationships/image" Target="media/image302.png"/><Relationship Id="rId295" Type="http://schemas.openxmlformats.org/officeDocument/2006/relationships/image" Target="media/image301.jpeg"/><Relationship Id="rId294" Type="http://schemas.openxmlformats.org/officeDocument/2006/relationships/image" Target="media/image300.png"/><Relationship Id="rId293" Type="http://schemas.openxmlformats.org/officeDocument/2006/relationships/image" Target="media/image299.png"/><Relationship Id="rId292" Type="http://schemas.openxmlformats.org/officeDocument/2006/relationships/image" Target="media/image298.png"/><Relationship Id="rId291" Type="http://schemas.openxmlformats.org/officeDocument/2006/relationships/image" Target="media/image297.png"/><Relationship Id="rId290" Type="http://schemas.openxmlformats.org/officeDocument/2006/relationships/image" Target="media/image296.png"/><Relationship Id="rId29" Type="http://schemas.openxmlformats.org/officeDocument/2006/relationships/image" Target="media/image39.jpeg"/><Relationship Id="rId289" Type="http://schemas.openxmlformats.org/officeDocument/2006/relationships/image" Target="media/image295.png"/><Relationship Id="rId288" Type="http://schemas.openxmlformats.org/officeDocument/2006/relationships/image" Target="media/image294.png"/><Relationship Id="rId287" Type="http://schemas.openxmlformats.org/officeDocument/2006/relationships/image" Target="media/image293.png"/><Relationship Id="rId286" Type="http://schemas.openxmlformats.org/officeDocument/2006/relationships/image" Target="media/image292.png"/><Relationship Id="rId285" Type="http://schemas.openxmlformats.org/officeDocument/2006/relationships/image" Target="media/image291.png"/><Relationship Id="rId284" Type="http://schemas.openxmlformats.org/officeDocument/2006/relationships/image" Target="media/image290.png"/><Relationship Id="rId283" Type="http://schemas.openxmlformats.org/officeDocument/2006/relationships/image" Target="media/image289.png"/><Relationship Id="rId282" Type="http://schemas.openxmlformats.org/officeDocument/2006/relationships/image" Target="media/image288.png"/><Relationship Id="rId281" Type="http://schemas.openxmlformats.org/officeDocument/2006/relationships/image" Target="media/image287.png"/><Relationship Id="rId280" Type="http://schemas.openxmlformats.org/officeDocument/2006/relationships/image" Target="media/image286.jpeg"/><Relationship Id="rId28" Type="http://schemas.openxmlformats.org/officeDocument/2006/relationships/image" Target="media/image38.jpeg"/><Relationship Id="rId279" Type="http://schemas.openxmlformats.org/officeDocument/2006/relationships/image" Target="media/image285.png"/><Relationship Id="rId278" Type="http://schemas.openxmlformats.org/officeDocument/2006/relationships/image" Target="media/image284.png"/><Relationship Id="rId277" Type="http://schemas.openxmlformats.org/officeDocument/2006/relationships/image" Target="media/image283.png"/><Relationship Id="rId276" Type="http://schemas.openxmlformats.org/officeDocument/2006/relationships/image" Target="media/image282.png"/><Relationship Id="rId275" Type="http://schemas.openxmlformats.org/officeDocument/2006/relationships/image" Target="media/image281.png"/><Relationship Id="rId274" Type="http://schemas.openxmlformats.org/officeDocument/2006/relationships/image" Target="media/image280.png"/><Relationship Id="rId273" Type="http://schemas.openxmlformats.org/officeDocument/2006/relationships/image" Target="media/image279.png"/><Relationship Id="rId272" Type="http://schemas.openxmlformats.org/officeDocument/2006/relationships/image" Target="media/image278.png"/><Relationship Id="rId271" Type="http://schemas.openxmlformats.org/officeDocument/2006/relationships/image" Target="media/image277.png"/><Relationship Id="rId270" Type="http://schemas.openxmlformats.org/officeDocument/2006/relationships/image" Target="media/image276.png"/><Relationship Id="rId27" Type="http://schemas.openxmlformats.org/officeDocument/2006/relationships/image" Target="media/image37.jpeg"/><Relationship Id="rId269" Type="http://schemas.openxmlformats.org/officeDocument/2006/relationships/image" Target="media/image275.png"/><Relationship Id="rId268" Type="http://schemas.openxmlformats.org/officeDocument/2006/relationships/image" Target="media/image274.png"/><Relationship Id="rId267" Type="http://schemas.openxmlformats.org/officeDocument/2006/relationships/image" Target="media/image273.png"/><Relationship Id="rId266" Type="http://schemas.openxmlformats.org/officeDocument/2006/relationships/image" Target="media/image272.png"/><Relationship Id="rId265" Type="http://schemas.openxmlformats.org/officeDocument/2006/relationships/image" Target="media/image271.png"/><Relationship Id="rId264" Type="http://schemas.openxmlformats.org/officeDocument/2006/relationships/image" Target="media/image270.jpeg"/><Relationship Id="rId263" Type="http://schemas.openxmlformats.org/officeDocument/2006/relationships/image" Target="media/image269.png"/><Relationship Id="rId262" Type="http://schemas.openxmlformats.org/officeDocument/2006/relationships/image" Target="media/image268.png"/><Relationship Id="rId261" Type="http://schemas.openxmlformats.org/officeDocument/2006/relationships/image" Target="media/image267.png"/><Relationship Id="rId260" Type="http://schemas.openxmlformats.org/officeDocument/2006/relationships/image" Target="media/image266.png"/><Relationship Id="rId26" Type="http://schemas.openxmlformats.org/officeDocument/2006/relationships/image" Target="media/image36.jpeg"/><Relationship Id="rId259" Type="http://schemas.openxmlformats.org/officeDocument/2006/relationships/image" Target="media/image265.png"/><Relationship Id="rId258" Type="http://schemas.openxmlformats.org/officeDocument/2006/relationships/image" Target="media/image264.png"/><Relationship Id="rId257" Type="http://schemas.openxmlformats.org/officeDocument/2006/relationships/image" Target="media/image263.png"/><Relationship Id="rId256" Type="http://schemas.openxmlformats.org/officeDocument/2006/relationships/image" Target="media/image262.png"/><Relationship Id="rId255" Type="http://schemas.openxmlformats.org/officeDocument/2006/relationships/image" Target="media/image261.png"/><Relationship Id="rId254" Type="http://schemas.openxmlformats.org/officeDocument/2006/relationships/image" Target="media/image260.png"/><Relationship Id="rId253" Type="http://schemas.openxmlformats.org/officeDocument/2006/relationships/image" Target="media/image259.png"/><Relationship Id="rId252" Type="http://schemas.openxmlformats.org/officeDocument/2006/relationships/image" Target="media/image258.png"/><Relationship Id="rId251" Type="http://schemas.openxmlformats.org/officeDocument/2006/relationships/image" Target="media/image257.png"/><Relationship Id="rId250" Type="http://schemas.openxmlformats.org/officeDocument/2006/relationships/image" Target="media/image256.png"/><Relationship Id="rId25" Type="http://schemas.openxmlformats.org/officeDocument/2006/relationships/image" Target="media/image35.jpeg"/><Relationship Id="rId249" Type="http://schemas.openxmlformats.org/officeDocument/2006/relationships/image" Target="media/image255.png"/><Relationship Id="rId248" Type="http://schemas.openxmlformats.org/officeDocument/2006/relationships/image" Target="media/image254.png"/><Relationship Id="rId247" Type="http://schemas.openxmlformats.org/officeDocument/2006/relationships/image" Target="media/image253.png"/><Relationship Id="rId246" Type="http://schemas.openxmlformats.org/officeDocument/2006/relationships/image" Target="media/image252.png"/><Relationship Id="rId245" Type="http://schemas.openxmlformats.org/officeDocument/2006/relationships/image" Target="media/image251.png"/><Relationship Id="rId244" Type="http://schemas.openxmlformats.org/officeDocument/2006/relationships/image" Target="media/image250.png"/><Relationship Id="rId243" Type="http://schemas.openxmlformats.org/officeDocument/2006/relationships/image" Target="media/image249.png"/><Relationship Id="rId242" Type="http://schemas.openxmlformats.org/officeDocument/2006/relationships/image" Target="media/image248.png"/><Relationship Id="rId241" Type="http://schemas.openxmlformats.org/officeDocument/2006/relationships/image" Target="media/image247.jpeg"/><Relationship Id="rId240" Type="http://schemas.openxmlformats.org/officeDocument/2006/relationships/image" Target="media/image246.png"/><Relationship Id="rId24" Type="http://schemas.openxmlformats.org/officeDocument/2006/relationships/image" Target="media/image34.jpeg"/><Relationship Id="rId239" Type="http://schemas.openxmlformats.org/officeDocument/2006/relationships/image" Target="media/image245.png"/><Relationship Id="rId238" Type="http://schemas.openxmlformats.org/officeDocument/2006/relationships/image" Target="media/image244.png"/><Relationship Id="rId237" Type="http://schemas.openxmlformats.org/officeDocument/2006/relationships/image" Target="media/image243.png"/><Relationship Id="rId236" Type="http://schemas.openxmlformats.org/officeDocument/2006/relationships/image" Target="media/image242.png"/><Relationship Id="rId235" Type="http://schemas.openxmlformats.org/officeDocument/2006/relationships/image" Target="media/image241.png"/><Relationship Id="rId234" Type="http://schemas.openxmlformats.org/officeDocument/2006/relationships/image" Target="media/image240.png"/><Relationship Id="rId233" Type="http://schemas.openxmlformats.org/officeDocument/2006/relationships/image" Target="media/image239.png"/><Relationship Id="rId232" Type="http://schemas.openxmlformats.org/officeDocument/2006/relationships/image" Target="media/image238.png"/><Relationship Id="rId231" Type="http://schemas.openxmlformats.org/officeDocument/2006/relationships/image" Target="media/image237.png"/><Relationship Id="rId230" Type="http://schemas.openxmlformats.org/officeDocument/2006/relationships/image" Target="media/image236.png"/><Relationship Id="rId23" Type="http://schemas.openxmlformats.org/officeDocument/2006/relationships/image" Target="media/image33.jpeg"/><Relationship Id="rId229" Type="http://schemas.openxmlformats.org/officeDocument/2006/relationships/image" Target="media/image235.png"/><Relationship Id="rId228" Type="http://schemas.openxmlformats.org/officeDocument/2006/relationships/image" Target="media/image234.png"/><Relationship Id="rId227" Type="http://schemas.openxmlformats.org/officeDocument/2006/relationships/image" Target="media/image233.png"/><Relationship Id="rId226" Type="http://schemas.openxmlformats.org/officeDocument/2006/relationships/image" Target="media/image232.png"/><Relationship Id="rId225" Type="http://schemas.openxmlformats.org/officeDocument/2006/relationships/image" Target="media/image231.jpeg"/><Relationship Id="rId224" Type="http://schemas.openxmlformats.org/officeDocument/2006/relationships/image" Target="media/image230.png"/><Relationship Id="rId223" Type="http://schemas.openxmlformats.org/officeDocument/2006/relationships/image" Target="media/image229.png"/><Relationship Id="rId222" Type="http://schemas.openxmlformats.org/officeDocument/2006/relationships/image" Target="media/image228.png"/><Relationship Id="rId221" Type="http://schemas.openxmlformats.org/officeDocument/2006/relationships/image" Target="media/image227.png"/><Relationship Id="rId220" Type="http://schemas.openxmlformats.org/officeDocument/2006/relationships/image" Target="media/image226.png"/><Relationship Id="rId22" Type="http://schemas.openxmlformats.org/officeDocument/2006/relationships/image" Target="media/image32.jpeg"/><Relationship Id="rId219" Type="http://schemas.openxmlformats.org/officeDocument/2006/relationships/image" Target="media/image225.png"/><Relationship Id="rId218" Type="http://schemas.openxmlformats.org/officeDocument/2006/relationships/image" Target="media/image224.png"/><Relationship Id="rId217" Type="http://schemas.openxmlformats.org/officeDocument/2006/relationships/image" Target="media/image223.png"/><Relationship Id="rId216" Type="http://schemas.openxmlformats.org/officeDocument/2006/relationships/image" Target="media/image222.png"/><Relationship Id="rId215" Type="http://schemas.openxmlformats.org/officeDocument/2006/relationships/image" Target="media/image221.png"/><Relationship Id="rId214" Type="http://schemas.openxmlformats.org/officeDocument/2006/relationships/image" Target="media/image220.png"/><Relationship Id="rId213" Type="http://schemas.openxmlformats.org/officeDocument/2006/relationships/image" Target="media/image219.png"/><Relationship Id="rId212" Type="http://schemas.openxmlformats.org/officeDocument/2006/relationships/image" Target="media/image218.png"/><Relationship Id="rId211" Type="http://schemas.openxmlformats.org/officeDocument/2006/relationships/image" Target="media/image217.png"/><Relationship Id="rId210" Type="http://schemas.openxmlformats.org/officeDocument/2006/relationships/image" Target="media/image216.jpeg"/><Relationship Id="rId21" Type="http://schemas.openxmlformats.org/officeDocument/2006/relationships/image" Target="media/image31.jpeg"/><Relationship Id="rId209" Type="http://schemas.openxmlformats.org/officeDocument/2006/relationships/image" Target="media/image215.png"/><Relationship Id="rId208" Type="http://schemas.openxmlformats.org/officeDocument/2006/relationships/image" Target="media/image214.png"/><Relationship Id="rId207" Type="http://schemas.openxmlformats.org/officeDocument/2006/relationships/image" Target="media/image213.png"/><Relationship Id="rId206" Type="http://schemas.openxmlformats.org/officeDocument/2006/relationships/image" Target="media/image6.png"/><Relationship Id="rId205" Type="http://schemas.openxmlformats.org/officeDocument/2006/relationships/image" Target="media/image5.png"/><Relationship Id="rId204" Type="http://schemas.openxmlformats.org/officeDocument/2006/relationships/image" Target="media/image4.png"/><Relationship Id="rId203" Type="http://schemas.openxmlformats.org/officeDocument/2006/relationships/image" Target="media/image7.png"/><Relationship Id="rId202" Type="http://schemas.openxmlformats.org/officeDocument/2006/relationships/image" Target="media/image212.png"/><Relationship Id="rId201" Type="http://schemas.openxmlformats.org/officeDocument/2006/relationships/image" Target="media/image211.png"/><Relationship Id="rId200" Type="http://schemas.openxmlformats.org/officeDocument/2006/relationships/image" Target="media/image210.png"/><Relationship Id="rId20" Type="http://schemas.openxmlformats.org/officeDocument/2006/relationships/image" Target="media/image30.jpeg"/><Relationship Id="rId2" Type="http://schemas.openxmlformats.org/officeDocument/2006/relationships/image" Target="media/image12.jpeg"/><Relationship Id="rId199" Type="http://schemas.openxmlformats.org/officeDocument/2006/relationships/image" Target="media/image209.png"/><Relationship Id="rId198" Type="http://schemas.openxmlformats.org/officeDocument/2006/relationships/image" Target="media/image208.png"/><Relationship Id="rId197" Type="http://schemas.openxmlformats.org/officeDocument/2006/relationships/image" Target="media/image207.png"/><Relationship Id="rId196" Type="http://schemas.openxmlformats.org/officeDocument/2006/relationships/image" Target="media/image206.png"/><Relationship Id="rId195" Type="http://schemas.openxmlformats.org/officeDocument/2006/relationships/image" Target="media/image205.png"/><Relationship Id="rId194" Type="http://schemas.openxmlformats.org/officeDocument/2006/relationships/image" Target="media/image204.png"/><Relationship Id="rId193" Type="http://schemas.openxmlformats.org/officeDocument/2006/relationships/image" Target="media/image203.png"/><Relationship Id="rId192" Type="http://schemas.openxmlformats.org/officeDocument/2006/relationships/image" Target="media/image202.png"/><Relationship Id="rId191" Type="http://schemas.openxmlformats.org/officeDocument/2006/relationships/image" Target="media/image201.png"/><Relationship Id="rId190" Type="http://schemas.openxmlformats.org/officeDocument/2006/relationships/image" Target="media/image200.png"/><Relationship Id="rId19" Type="http://schemas.openxmlformats.org/officeDocument/2006/relationships/image" Target="media/image29.jpeg"/><Relationship Id="rId189" Type="http://schemas.openxmlformats.org/officeDocument/2006/relationships/image" Target="media/image199.png"/><Relationship Id="rId188" Type="http://schemas.openxmlformats.org/officeDocument/2006/relationships/image" Target="media/image198.jpeg"/><Relationship Id="rId187" Type="http://schemas.openxmlformats.org/officeDocument/2006/relationships/image" Target="media/image197.png"/><Relationship Id="rId186" Type="http://schemas.openxmlformats.org/officeDocument/2006/relationships/image" Target="media/image196.jpeg"/><Relationship Id="rId185" Type="http://schemas.openxmlformats.org/officeDocument/2006/relationships/image" Target="media/image195.png"/><Relationship Id="rId184" Type="http://schemas.openxmlformats.org/officeDocument/2006/relationships/image" Target="media/image194.png"/><Relationship Id="rId183" Type="http://schemas.openxmlformats.org/officeDocument/2006/relationships/image" Target="media/image193.jpeg"/><Relationship Id="rId182" Type="http://schemas.openxmlformats.org/officeDocument/2006/relationships/image" Target="media/image192.png"/><Relationship Id="rId181" Type="http://schemas.openxmlformats.org/officeDocument/2006/relationships/image" Target="media/image191.png"/><Relationship Id="rId180" Type="http://schemas.openxmlformats.org/officeDocument/2006/relationships/image" Target="media/image190.jpeg"/><Relationship Id="rId18" Type="http://schemas.openxmlformats.org/officeDocument/2006/relationships/image" Target="media/image28.jpeg"/><Relationship Id="rId179" Type="http://schemas.openxmlformats.org/officeDocument/2006/relationships/image" Target="media/image189.jpeg"/><Relationship Id="rId178" Type="http://schemas.openxmlformats.org/officeDocument/2006/relationships/image" Target="media/image188.jpeg"/><Relationship Id="rId177" Type="http://schemas.openxmlformats.org/officeDocument/2006/relationships/image" Target="media/image187.jpeg"/><Relationship Id="rId176" Type="http://schemas.openxmlformats.org/officeDocument/2006/relationships/image" Target="media/image186.jpeg"/><Relationship Id="rId175" Type="http://schemas.openxmlformats.org/officeDocument/2006/relationships/image" Target="media/image185.jpeg"/><Relationship Id="rId174" Type="http://schemas.openxmlformats.org/officeDocument/2006/relationships/image" Target="media/image184.jpeg"/><Relationship Id="rId173" Type="http://schemas.openxmlformats.org/officeDocument/2006/relationships/image" Target="media/image183.jpeg"/><Relationship Id="rId172" Type="http://schemas.openxmlformats.org/officeDocument/2006/relationships/image" Target="media/image182.png"/><Relationship Id="rId171" Type="http://schemas.openxmlformats.org/officeDocument/2006/relationships/image" Target="media/image181.png"/><Relationship Id="rId170" Type="http://schemas.openxmlformats.org/officeDocument/2006/relationships/image" Target="media/image180.png"/><Relationship Id="rId17" Type="http://schemas.openxmlformats.org/officeDocument/2006/relationships/image" Target="media/image27.jpeg"/><Relationship Id="rId169" Type="http://schemas.openxmlformats.org/officeDocument/2006/relationships/image" Target="media/image179.png"/><Relationship Id="rId168" Type="http://schemas.openxmlformats.org/officeDocument/2006/relationships/image" Target="media/image178.png"/><Relationship Id="rId167" Type="http://schemas.openxmlformats.org/officeDocument/2006/relationships/image" Target="media/image177.png"/><Relationship Id="rId166" Type="http://schemas.openxmlformats.org/officeDocument/2006/relationships/image" Target="media/image176.png"/><Relationship Id="rId165" Type="http://schemas.openxmlformats.org/officeDocument/2006/relationships/image" Target="media/image175.png"/><Relationship Id="rId164" Type="http://schemas.openxmlformats.org/officeDocument/2006/relationships/image" Target="media/image174.png"/><Relationship Id="rId163" Type="http://schemas.openxmlformats.org/officeDocument/2006/relationships/image" Target="media/image173.png"/><Relationship Id="rId162" Type="http://schemas.openxmlformats.org/officeDocument/2006/relationships/image" Target="media/image172.png"/><Relationship Id="rId161" Type="http://schemas.openxmlformats.org/officeDocument/2006/relationships/image" Target="media/image171.png"/><Relationship Id="rId160" Type="http://schemas.openxmlformats.org/officeDocument/2006/relationships/image" Target="media/image170.png"/><Relationship Id="rId16" Type="http://schemas.openxmlformats.org/officeDocument/2006/relationships/image" Target="media/image26.jpeg"/><Relationship Id="rId159" Type="http://schemas.openxmlformats.org/officeDocument/2006/relationships/image" Target="media/image169.png"/><Relationship Id="rId158" Type="http://schemas.openxmlformats.org/officeDocument/2006/relationships/image" Target="media/image168.png"/><Relationship Id="rId157" Type="http://schemas.openxmlformats.org/officeDocument/2006/relationships/image" Target="media/image167.png"/><Relationship Id="rId156" Type="http://schemas.openxmlformats.org/officeDocument/2006/relationships/image" Target="media/image166.png"/><Relationship Id="rId155" Type="http://schemas.openxmlformats.org/officeDocument/2006/relationships/image" Target="media/image165.jpeg"/><Relationship Id="rId154" Type="http://schemas.openxmlformats.org/officeDocument/2006/relationships/image" Target="media/image164.png"/><Relationship Id="rId153" Type="http://schemas.openxmlformats.org/officeDocument/2006/relationships/image" Target="media/image163.png"/><Relationship Id="rId152" Type="http://schemas.openxmlformats.org/officeDocument/2006/relationships/image" Target="media/image162.png"/><Relationship Id="rId151" Type="http://schemas.openxmlformats.org/officeDocument/2006/relationships/image" Target="media/image161.png"/><Relationship Id="rId150" Type="http://schemas.openxmlformats.org/officeDocument/2006/relationships/image" Target="media/image160.png"/><Relationship Id="rId15" Type="http://schemas.openxmlformats.org/officeDocument/2006/relationships/image" Target="media/image25.jpeg"/><Relationship Id="rId149" Type="http://schemas.openxmlformats.org/officeDocument/2006/relationships/image" Target="media/image159.png"/><Relationship Id="rId148" Type="http://schemas.openxmlformats.org/officeDocument/2006/relationships/image" Target="media/image158.png"/><Relationship Id="rId147" Type="http://schemas.openxmlformats.org/officeDocument/2006/relationships/image" Target="media/image157.jpeg"/><Relationship Id="rId146" Type="http://schemas.openxmlformats.org/officeDocument/2006/relationships/image" Target="media/image156.jpeg"/><Relationship Id="rId145" Type="http://schemas.openxmlformats.org/officeDocument/2006/relationships/image" Target="media/image155.png"/><Relationship Id="rId144" Type="http://schemas.openxmlformats.org/officeDocument/2006/relationships/image" Target="media/image154.png"/><Relationship Id="rId143" Type="http://schemas.openxmlformats.org/officeDocument/2006/relationships/image" Target="media/image153.png"/><Relationship Id="rId142" Type="http://schemas.openxmlformats.org/officeDocument/2006/relationships/image" Target="media/image152.png"/><Relationship Id="rId141" Type="http://schemas.openxmlformats.org/officeDocument/2006/relationships/image" Target="media/image151.png"/><Relationship Id="rId140" Type="http://schemas.openxmlformats.org/officeDocument/2006/relationships/image" Target="media/image150.png"/><Relationship Id="rId14" Type="http://schemas.openxmlformats.org/officeDocument/2006/relationships/image" Target="media/image24.jpeg"/><Relationship Id="rId139" Type="http://schemas.openxmlformats.org/officeDocument/2006/relationships/image" Target="media/image149.png"/><Relationship Id="rId138" Type="http://schemas.openxmlformats.org/officeDocument/2006/relationships/image" Target="media/image148.png"/><Relationship Id="rId137" Type="http://schemas.openxmlformats.org/officeDocument/2006/relationships/image" Target="media/image147.png"/><Relationship Id="rId136" Type="http://schemas.openxmlformats.org/officeDocument/2006/relationships/image" Target="media/image146.png"/><Relationship Id="rId135" Type="http://schemas.openxmlformats.org/officeDocument/2006/relationships/image" Target="media/image145.png"/><Relationship Id="rId134" Type="http://schemas.openxmlformats.org/officeDocument/2006/relationships/image" Target="media/image144.png"/><Relationship Id="rId133" Type="http://schemas.openxmlformats.org/officeDocument/2006/relationships/image" Target="media/image143.png"/><Relationship Id="rId132" Type="http://schemas.openxmlformats.org/officeDocument/2006/relationships/image" Target="media/image142.jpeg"/><Relationship Id="rId131" Type="http://schemas.openxmlformats.org/officeDocument/2006/relationships/image" Target="media/image141.jpeg"/><Relationship Id="rId130" Type="http://schemas.openxmlformats.org/officeDocument/2006/relationships/image" Target="media/image140.png"/><Relationship Id="rId13" Type="http://schemas.openxmlformats.org/officeDocument/2006/relationships/image" Target="media/image23.jpeg"/><Relationship Id="rId129" Type="http://schemas.openxmlformats.org/officeDocument/2006/relationships/image" Target="media/image139.png"/><Relationship Id="rId128" Type="http://schemas.openxmlformats.org/officeDocument/2006/relationships/image" Target="media/image138.png"/><Relationship Id="rId127" Type="http://schemas.openxmlformats.org/officeDocument/2006/relationships/image" Target="media/image137.png"/><Relationship Id="rId126" Type="http://schemas.openxmlformats.org/officeDocument/2006/relationships/image" Target="media/image136.png"/><Relationship Id="rId125" Type="http://schemas.openxmlformats.org/officeDocument/2006/relationships/image" Target="media/image135.png"/><Relationship Id="rId124" Type="http://schemas.openxmlformats.org/officeDocument/2006/relationships/image" Target="media/image134.png"/><Relationship Id="rId123" Type="http://schemas.openxmlformats.org/officeDocument/2006/relationships/image" Target="media/image133.png"/><Relationship Id="rId122" Type="http://schemas.openxmlformats.org/officeDocument/2006/relationships/image" Target="media/image132.png"/><Relationship Id="rId121" Type="http://schemas.openxmlformats.org/officeDocument/2006/relationships/image" Target="media/image131.png"/><Relationship Id="rId120" Type="http://schemas.openxmlformats.org/officeDocument/2006/relationships/image" Target="media/image130.png"/><Relationship Id="rId12" Type="http://schemas.openxmlformats.org/officeDocument/2006/relationships/image" Target="media/image22.jpeg"/><Relationship Id="rId119" Type="http://schemas.openxmlformats.org/officeDocument/2006/relationships/image" Target="media/image129.png"/><Relationship Id="rId118" Type="http://schemas.openxmlformats.org/officeDocument/2006/relationships/image" Target="media/image128.png"/><Relationship Id="rId117" Type="http://schemas.openxmlformats.org/officeDocument/2006/relationships/image" Target="media/image127.png"/><Relationship Id="rId116" Type="http://schemas.openxmlformats.org/officeDocument/2006/relationships/image" Target="media/image126.png"/><Relationship Id="rId115" Type="http://schemas.openxmlformats.org/officeDocument/2006/relationships/image" Target="media/image125.png"/><Relationship Id="rId114" Type="http://schemas.openxmlformats.org/officeDocument/2006/relationships/image" Target="media/image124.png"/><Relationship Id="rId113" Type="http://schemas.openxmlformats.org/officeDocument/2006/relationships/image" Target="media/image123.png"/><Relationship Id="rId112" Type="http://schemas.openxmlformats.org/officeDocument/2006/relationships/image" Target="media/image122.png"/><Relationship Id="rId111" Type="http://schemas.openxmlformats.org/officeDocument/2006/relationships/image" Target="media/image121.png"/><Relationship Id="rId110" Type="http://schemas.openxmlformats.org/officeDocument/2006/relationships/image" Target="media/image120.png"/><Relationship Id="rId11" Type="http://schemas.openxmlformats.org/officeDocument/2006/relationships/image" Target="media/image21.jpeg"/><Relationship Id="rId109" Type="http://schemas.openxmlformats.org/officeDocument/2006/relationships/image" Target="media/image119.png"/><Relationship Id="rId108" Type="http://schemas.openxmlformats.org/officeDocument/2006/relationships/image" Target="media/image118.png"/><Relationship Id="rId107" Type="http://schemas.openxmlformats.org/officeDocument/2006/relationships/image" Target="media/image117.jpeg"/><Relationship Id="rId106" Type="http://schemas.openxmlformats.org/officeDocument/2006/relationships/image" Target="media/image116.png"/><Relationship Id="rId105" Type="http://schemas.openxmlformats.org/officeDocument/2006/relationships/image" Target="media/image115.png"/><Relationship Id="rId104" Type="http://schemas.openxmlformats.org/officeDocument/2006/relationships/image" Target="media/image114.png"/><Relationship Id="rId103" Type="http://schemas.openxmlformats.org/officeDocument/2006/relationships/image" Target="media/image113.png"/><Relationship Id="rId102" Type="http://schemas.openxmlformats.org/officeDocument/2006/relationships/image" Target="media/image112.png"/><Relationship Id="rId101" Type="http://schemas.openxmlformats.org/officeDocument/2006/relationships/image" Target="media/image111.png"/><Relationship Id="rId100" Type="http://schemas.openxmlformats.org/officeDocument/2006/relationships/image" Target="media/image110.png"/><Relationship Id="rId10" Type="http://schemas.openxmlformats.org/officeDocument/2006/relationships/image" Target="media/image20.jpeg"/><Relationship Id="rId1" Type="http://schemas.openxmlformats.org/officeDocument/2006/relationships/image" Target="media/image1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654685</xdr:colOff>
      <xdr:row>300</xdr:row>
      <xdr:rowOff>164465</xdr:rowOff>
    </xdr:from>
    <xdr:to>
      <xdr:col>2</xdr:col>
      <xdr:colOff>1282700</xdr:colOff>
      <xdr:row>301</xdr:row>
      <xdr:rowOff>591820</xdr:rowOff>
    </xdr:to>
    <xdr:pic>
      <xdr:nvPicPr>
        <xdr:cNvPr id="258" name="图片 25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2915920" y="257768090"/>
          <a:ext cx="628015" cy="63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408305</xdr:colOff>
      <xdr:row>316</xdr:row>
      <xdr:rowOff>425450</xdr:rowOff>
    </xdr:from>
    <xdr:to>
      <xdr:col>2</xdr:col>
      <xdr:colOff>1815465</xdr:colOff>
      <xdr:row>316</xdr:row>
      <xdr:rowOff>1581150</xdr:rowOff>
    </xdr:to>
    <xdr:pic>
      <xdr:nvPicPr>
        <xdr:cNvPr id="32" name="图片 4" descr="松鼠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69540" y="271617440"/>
          <a:ext cx="1407160" cy="1155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404495</xdr:colOff>
      <xdr:row>317</xdr:row>
      <xdr:rowOff>341630</xdr:rowOff>
    </xdr:from>
    <xdr:to>
      <xdr:col>2</xdr:col>
      <xdr:colOff>1861820</xdr:colOff>
      <xdr:row>317</xdr:row>
      <xdr:rowOff>1548130</xdr:rowOff>
    </xdr:to>
    <xdr:pic>
      <xdr:nvPicPr>
        <xdr:cNvPr id="37" name="图片 5" descr="猫头鹰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65730" y="273886295"/>
          <a:ext cx="1457325" cy="1206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354330</xdr:colOff>
      <xdr:row>318</xdr:row>
      <xdr:rowOff>370840</xdr:rowOff>
    </xdr:from>
    <xdr:to>
      <xdr:col>2</xdr:col>
      <xdr:colOff>1748155</xdr:colOff>
      <xdr:row>318</xdr:row>
      <xdr:rowOff>1515110</xdr:rowOff>
    </xdr:to>
    <xdr:pic>
      <xdr:nvPicPr>
        <xdr:cNvPr id="40" name="图片 6" descr="小牛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15565" y="276268180"/>
          <a:ext cx="1393825" cy="1144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454660</xdr:colOff>
      <xdr:row>319</xdr:row>
      <xdr:rowOff>372745</xdr:rowOff>
    </xdr:from>
    <xdr:to>
      <xdr:col>2</xdr:col>
      <xdr:colOff>1788795</xdr:colOff>
      <xdr:row>319</xdr:row>
      <xdr:rowOff>1466215</xdr:rowOff>
    </xdr:to>
    <xdr:pic>
      <xdr:nvPicPr>
        <xdr:cNvPr id="42" name="图片 7" descr="小象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715895" y="278622760"/>
          <a:ext cx="1334135" cy="1093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392430</xdr:colOff>
      <xdr:row>320</xdr:row>
      <xdr:rowOff>355600</xdr:rowOff>
    </xdr:from>
    <xdr:to>
      <xdr:col>2</xdr:col>
      <xdr:colOff>1915160</xdr:colOff>
      <xdr:row>320</xdr:row>
      <xdr:rowOff>1627505</xdr:rowOff>
    </xdr:to>
    <xdr:pic>
      <xdr:nvPicPr>
        <xdr:cNvPr id="43" name="图片 8" descr="灰狼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53665" y="280958290"/>
          <a:ext cx="1522730" cy="127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464185</xdr:colOff>
      <xdr:row>321</xdr:row>
      <xdr:rowOff>386080</xdr:rowOff>
    </xdr:from>
    <xdr:to>
      <xdr:col>2</xdr:col>
      <xdr:colOff>1926590</xdr:colOff>
      <xdr:row>321</xdr:row>
      <xdr:rowOff>1598930</xdr:rowOff>
    </xdr:to>
    <xdr:pic>
      <xdr:nvPicPr>
        <xdr:cNvPr id="52" name="图片 10" descr="小马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25420" y="283341445"/>
          <a:ext cx="1462405" cy="1212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522605</xdr:colOff>
      <xdr:row>411</xdr:row>
      <xdr:rowOff>0</xdr:rowOff>
    </xdr:from>
    <xdr:to>
      <xdr:col>2</xdr:col>
      <xdr:colOff>1332230</xdr:colOff>
      <xdr:row>412</xdr:row>
      <xdr:rowOff>66675</xdr:rowOff>
    </xdr:to>
    <xdr:pic>
      <xdr:nvPicPr>
        <xdr:cNvPr id="2" name="图片 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783840" y="364357920"/>
          <a:ext cx="8096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423545</xdr:colOff>
      <xdr:row>200</xdr:row>
      <xdr:rowOff>0</xdr:rowOff>
    </xdr:from>
    <xdr:to>
      <xdr:col>2</xdr:col>
      <xdr:colOff>1677035</xdr:colOff>
      <xdr:row>200</xdr:row>
      <xdr:rowOff>852805</xdr:rowOff>
    </xdr:to>
    <xdr:pic>
      <xdr:nvPicPr>
        <xdr:cNvPr id="4" name="图片 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84780" y="170367960"/>
          <a:ext cx="1253490" cy="852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128270</xdr:colOff>
      <xdr:row>181</xdr:row>
      <xdr:rowOff>0</xdr:rowOff>
    </xdr:from>
    <xdr:to>
      <xdr:col>2</xdr:col>
      <xdr:colOff>1297305</xdr:colOff>
      <xdr:row>183</xdr:row>
      <xdr:rowOff>13970</xdr:rowOff>
    </xdr:to>
    <xdr:pic>
      <xdr:nvPicPr>
        <xdr:cNvPr id="5" name="图片 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89505" y="151739600"/>
          <a:ext cx="1169035" cy="8521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25"/>
  <sheetViews>
    <sheetView tabSelected="1" zoomScale="75" zoomScaleNormal="75" workbookViewId="0">
      <selection activeCell="A1" sqref="A1:F1"/>
    </sheetView>
  </sheetViews>
  <sheetFormatPr defaultColWidth="9.64166666666667" defaultRowHeight="13.5"/>
  <cols>
    <col min="1" max="1" width="4.84166666666667" style="4" customWidth="1"/>
    <col min="2" max="2" width="24.8333333333333" style="5" customWidth="1"/>
    <col min="3" max="3" width="31.1666666666667" style="6" customWidth="1"/>
    <col min="4" max="4" width="43.1666666666667" style="5" customWidth="1"/>
    <col min="5" max="6" width="16" style="4" customWidth="1"/>
    <col min="7" max="16384" width="9.64166666666667" style="1"/>
  </cols>
  <sheetData>
    <row r="1" ht="31.5" spans="1:6">
      <c r="A1" s="7" t="s">
        <v>0</v>
      </c>
      <c r="B1" s="8"/>
      <c r="C1" s="9"/>
      <c r="D1" s="8"/>
      <c r="E1" s="7"/>
      <c r="F1" s="7"/>
    </row>
    <row r="2" ht="16.5" spans="1:6">
      <c r="A2" s="10" t="s">
        <v>1</v>
      </c>
      <c r="B2" s="11" t="s">
        <v>2</v>
      </c>
      <c r="C2" s="12" t="s">
        <v>3</v>
      </c>
      <c r="D2" s="12" t="s">
        <v>4</v>
      </c>
      <c r="E2" s="10" t="s">
        <v>5</v>
      </c>
      <c r="F2" s="10" t="s">
        <v>6</v>
      </c>
    </row>
    <row r="3" ht="15" spans="1:6">
      <c r="A3" s="13" t="s">
        <v>7</v>
      </c>
      <c r="B3" s="14"/>
      <c r="C3" s="15"/>
      <c r="D3" s="14"/>
      <c r="E3" s="13"/>
      <c r="F3" s="13"/>
    </row>
    <row r="4" ht="77" customHeight="1" spans="1:6">
      <c r="A4" s="12">
        <v>1</v>
      </c>
      <c r="B4" s="16" t="s">
        <v>8</v>
      </c>
      <c r="C4" s="17" t="str">
        <f>_xlfn.DISPIMG("ID_4EB851A8BC3F4859992B8E3C588F053C",1)</f>
        <v>=DISPIMG("ID_4EB851A8BC3F4859992B8E3C588F053C",1)</v>
      </c>
      <c r="D4" s="18" t="s">
        <v>9</v>
      </c>
      <c r="E4" s="19" t="s">
        <v>10</v>
      </c>
      <c r="F4" s="20">
        <v>13</v>
      </c>
    </row>
    <row r="5" ht="65" customHeight="1" spans="1:6">
      <c r="A5" s="12">
        <v>2</v>
      </c>
      <c r="B5" s="16" t="s">
        <v>11</v>
      </c>
      <c r="C5" s="17" t="str">
        <f>_xlfn.DISPIMG("ID_52392886A6C7413997AD4830E254A94D",1)</f>
        <v>=DISPIMG("ID_52392886A6C7413997AD4830E254A94D",1)</v>
      </c>
      <c r="D5" s="18" t="s">
        <v>12</v>
      </c>
      <c r="E5" s="19" t="s">
        <v>13</v>
      </c>
      <c r="F5" s="20">
        <v>1</v>
      </c>
    </row>
    <row r="6" ht="71" customHeight="1" spans="1:6">
      <c r="A6" s="12">
        <v>3</v>
      </c>
      <c r="B6" s="16" t="s">
        <v>14</v>
      </c>
      <c r="C6" s="17" t="str">
        <f>_xlfn.DISPIMG("ID_B7B6D89F38114819B5B67797CEFF332B",1)</f>
        <v>=DISPIMG("ID_B7B6D89F38114819B5B67797CEFF332B",1)</v>
      </c>
      <c r="D6" s="18" t="s">
        <v>15</v>
      </c>
      <c r="E6" s="19" t="s">
        <v>16</v>
      </c>
      <c r="F6" s="20">
        <v>1</v>
      </c>
    </row>
    <row r="7" ht="89" customHeight="1" spans="1:6">
      <c r="A7" s="12">
        <v>4</v>
      </c>
      <c r="B7" s="16" t="s">
        <v>17</v>
      </c>
      <c r="C7" s="17" t="str">
        <f>_xlfn.DISPIMG("ID_60B6949D8E1549D8B1FF0C9830248F04",1)</f>
        <v>=DISPIMG("ID_60B6949D8E1549D8B1FF0C9830248F04",1)</v>
      </c>
      <c r="D7" s="18" t="s">
        <v>18</v>
      </c>
      <c r="E7" s="19" t="s">
        <v>16</v>
      </c>
      <c r="F7" s="20">
        <v>1</v>
      </c>
    </row>
    <row r="8" ht="69" customHeight="1" spans="1:6">
      <c r="A8" s="12">
        <v>5</v>
      </c>
      <c r="B8" s="16" t="s">
        <v>19</v>
      </c>
      <c r="C8" s="17" t="str">
        <f>_xlfn.DISPIMG("ID_D627DEA5EDD74B97B10E0EA885CDDE08",1)</f>
        <v>=DISPIMG("ID_D627DEA5EDD74B97B10E0EA885CDDE08",1)</v>
      </c>
      <c r="D8" s="18" t="s">
        <v>20</v>
      </c>
      <c r="E8" s="19" t="s">
        <v>21</v>
      </c>
      <c r="F8" s="20">
        <v>1</v>
      </c>
    </row>
    <row r="9" ht="68.3" spans="1:6">
      <c r="A9" s="12">
        <v>6</v>
      </c>
      <c r="B9" s="16" t="s">
        <v>22</v>
      </c>
      <c r="C9" s="17" t="str">
        <f>_xlfn.DISPIMG("ID_F05AD583834E432887DF957443C1CE87",1)</f>
        <v>=DISPIMG("ID_F05AD583834E432887DF957443C1CE87",1)</v>
      </c>
      <c r="D9" s="18" t="s">
        <v>23</v>
      </c>
      <c r="E9" s="19" t="s">
        <v>13</v>
      </c>
      <c r="F9" s="20">
        <v>1</v>
      </c>
    </row>
    <row r="10" ht="70.75" spans="1:6">
      <c r="A10" s="12">
        <v>7</v>
      </c>
      <c r="B10" s="16" t="s">
        <v>24</v>
      </c>
      <c r="C10" s="17" t="str">
        <f>_xlfn.DISPIMG("ID_A742190FBCCA44C3896D02EC7C1D881D",1)</f>
        <v>=DISPIMG("ID_A742190FBCCA44C3896D02EC7C1D881D",1)</v>
      </c>
      <c r="D10" s="18" t="s">
        <v>25</v>
      </c>
      <c r="E10" s="19" t="s">
        <v>13</v>
      </c>
      <c r="F10" s="20">
        <v>1</v>
      </c>
    </row>
    <row r="11" ht="75.45" spans="1:6">
      <c r="A11" s="12">
        <v>8</v>
      </c>
      <c r="B11" s="16" t="s">
        <v>24</v>
      </c>
      <c r="C11" s="17" t="str">
        <f>_xlfn.DISPIMG("ID_58E7A236DD6142AE8C33153AFF76D7C2",1)</f>
        <v>=DISPIMG("ID_58E7A236DD6142AE8C33153AFF76D7C2",1)</v>
      </c>
      <c r="D11" s="18" t="s">
        <v>26</v>
      </c>
      <c r="E11" s="19" t="s">
        <v>13</v>
      </c>
      <c r="F11" s="20">
        <v>1</v>
      </c>
    </row>
    <row r="12" ht="66" spans="1:6">
      <c r="A12" s="12">
        <v>9</v>
      </c>
      <c r="B12" s="16" t="s">
        <v>27</v>
      </c>
      <c r="C12" s="17" t="str">
        <f>_xlfn.DISPIMG("ID_191D084DE96B4168BA86C3C18D49E0BD",1)</f>
        <v>=DISPIMG("ID_191D084DE96B4168BA86C3C18D49E0BD",1)</v>
      </c>
      <c r="D12" s="18" t="s">
        <v>28</v>
      </c>
      <c r="E12" s="19" t="s">
        <v>21</v>
      </c>
      <c r="F12" s="20">
        <v>2</v>
      </c>
    </row>
    <row r="13" ht="33" spans="1:6">
      <c r="A13" s="12">
        <v>10</v>
      </c>
      <c r="B13" s="16" t="s">
        <v>29</v>
      </c>
      <c r="C13" s="17"/>
      <c r="D13" s="18" t="s">
        <v>30</v>
      </c>
      <c r="E13" s="19" t="s">
        <v>31</v>
      </c>
      <c r="F13" s="20">
        <v>2.1</v>
      </c>
    </row>
    <row r="14" ht="77.2" spans="1:6">
      <c r="A14" s="12">
        <v>11</v>
      </c>
      <c r="B14" s="16" t="s">
        <v>32</v>
      </c>
      <c r="C14" s="17" t="str">
        <f>_xlfn.DISPIMG("ID_D668869D2F484CAE8E7E302E717ABCF1",1)</f>
        <v>=DISPIMG("ID_D668869D2F484CAE8E7E302E717ABCF1",1)</v>
      </c>
      <c r="D14" s="18" t="s">
        <v>33</v>
      </c>
      <c r="E14" s="19" t="s">
        <v>34</v>
      </c>
      <c r="F14" s="20">
        <v>1</v>
      </c>
    </row>
    <row r="15" ht="33" spans="1:6">
      <c r="A15" s="12">
        <v>12</v>
      </c>
      <c r="B15" s="16" t="s">
        <v>35</v>
      </c>
      <c r="C15" s="17"/>
      <c r="D15" s="18" t="s">
        <v>36</v>
      </c>
      <c r="E15" s="19" t="s">
        <v>34</v>
      </c>
      <c r="F15" s="20">
        <v>1</v>
      </c>
    </row>
    <row r="16" ht="64.15" spans="1:6">
      <c r="A16" s="21">
        <v>13</v>
      </c>
      <c r="B16" s="18" t="s">
        <v>37</v>
      </c>
      <c r="C16" s="22" t="str">
        <f>_xlfn.DISPIMG("ID_8DAB4642A1F94CD98F4C06DD7AC74B31",1)</f>
        <v>=DISPIMG("ID_8DAB4642A1F94CD98F4C06DD7AC74B31",1)</v>
      </c>
      <c r="D16" s="18" t="s">
        <v>38</v>
      </c>
      <c r="E16" s="23" t="s">
        <v>34</v>
      </c>
      <c r="F16" s="24">
        <v>1</v>
      </c>
    </row>
    <row r="17" ht="33" spans="1:6">
      <c r="A17" s="21">
        <v>14</v>
      </c>
      <c r="B17" s="18" t="s">
        <v>39</v>
      </c>
      <c r="C17" s="22"/>
      <c r="D17" s="18" t="s">
        <v>40</v>
      </c>
      <c r="E17" s="23" t="s">
        <v>34</v>
      </c>
      <c r="F17" s="24">
        <v>1</v>
      </c>
    </row>
    <row r="18" ht="16.5" spans="1:6">
      <c r="A18" s="21"/>
      <c r="B18" s="18"/>
      <c r="C18" s="22"/>
      <c r="D18" s="18"/>
      <c r="E18" s="23"/>
      <c r="F18" s="25"/>
    </row>
    <row r="19" ht="15" spans="1:6">
      <c r="A19" s="26" t="s">
        <v>41</v>
      </c>
      <c r="B19" s="27"/>
      <c r="C19" s="28"/>
      <c r="D19" s="27"/>
      <c r="E19" s="26"/>
      <c r="F19" s="26"/>
    </row>
    <row r="20" ht="61.3" spans="1:6">
      <c r="A20" s="21">
        <v>1</v>
      </c>
      <c r="B20" s="18" t="s">
        <v>42</v>
      </c>
      <c r="C20" s="22" t="str">
        <f>_xlfn.DISPIMG("ID_6833BDF88A3D46B88BBB345C21D7185B",1)</f>
        <v>=DISPIMG("ID_6833BDF88A3D46B88BBB345C21D7185B",1)</v>
      </c>
      <c r="D20" s="18" t="s">
        <v>43</v>
      </c>
      <c r="E20" s="23" t="s">
        <v>34</v>
      </c>
      <c r="F20" s="24">
        <v>1</v>
      </c>
    </row>
    <row r="21" ht="49.5" spans="1:6">
      <c r="A21" s="21">
        <v>2</v>
      </c>
      <c r="B21" s="18" t="s">
        <v>44</v>
      </c>
      <c r="C21" s="22"/>
      <c r="D21" s="18" t="s">
        <v>45</v>
      </c>
      <c r="E21" s="23" t="s">
        <v>34</v>
      </c>
      <c r="F21" s="24">
        <v>1</v>
      </c>
    </row>
    <row r="22" ht="50.5" spans="1:6">
      <c r="A22" s="21">
        <v>3</v>
      </c>
      <c r="B22" s="18" t="s">
        <v>46</v>
      </c>
      <c r="C22" s="22" t="str">
        <f>_xlfn.DISPIMG("ID_DE3C18A51342425F961ED90737A3C655",1)</f>
        <v>=DISPIMG("ID_DE3C18A51342425F961ED90737A3C655",1)</v>
      </c>
      <c r="D22" s="18" t="s">
        <v>47</v>
      </c>
      <c r="E22" s="23" t="s">
        <v>31</v>
      </c>
      <c r="F22" s="25">
        <v>45.25</v>
      </c>
    </row>
    <row r="23" ht="57" spans="1:6">
      <c r="A23" s="21">
        <v>4</v>
      </c>
      <c r="B23" s="29" t="s">
        <v>48</v>
      </c>
      <c r="C23" s="29" t="str">
        <f>_xlfn.DISPIMG("ID_C7EBC17A07044AA5BBE932D6B1E2C377",1)</f>
        <v>=DISPIMG("ID_C7EBC17A07044AA5BBE932D6B1E2C377",1)</v>
      </c>
      <c r="D23" s="29" t="s">
        <v>49</v>
      </c>
      <c r="E23" s="24" t="s">
        <v>21</v>
      </c>
      <c r="F23" s="24">
        <v>1</v>
      </c>
    </row>
    <row r="24" ht="42.75" spans="1:6">
      <c r="A24" s="12">
        <v>5</v>
      </c>
      <c r="B24" s="30" t="s">
        <v>50</v>
      </c>
      <c r="C24" s="30" t="str">
        <f>_xlfn.DISPIMG("ID_587AEC2B25A24D3CBB86066892952D26",1)</f>
        <v>=DISPIMG("ID_587AEC2B25A24D3CBB86066892952D26",1)</v>
      </c>
      <c r="D24" s="30" t="s">
        <v>51</v>
      </c>
      <c r="E24" s="19" t="s">
        <v>34</v>
      </c>
      <c r="F24" s="20">
        <v>1</v>
      </c>
    </row>
    <row r="25" ht="66.05" spans="1:6">
      <c r="A25" s="12">
        <v>6</v>
      </c>
      <c r="B25" s="30" t="s">
        <v>52</v>
      </c>
      <c r="C25" s="30" t="str">
        <f>_xlfn.DISPIMG("ID_ACA1979E4025437C897E5AEE3FC84FEF",1)</f>
        <v>=DISPIMG("ID_ACA1979E4025437C897E5AEE3FC84FEF",1)</v>
      </c>
      <c r="D25" s="30" t="s">
        <v>53</v>
      </c>
      <c r="E25" s="20" t="s">
        <v>21</v>
      </c>
      <c r="F25" s="20">
        <v>1</v>
      </c>
    </row>
    <row r="26" ht="57" spans="1:6">
      <c r="A26" s="12">
        <v>7</v>
      </c>
      <c r="B26" s="30" t="s">
        <v>54</v>
      </c>
      <c r="C26" s="17" t="str">
        <f>_xlfn.DISPIMG("ID_E65AD0DC0DE2464EA3CD5B60DCA14187",1)</f>
        <v>=DISPIMG("ID_E65AD0DC0DE2464EA3CD5B60DCA14187",1)</v>
      </c>
      <c r="D26" s="30" t="s">
        <v>55</v>
      </c>
      <c r="E26" s="20" t="s">
        <v>21</v>
      </c>
      <c r="F26" s="20">
        <v>1</v>
      </c>
    </row>
    <row r="27" ht="57" spans="1:6">
      <c r="A27" s="12">
        <v>8</v>
      </c>
      <c r="B27" s="30" t="s">
        <v>56</v>
      </c>
      <c r="C27" s="17" t="str">
        <f>_xlfn.DISPIMG("ID_88DDBF72A69C4B2BBCA44DA25DBFD07A",1)</f>
        <v>=DISPIMG("ID_88DDBF72A69C4B2BBCA44DA25DBFD07A",1)</v>
      </c>
      <c r="D27" s="30" t="s">
        <v>57</v>
      </c>
      <c r="E27" s="20" t="s">
        <v>21</v>
      </c>
      <c r="F27" s="20">
        <v>1</v>
      </c>
    </row>
    <row r="28" ht="78.95" spans="1:6">
      <c r="A28" s="12">
        <v>9</v>
      </c>
      <c r="B28" s="16" t="s">
        <v>58</v>
      </c>
      <c r="C28" s="17" t="str">
        <f>_xlfn.DISPIMG("ID_4AB4F29B7A314ECEAB8C5A6BB6D1BA70",1)</f>
        <v>=DISPIMG("ID_4AB4F29B7A314ECEAB8C5A6BB6D1BA70",1)</v>
      </c>
      <c r="D28" s="18" t="s">
        <v>59</v>
      </c>
      <c r="E28" s="19" t="s">
        <v>16</v>
      </c>
      <c r="F28" s="20">
        <v>1</v>
      </c>
    </row>
    <row r="29" ht="69.15" spans="1:6">
      <c r="A29" s="12">
        <v>10</v>
      </c>
      <c r="B29" s="16" t="s">
        <v>60</v>
      </c>
      <c r="C29" s="17" t="str">
        <f>_xlfn.DISPIMG("ID_EB5936F30D624F679C47CA01A29C15FA",1)</f>
        <v>=DISPIMG("ID_EB5936F30D624F679C47CA01A29C15FA",1)</v>
      </c>
      <c r="D29" s="18" t="s">
        <v>61</v>
      </c>
      <c r="E29" s="19" t="s">
        <v>16</v>
      </c>
      <c r="F29" s="20">
        <v>1</v>
      </c>
    </row>
    <row r="30" ht="47.1" spans="1:6">
      <c r="A30" s="12">
        <v>11</v>
      </c>
      <c r="B30" s="16" t="s">
        <v>62</v>
      </c>
      <c r="C30" s="17" t="str">
        <f>_xlfn.DISPIMG("ID_42E30CD81A994FFEB5479306CB03FEC5",1)</f>
        <v>=DISPIMG("ID_42E30CD81A994FFEB5479306CB03FEC5",1)</v>
      </c>
      <c r="D30" s="18" t="s">
        <v>63</v>
      </c>
      <c r="E30" s="19" t="s">
        <v>64</v>
      </c>
      <c r="F30" s="20">
        <v>1</v>
      </c>
    </row>
    <row r="31" ht="58.65" spans="1:6">
      <c r="A31" s="12">
        <v>12</v>
      </c>
      <c r="B31" s="16" t="s">
        <v>65</v>
      </c>
      <c r="C31" s="17" t="str">
        <f>_xlfn.DISPIMG("ID_0A0CD43AA7344729BC409AB645558095",1)</f>
        <v>=DISPIMG("ID_0A0CD43AA7344729BC409AB645558095",1)</v>
      </c>
      <c r="D31" s="18" t="s">
        <v>66</v>
      </c>
      <c r="E31" s="19" t="s">
        <v>16</v>
      </c>
      <c r="F31" s="20">
        <v>1</v>
      </c>
    </row>
    <row r="32" ht="67" spans="1:6">
      <c r="A32" s="12">
        <v>13</v>
      </c>
      <c r="B32" s="16" t="s">
        <v>67</v>
      </c>
      <c r="C32" s="17" t="str">
        <f>_xlfn.DISPIMG("ID_AAFF81E81B8B4346A0022B6CEF1DF045",1)</f>
        <v>=DISPIMG("ID_AAFF81E81B8B4346A0022B6CEF1DF045",1)</v>
      </c>
      <c r="D32" s="18" t="s">
        <v>68</v>
      </c>
      <c r="E32" s="19" t="s">
        <v>16</v>
      </c>
      <c r="F32" s="20">
        <v>1</v>
      </c>
    </row>
    <row r="33" ht="70.85" spans="1:6">
      <c r="A33" s="12">
        <v>14</v>
      </c>
      <c r="B33" s="16" t="s">
        <v>69</v>
      </c>
      <c r="C33" s="17" t="str">
        <f>_xlfn.DISPIMG("ID_BCF5B815132B47F4913265F774311BEC",1)</f>
        <v>=DISPIMG("ID_BCF5B815132B47F4913265F774311BEC",1)</v>
      </c>
      <c r="D33" s="18" t="s">
        <v>70</v>
      </c>
      <c r="E33" s="19" t="s">
        <v>16</v>
      </c>
      <c r="F33" s="20">
        <v>1</v>
      </c>
    </row>
    <row r="34" ht="61.9" spans="1:6">
      <c r="A34" s="12">
        <v>15</v>
      </c>
      <c r="B34" s="16" t="s">
        <v>71</v>
      </c>
      <c r="C34" s="17" t="str">
        <f>_xlfn.DISPIMG("ID_7B21DCF0D5F646808ACEE8386AE1A182",1)</f>
        <v>=DISPIMG("ID_7B21DCF0D5F646808ACEE8386AE1A182",1)</v>
      </c>
      <c r="D34" s="18" t="s">
        <v>72</v>
      </c>
      <c r="E34" s="19" t="s">
        <v>16</v>
      </c>
      <c r="F34" s="20">
        <v>1</v>
      </c>
    </row>
    <row r="35" ht="60.15" spans="1:6">
      <c r="A35" s="12">
        <v>16</v>
      </c>
      <c r="B35" s="16" t="s">
        <v>73</v>
      </c>
      <c r="C35" s="17" t="str">
        <f>_xlfn.DISPIMG("ID_229A23344FC145AE88762A48220B7DDA",1)</f>
        <v>=DISPIMG("ID_229A23344FC145AE88762A48220B7DDA",1)</v>
      </c>
      <c r="D35" s="18" t="s">
        <v>74</v>
      </c>
      <c r="E35" s="19" t="s">
        <v>16</v>
      </c>
      <c r="F35" s="20">
        <v>1</v>
      </c>
    </row>
    <row r="36" ht="77.1" spans="1:6">
      <c r="A36" s="12">
        <v>17</v>
      </c>
      <c r="B36" s="16" t="s">
        <v>75</v>
      </c>
      <c r="C36" s="17" t="str">
        <f>_xlfn.DISPIMG("ID_B087C04C2B3E4F0DB75B95746B395FCF",1)</f>
        <v>=DISPIMG("ID_B087C04C2B3E4F0DB75B95746B395FCF",1)</v>
      </c>
      <c r="D36" s="18" t="s">
        <v>76</v>
      </c>
      <c r="E36" s="19" t="s">
        <v>16</v>
      </c>
      <c r="F36" s="20">
        <v>1</v>
      </c>
    </row>
    <row r="37" ht="64.3" spans="1:6">
      <c r="A37" s="12">
        <v>18</v>
      </c>
      <c r="B37" s="16" t="s">
        <v>77</v>
      </c>
      <c r="C37" s="17" t="str">
        <f>_xlfn.DISPIMG("ID_EA9FF88B843B402B8501C5F4F3697374",1)</f>
        <v>=DISPIMG("ID_EA9FF88B843B402B8501C5F4F3697374",1)</v>
      </c>
      <c r="D37" s="18" t="s">
        <v>78</v>
      </c>
      <c r="E37" s="19" t="s">
        <v>16</v>
      </c>
      <c r="F37" s="20">
        <v>1</v>
      </c>
    </row>
    <row r="38" ht="49.5" spans="1:6">
      <c r="A38" s="12">
        <v>19</v>
      </c>
      <c r="B38" s="16" t="s">
        <v>79</v>
      </c>
      <c r="C38" s="17" t="str">
        <f>_xlfn.DISPIMG("ID_9489F025F4B844E693951F895371C025",1)</f>
        <v>=DISPIMG("ID_9489F025F4B844E693951F895371C025",1)</v>
      </c>
      <c r="D38" s="18" t="s">
        <v>80</v>
      </c>
      <c r="E38" s="19" t="s">
        <v>16</v>
      </c>
      <c r="F38" s="20">
        <v>1</v>
      </c>
    </row>
    <row r="39" ht="16.5" spans="1:6">
      <c r="A39" s="12">
        <v>20</v>
      </c>
      <c r="B39" s="16" t="s">
        <v>81</v>
      </c>
      <c r="C39" s="17"/>
      <c r="D39" s="16" t="s">
        <v>82</v>
      </c>
      <c r="E39" s="31" t="s">
        <v>83</v>
      </c>
      <c r="F39" s="20">
        <v>6</v>
      </c>
    </row>
    <row r="40" ht="59.85" spans="1:6">
      <c r="A40" s="12">
        <v>21</v>
      </c>
      <c r="B40" s="16" t="s">
        <v>84</v>
      </c>
      <c r="C40" s="17" t="str">
        <f>_xlfn.DISPIMG("ID_3C20DD3F7C8A4693B18E3CEEDA6F3D73",1)</f>
        <v>=DISPIMG("ID_3C20DD3F7C8A4693B18E3CEEDA6F3D73",1)</v>
      </c>
      <c r="D40" s="18" t="s">
        <v>85</v>
      </c>
      <c r="E40" s="19" t="s">
        <v>86</v>
      </c>
      <c r="F40" s="20">
        <v>1</v>
      </c>
    </row>
    <row r="41" ht="54.5" spans="1:6">
      <c r="A41" s="12">
        <v>22</v>
      </c>
      <c r="B41" s="30" t="s">
        <v>87</v>
      </c>
      <c r="C41" s="17" t="str">
        <f>_xlfn.DISPIMG("ID_62DD360D2ED4457B9E6CD3847816F32B",1)</f>
        <v>=DISPIMG("ID_62DD360D2ED4457B9E6CD3847816F32B",1)</v>
      </c>
      <c r="D41" s="18" t="s">
        <v>88</v>
      </c>
      <c r="E41" s="21" t="s">
        <v>16</v>
      </c>
      <c r="F41" s="20">
        <v>1</v>
      </c>
    </row>
    <row r="42" ht="63.2" spans="1:6">
      <c r="A42" s="12">
        <v>23</v>
      </c>
      <c r="B42" s="30" t="s">
        <v>89</v>
      </c>
      <c r="C42" s="17" t="str">
        <f>_xlfn.DISPIMG("ID_242ED00631F44C65B83160DB497A00D7",1)</f>
        <v>=DISPIMG("ID_242ED00631F44C65B83160DB497A00D7",1)</v>
      </c>
      <c r="D42" s="18" t="s">
        <v>90</v>
      </c>
      <c r="E42" s="21" t="s">
        <v>16</v>
      </c>
      <c r="F42" s="20">
        <v>1</v>
      </c>
    </row>
    <row r="43" ht="33" spans="1:6">
      <c r="A43" s="12">
        <v>24</v>
      </c>
      <c r="B43" s="30" t="s">
        <v>91</v>
      </c>
      <c r="C43" s="17"/>
      <c r="D43" s="18" t="s">
        <v>92</v>
      </c>
      <c r="E43" s="21" t="s">
        <v>21</v>
      </c>
      <c r="F43" s="20">
        <v>2</v>
      </c>
    </row>
    <row r="44" ht="49.5" spans="1:6">
      <c r="A44" s="12">
        <v>25</v>
      </c>
      <c r="B44" s="16" t="s">
        <v>93</v>
      </c>
      <c r="C44" s="17" t="str">
        <f>_xlfn.DISPIMG("ID_1E39B65986C140378F8E1744CDC14DF1",1)</f>
        <v>=DISPIMG("ID_1E39B65986C140378F8E1744CDC14DF1",1)</v>
      </c>
      <c r="D44" s="18" t="s">
        <v>94</v>
      </c>
      <c r="E44" s="19" t="s">
        <v>21</v>
      </c>
      <c r="F44" s="20">
        <v>1</v>
      </c>
    </row>
    <row r="45" ht="61" spans="1:6">
      <c r="A45" s="12">
        <v>26</v>
      </c>
      <c r="B45" s="16" t="s">
        <v>95</v>
      </c>
      <c r="C45" s="17" t="str">
        <f>_xlfn.DISPIMG("ID_027D42BDFA0A407F952A7A76B1597C4E",1)</f>
        <v>=DISPIMG("ID_027D42BDFA0A407F952A7A76B1597C4E",1)</v>
      </c>
      <c r="D45" s="18" t="s">
        <v>96</v>
      </c>
      <c r="E45" s="19" t="s">
        <v>21</v>
      </c>
      <c r="F45" s="20">
        <v>1</v>
      </c>
    </row>
    <row r="46" ht="43.1" spans="1:6">
      <c r="A46" s="12">
        <v>27</v>
      </c>
      <c r="B46" s="16" t="s">
        <v>97</v>
      </c>
      <c r="C46" s="17" t="str">
        <f>_xlfn.DISPIMG("ID_CC6AAE2F2D254E0B92A66CE63415C682",1)</f>
        <v>=DISPIMG("ID_CC6AAE2F2D254E0B92A66CE63415C682",1)</v>
      </c>
      <c r="D46" s="18" t="s">
        <v>98</v>
      </c>
      <c r="E46" s="19" t="s">
        <v>34</v>
      </c>
      <c r="F46" s="20">
        <v>1</v>
      </c>
    </row>
    <row r="47" ht="77.85" spans="1:6">
      <c r="A47" s="12">
        <v>28</v>
      </c>
      <c r="B47" s="16" t="s">
        <v>99</v>
      </c>
      <c r="C47" s="17" t="str">
        <f>_xlfn.DISPIMG("ID_F517C647950D43A796D0B68A45E70BC4",1)</f>
        <v>=DISPIMG("ID_F517C647950D43A796D0B68A45E70BC4",1)</v>
      </c>
      <c r="D47" s="18" t="s">
        <v>100</v>
      </c>
      <c r="E47" s="19" t="s">
        <v>16</v>
      </c>
      <c r="F47" s="20">
        <v>8</v>
      </c>
    </row>
    <row r="48" s="1" customFormat="1" ht="112.85" spans="1:6">
      <c r="A48" s="12">
        <v>29</v>
      </c>
      <c r="B48" s="16" t="s">
        <v>101</v>
      </c>
      <c r="C48" s="17" t="str">
        <f>_xlfn.DISPIMG("ID_666592E04E1A45D5915471CD80ACDEAF",1)</f>
        <v>=DISPIMG("ID_666592E04E1A45D5915471CD80ACDEAF",1)</v>
      </c>
      <c r="D48" s="18" t="s">
        <v>102</v>
      </c>
      <c r="E48" s="19" t="s">
        <v>13</v>
      </c>
      <c r="F48" s="20">
        <v>4</v>
      </c>
    </row>
    <row r="49" ht="16.5" spans="1:6">
      <c r="A49" s="12"/>
      <c r="B49" s="16"/>
      <c r="C49" s="17"/>
      <c r="D49" s="18"/>
      <c r="E49" s="19"/>
      <c r="F49" s="31"/>
    </row>
    <row r="50" ht="15" spans="1:6">
      <c r="A50" s="13" t="s">
        <v>103</v>
      </c>
      <c r="B50" s="14"/>
      <c r="C50" s="15"/>
      <c r="D50" s="14"/>
      <c r="E50" s="13"/>
      <c r="F50" s="13"/>
    </row>
    <row r="51" ht="73.7" spans="1:6">
      <c r="A51" s="12">
        <v>1</v>
      </c>
      <c r="B51" s="16" t="s">
        <v>104</v>
      </c>
      <c r="C51" s="17" t="str">
        <f>_xlfn.DISPIMG("ID_18A2762EB8334B3996C45EC91A1CB7A8",1)</f>
        <v>=DISPIMG("ID_18A2762EB8334B3996C45EC91A1CB7A8",1)</v>
      </c>
      <c r="D51" s="18" t="s">
        <v>105</v>
      </c>
      <c r="E51" s="19" t="s">
        <v>106</v>
      </c>
      <c r="F51" s="31">
        <v>9.1175</v>
      </c>
    </row>
    <row r="52" ht="136.35" spans="1:12">
      <c r="A52" s="12">
        <v>2</v>
      </c>
      <c r="B52" s="16" t="s">
        <v>107</v>
      </c>
      <c r="C52" s="17" t="str">
        <f>_xlfn.DISPIMG("ID_F713186453B2441CAA561C19BD4D26B6",1)</f>
        <v>=DISPIMG("ID_F713186453B2441CAA561C19BD4D26B6",1)</v>
      </c>
      <c r="D52" s="18" t="s">
        <v>108</v>
      </c>
      <c r="E52" s="19" t="s">
        <v>21</v>
      </c>
      <c r="F52" s="20">
        <v>1</v>
      </c>
      <c r="L52" s="1" t="s">
        <v>109</v>
      </c>
    </row>
    <row r="53" ht="103.45" spans="1:6">
      <c r="A53" s="12">
        <v>3</v>
      </c>
      <c r="B53" s="16" t="s">
        <v>110</v>
      </c>
      <c r="C53" s="17" t="str">
        <f>_xlfn.DISPIMG("ID_BF3AA17B2DDB4D8CBB9F8AE8F78F9C51",1)</f>
        <v>=DISPIMG("ID_BF3AA17B2DDB4D8CBB9F8AE8F78F9C51",1)</v>
      </c>
      <c r="D53" s="18" t="s">
        <v>111</v>
      </c>
      <c r="E53" s="19" t="s">
        <v>112</v>
      </c>
      <c r="F53" s="20">
        <v>5</v>
      </c>
    </row>
    <row r="54" ht="79.15" spans="1:6">
      <c r="A54" s="12">
        <v>4</v>
      </c>
      <c r="B54" s="16" t="s">
        <v>113</v>
      </c>
      <c r="C54" s="17" t="str">
        <f>_xlfn.DISPIMG("ID_45759B52E20E4A3D9458D7433C22CBDB",1)</f>
        <v>=DISPIMG("ID_45759B52E20E4A3D9458D7433C22CBDB",1)</v>
      </c>
      <c r="D54" s="18" t="s">
        <v>114</v>
      </c>
      <c r="E54" s="19" t="s">
        <v>21</v>
      </c>
      <c r="F54" s="20">
        <v>1</v>
      </c>
    </row>
    <row r="55" ht="244.85" spans="1:6">
      <c r="A55" s="12">
        <v>5</v>
      </c>
      <c r="B55" s="16" t="s">
        <v>115</v>
      </c>
      <c r="C55" s="17" t="str">
        <f t="shared" ref="C53:C55" si="0">_xlfn.DISPIMG("ID_133D21E73F3A4E55AA8C67106D2C2D17",1)</f>
        <v>=DISPIMG("ID_133D21E73F3A4E55AA8C67106D2C2D17",1)</v>
      </c>
      <c r="D55" s="18" t="s">
        <v>116</v>
      </c>
      <c r="E55" s="19" t="s">
        <v>21</v>
      </c>
      <c r="F55" s="20">
        <v>1</v>
      </c>
    </row>
    <row r="56" ht="110" spans="1:6">
      <c r="A56" s="12">
        <v>6</v>
      </c>
      <c r="B56" s="16" t="s">
        <v>117</v>
      </c>
      <c r="C56" s="17" t="str">
        <f t="shared" ref="C56:C59" si="1">_xlfn.DISPIMG("ID_A9DFE38BA5E64C328799E4ACE1B7A3EC",1)</f>
        <v>=DISPIMG("ID_A9DFE38BA5E64C328799E4ACE1B7A3EC",1)</v>
      </c>
      <c r="D56" s="18" t="s">
        <v>118</v>
      </c>
      <c r="E56" s="19" t="s">
        <v>21</v>
      </c>
      <c r="F56" s="20">
        <v>1</v>
      </c>
    </row>
    <row r="57" ht="148.5" spans="1:6">
      <c r="A57" s="12">
        <v>7</v>
      </c>
      <c r="B57" s="16" t="s">
        <v>115</v>
      </c>
      <c r="C57" s="17" t="str">
        <f t="shared" si="1"/>
        <v>=DISPIMG("ID_A9DFE38BA5E64C328799E4ACE1B7A3EC",1)</v>
      </c>
      <c r="D57" s="18" t="s">
        <v>119</v>
      </c>
      <c r="E57" s="19" t="s">
        <v>34</v>
      </c>
      <c r="F57" s="20">
        <v>1</v>
      </c>
    </row>
    <row r="58" ht="110" spans="1:6">
      <c r="A58" s="12">
        <v>8</v>
      </c>
      <c r="B58" s="16" t="s">
        <v>110</v>
      </c>
      <c r="C58" s="17" t="str">
        <f t="shared" si="1"/>
        <v>=DISPIMG("ID_A9DFE38BA5E64C328799E4ACE1B7A3EC",1)</v>
      </c>
      <c r="D58" s="18" t="s">
        <v>120</v>
      </c>
      <c r="E58" s="19" t="s">
        <v>112</v>
      </c>
      <c r="F58" s="20">
        <v>10</v>
      </c>
    </row>
    <row r="59" ht="110" spans="1:6">
      <c r="A59" s="12">
        <v>9</v>
      </c>
      <c r="B59" s="16" t="s">
        <v>121</v>
      </c>
      <c r="C59" s="17" t="str">
        <f t="shared" si="1"/>
        <v>=DISPIMG("ID_A9DFE38BA5E64C328799E4ACE1B7A3EC",1)</v>
      </c>
      <c r="D59" s="18" t="s">
        <v>122</v>
      </c>
      <c r="E59" s="19" t="s">
        <v>21</v>
      </c>
      <c r="F59" s="20">
        <v>1</v>
      </c>
    </row>
    <row r="60" ht="99" spans="1:6">
      <c r="A60" s="12">
        <v>10</v>
      </c>
      <c r="B60" s="16" t="s">
        <v>123</v>
      </c>
      <c r="C60" s="17" t="str">
        <f>_xlfn.DISPIMG("ID_ADF0BE637C4F4F1CADBE8560370FC12F",1)</f>
        <v>=DISPIMG("ID_ADF0BE637C4F4F1CADBE8560370FC12F",1)</v>
      </c>
      <c r="D60" s="18" t="s">
        <v>124</v>
      </c>
      <c r="E60" s="19" t="s">
        <v>21</v>
      </c>
      <c r="F60" s="20">
        <v>1</v>
      </c>
    </row>
    <row r="61" ht="50.05" spans="1:6">
      <c r="A61" s="12">
        <v>11</v>
      </c>
      <c r="B61" s="16" t="s">
        <v>125</v>
      </c>
      <c r="C61" s="17" t="str">
        <f>_xlfn.DISPIMG("ID_A075B9BF33864D1385AB8C7BB85EFA49",1)</f>
        <v>=DISPIMG("ID_A075B9BF33864D1385AB8C7BB85EFA49",1)</v>
      </c>
      <c r="D61" s="18" t="s">
        <v>126</v>
      </c>
      <c r="E61" s="19" t="s">
        <v>16</v>
      </c>
      <c r="F61" s="20">
        <v>1</v>
      </c>
    </row>
    <row r="62" ht="60.65" spans="1:6">
      <c r="A62" s="12">
        <v>12</v>
      </c>
      <c r="B62" s="16" t="s">
        <v>127</v>
      </c>
      <c r="C62" s="17" t="str">
        <f>_xlfn.DISPIMG("ID_0200F4D15A3140DF98223451196E4293",1)</f>
        <v>=DISPIMG("ID_0200F4D15A3140DF98223451196E4293",1)</v>
      </c>
      <c r="D62" s="18" t="s">
        <v>128</v>
      </c>
      <c r="E62" s="19" t="s">
        <v>21</v>
      </c>
      <c r="F62" s="20">
        <v>1</v>
      </c>
    </row>
    <row r="63" ht="49.5" spans="1:6">
      <c r="A63" s="12">
        <v>13</v>
      </c>
      <c r="B63" s="16" t="s">
        <v>129</v>
      </c>
      <c r="C63" s="17" t="str">
        <f>_xlfn.DISPIMG("ID_C32B6BDDBBAC45758CDD5EB1D57B6C46",1)</f>
        <v>=DISPIMG("ID_C32B6BDDBBAC45758CDD5EB1D57B6C46",1)</v>
      </c>
      <c r="D63" s="18" t="s">
        <v>130</v>
      </c>
      <c r="E63" s="19" t="s">
        <v>21</v>
      </c>
      <c r="F63" s="20">
        <v>1</v>
      </c>
    </row>
    <row r="64" ht="77.05" spans="1:6">
      <c r="A64" s="12">
        <v>14</v>
      </c>
      <c r="B64" s="16" t="s">
        <v>131</v>
      </c>
      <c r="C64" s="17" t="str">
        <f>_xlfn.DISPIMG("ID_39687FDDD6FE42DA8679F23582FC4EDC",1)</f>
        <v>=DISPIMG("ID_39687FDDD6FE42DA8679F23582FC4EDC",1)</v>
      </c>
      <c r="D64" s="18" t="s">
        <v>132</v>
      </c>
      <c r="E64" s="19" t="s">
        <v>106</v>
      </c>
      <c r="F64" s="31">
        <v>18.602</v>
      </c>
    </row>
    <row r="65" ht="60" spans="1:6">
      <c r="A65" s="12">
        <v>15</v>
      </c>
      <c r="B65" s="16" t="s">
        <v>133</v>
      </c>
      <c r="C65" s="19" t="str">
        <f>_xlfn.DISPIMG("ID_E96CFC9715FB49C5A984E40CF2A04E1A",1)</f>
        <v>=DISPIMG("ID_E96CFC9715FB49C5A984E40CF2A04E1A",1)</v>
      </c>
      <c r="D65" s="18" t="s">
        <v>134</v>
      </c>
      <c r="E65" s="19" t="s">
        <v>31</v>
      </c>
      <c r="F65" s="31">
        <f>10.15*2.8</f>
        <v>28.42</v>
      </c>
    </row>
    <row r="66" ht="76.75" spans="1:6">
      <c r="A66" s="12">
        <v>16</v>
      </c>
      <c r="B66" s="16" t="s">
        <v>133</v>
      </c>
      <c r="C66" s="17" t="str">
        <f>_xlfn.DISPIMG("ID_CA49B9EE0453482C82A6BE3B62BE6248",1)</f>
        <v>=DISPIMG("ID_CA49B9EE0453482C82A6BE3B62BE6248",1)</v>
      </c>
      <c r="D66" s="18" t="s">
        <v>135</v>
      </c>
      <c r="E66" s="19" t="s">
        <v>31</v>
      </c>
      <c r="F66" s="31">
        <f>3.2*2.8</f>
        <v>8.96</v>
      </c>
    </row>
    <row r="67" ht="76" spans="1:6">
      <c r="A67" s="12">
        <v>17</v>
      </c>
      <c r="B67" s="16" t="s">
        <v>133</v>
      </c>
      <c r="C67" s="17" t="str">
        <f>_xlfn.DISPIMG("ID_F55AD1B4D9D843F698F974F785A17B31",1)</f>
        <v>=DISPIMG("ID_F55AD1B4D9D843F698F974F785A17B31",1)</v>
      </c>
      <c r="D67" s="18" t="s">
        <v>136</v>
      </c>
      <c r="E67" s="19" t="s">
        <v>31</v>
      </c>
      <c r="F67" s="31">
        <v>1.7088</v>
      </c>
    </row>
    <row r="68" ht="78.35" spans="1:6">
      <c r="A68" s="12">
        <v>18</v>
      </c>
      <c r="B68" s="16" t="s">
        <v>133</v>
      </c>
      <c r="C68" s="17" t="str">
        <f>_xlfn.DISPIMG("ID_EEFCE6D33AAF45708E2E9B3F002D0641",1)</f>
        <v>=DISPIMG("ID_EEFCE6D33AAF45708E2E9B3F002D0641",1)</v>
      </c>
      <c r="D68" s="18" t="s">
        <v>137</v>
      </c>
      <c r="E68" s="19" t="s">
        <v>31</v>
      </c>
      <c r="F68" s="31">
        <v>3.8308</v>
      </c>
    </row>
    <row r="69" ht="33" spans="1:6">
      <c r="A69" s="12">
        <v>19</v>
      </c>
      <c r="B69" s="16" t="s">
        <v>133</v>
      </c>
      <c r="C69" s="19" t="str">
        <f>_xlfn.DISPIMG("ID_4A04E32F7ABE43849E381DF5C2033BE8",1)</f>
        <v>=DISPIMG("ID_4A04E32F7ABE43849E381DF5C2033BE8",1)</v>
      </c>
      <c r="D69" s="18" t="s">
        <v>138</v>
      </c>
      <c r="E69" s="19" t="s">
        <v>31</v>
      </c>
      <c r="F69" s="31">
        <v>4.48</v>
      </c>
    </row>
    <row r="70" ht="16.5" spans="1:6">
      <c r="A70" s="12">
        <v>20</v>
      </c>
      <c r="B70" s="16"/>
      <c r="C70" s="19"/>
      <c r="D70" s="18" t="s">
        <v>139</v>
      </c>
      <c r="E70" s="19" t="s">
        <v>31</v>
      </c>
      <c r="F70" s="31">
        <v>0.93</v>
      </c>
    </row>
    <row r="71" ht="82.5" spans="1:6">
      <c r="A71" s="12">
        <v>21</v>
      </c>
      <c r="B71" s="32" t="s">
        <v>140</v>
      </c>
      <c r="C71" s="19" t="str">
        <f>_xlfn.DISPIMG("ID_E82D2F8D37F6407A8DF321D194804373",1)</f>
        <v>=DISPIMG("ID_E82D2F8D37F6407A8DF321D194804373",1)</v>
      </c>
      <c r="D71" s="16" t="s">
        <v>141</v>
      </c>
      <c r="E71" s="19" t="s">
        <v>142</v>
      </c>
      <c r="F71" s="19">
        <v>30</v>
      </c>
    </row>
    <row r="72" ht="198.75" spans="1:6">
      <c r="A72" s="12">
        <v>22</v>
      </c>
      <c r="B72" s="32" t="s">
        <v>143</v>
      </c>
      <c r="C72" s="19" t="str">
        <f>_xlfn.DISPIMG("ID_7D013B9D96AA44DDA83DEF6F7F788F1C",1)</f>
        <v>=DISPIMG("ID_7D013B9D96AA44DDA83DEF6F7F788F1C",1)</v>
      </c>
      <c r="D72" s="16" t="s">
        <v>144</v>
      </c>
      <c r="E72" s="19" t="s">
        <v>145</v>
      </c>
      <c r="F72" s="19">
        <v>10</v>
      </c>
    </row>
    <row r="73" ht="188" customHeight="1" spans="1:6">
      <c r="A73" s="12">
        <v>23</v>
      </c>
      <c r="B73" s="32" t="s">
        <v>115</v>
      </c>
      <c r="C73" s="19" t="str">
        <f>_xlfn.DISPIMG("ID_08D40A66C00A4D41A3E6D52870763CB1",1)</f>
        <v>=DISPIMG("ID_08D40A66C00A4D41A3E6D52870763CB1",1)</v>
      </c>
      <c r="D73" s="16" t="s">
        <v>146</v>
      </c>
      <c r="E73" s="19" t="s">
        <v>21</v>
      </c>
      <c r="F73" s="19">
        <v>1</v>
      </c>
    </row>
    <row r="74" ht="83.95" spans="1:6">
      <c r="A74" s="12">
        <v>24</v>
      </c>
      <c r="B74" s="32" t="s">
        <v>147</v>
      </c>
      <c r="C74" s="19" t="str">
        <f>_xlfn.DISPIMG("ID_6E4C54C99C2749858E20B60EA150EE51",1)</f>
        <v>=DISPIMG("ID_6E4C54C99C2749858E20B60EA150EE51",1)</v>
      </c>
      <c r="D74" s="16" t="s">
        <v>148</v>
      </c>
      <c r="E74" s="19" t="s">
        <v>21</v>
      </c>
      <c r="F74" s="19">
        <v>1</v>
      </c>
    </row>
    <row r="75" ht="56.45" spans="1:6">
      <c r="A75" s="12">
        <v>25</v>
      </c>
      <c r="B75" s="32" t="s">
        <v>149</v>
      </c>
      <c r="C75" s="19" t="str">
        <f>_xlfn.DISPIMG("ID_C0ABEF5252BC4E089B38C5F9F0A085F3",1)</f>
        <v>=DISPIMG("ID_C0ABEF5252BC4E089B38C5F9F0A085F3",1)</v>
      </c>
      <c r="D75" s="16" t="s">
        <v>150</v>
      </c>
      <c r="E75" s="19" t="s">
        <v>16</v>
      </c>
      <c r="F75" s="19">
        <v>1</v>
      </c>
    </row>
    <row r="76" ht="49.5" spans="1:6">
      <c r="A76" s="12">
        <v>26</v>
      </c>
      <c r="B76" s="32" t="s">
        <v>151</v>
      </c>
      <c r="C76" s="19" t="str">
        <f>_xlfn.DISPIMG("ID_019E1C2C84A645D8B78654C9DFFC993B",1)</f>
        <v>=DISPIMG("ID_019E1C2C84A645D8B78654C9DFFC993B",1)</v>
      </c>
      <c r="D76" s="16" t="s">
        <v>152</v>
      </c>
      <c r="E76" s="19" t="s">
        <v>16</v>
      </c>
      <c r="F76" s="19">
        <v>1</v>
      </c>
    </row>
    <row r="77" ht="49.5" spans="1:6">
      <c r="A77" s="12">
        <v>27</v>
      </c>
      <c r="B77" s="32" t="s">
        <v>153</v>
      </c>
      <c r="C77" s="19" t="str">
        <f>_xlfn.DISPIMG("ID_2637ADE82AB144569F7A02D96966DC7C",1)</f>
        <v>=DISPIMG("ID_2637ADE82AB144569F7A02D96966DC7C",1)</v>
      </c>
      <c r="D77" s="16" t="s">
        <v>154</v>
      </c>
      <c r="E77" s="19" t="s">
        <v>16</v>
      </c>
      <c r="F77" s="19">
        <v>1</v>
      </c>
    </row>
    <row r="78" ht="55.8" spans="1:6">
      <c r="A78" s="12">
        <v>28</v>
      </c>
      <c r="B78" s="32" t="s">
        <v>155</v>
      </c>
      <c r="C78" s="19" t="str">
        <f>_xlfn.DISPIMG("ID_BF4E5DF7A90B4404A48B7BC9C4DB3348",1)</f>
        <v>=DISPIMG("ID_BF4E5DF7A90B4404A48B7BC9C4DB3348",1)</v>
      </c>
      <c r="D78" s="16" t="s">
        <v>156</v>
      </c>
      <c r="E78" s="19" t="s">
        <v>16</v>
      </c>
      <c r="F78" s="19">
        <v>1</v>
      </c>
    </row>
    <row r="79" ht="64.4" spans="1:6">
      <c r="A79" s="12">
        <v>29</v>
      </c>
      <c r="B79" s="32" t="s">
        <v>157</v>
      </c>
      <c r="C79" s="19" t="str">
        <f>_xlfn.DISPIMG("ID_FA36E112A87E47E2B5CFFDB69890573D",1)</f>
        <v>=DISPIMG("ID_FA36E112A87E47E2B5CFFDB69890573D",1)</v>
      </c>
      <c r="D79" s="16" t="s">
        <v>158</v>
      </c>
      <c r="E79" s="19" t="s">
        <v>16</v>
      </c>
      <c r="F79" s="19">
        <v>1</v>
      </c>
    </row>
    <row r="80" ht="59.75" spans="1:6">
      <c r="A80" s="12">
        <v>30</v>
      </c>
      <c r="B80" s="32" t="s">
        <v>159</v>
      </c>
      <c r="C80" s="19" t="str">
        <f>_xlfn.DISPIMG("ID_DF14F36F90CF45A2AA9DAB7C8E59D2A6",1)</f>
        <v>=DISPIMG("ID_DF14F36F90CF45A2AA9DAB7C8E59D2A6",1)</v>
      </c>
      <c r="D80" s="16" t="s">
        <v>160</v>
      </c>
      <c r="E80" s="19" t="s">
        <v>16</v>
      </c>
      <c r="F80" s="19">
        <v>1</v>
      </c>
    </row>
    <row r="81" ht="165" spans="1:6">
      <c r="A81" s="12">
        <v>31</v>
      </c>
      <c r="B81" s="32" t="s">
        <v>161</v>
      </c>
      <c r="C81" s="19" t="str">
        <f>_xlfn.DISPIMG("ID_27FAB35F0AF54C04B4912B6CD756EE9E",1)</f>
        <v>=DISPIMG("ID_27FAB35F0AF54C04B4912B6CD756EE9E",1)</v>
      </c>
      <c r="D81" s="16" t="s">
        <v>162</v>
      </c>
      <c r="E81" s="19" t="s">
        <v>16</v>
      </c>
      <c r="F81" s="19">
        <v>7</v>
      </c>
    </row>
    <row r="82" ht="200.85" spans="1:6">
      <c r="A82" s="12">
        <v>32</v>
      </c>
      <c r="B82" s="32" t="s">
        <v>163</v>
      </c>
      <c r="C82" s="19" t="str">
        <f>_xlfn.DISPIMG("ID_55A3E0C2A64446318F282E21B24FB165",1)</f>
        <v>=DISPIMG("ID_55A3E0C2A64446318F282E21B24FB165",1)</v>
      </c>
      <c r="D82" s="16" t="s">
        <v>164</v>
      </c>
      <c r="E82" s="19" t="s">
        <v>21</v>
      </c>
      <c r="F82" s="19">
        <v>1</v>
      </c>
    </row>
    <row r="83" ht="131.85" spans="1:6">
      <c r="A83" s="12">
        <v>33</v>
      </c>
      <c r="B83" s="32" t="s">
        <v>165</v>
      </c>
      <c r="C83" s="19" t="str">
        <f>_xlfn.DISPIMG("ID_0A565D38C38A4114A2930ABC29D49A89",1)</f>
        <v>=DISPIMG("ID_0A565D38C38A4114A2930ABC29D49A89",1)</v>
      </c>
      <c r="D83" s="16" t="s">
        <v>166</v>
      </c>
      <c r="E83" s="19" t="s">
        <v>167</v>
      </c>
      <c r="F83" s="19">
        <v>1</v>
      </c>
    </row>
    <row r="84" ht="146.65" spans="1:6">
      <c r="A84" s="12">
        <v>34</v>
      </c>
      <c r="B84" s="32" t="s">
        <v>168</v>
      </c>
      <c r="C84" s="19" t="str">
        <f>_xlfn.DISPIMG("ID_BDA0934BC2314FD2A22E5C2AF290F25F",1)</f>
        <v>=DISPIMG("ID_BDA0934BC2314FD2A22E5C2AF290F25F",1)</v>
      </c>
      <c r="D84" s="16" t="s">
        <v>169</v>
      </c>
      <c r="E84" s="19" t="s">
        <v>13</v>
      </c>
      <c r="F84" s="19">
        <v>1</v>
      </c>
    </row>
    <row r="85" ht="181.5" spans="1:6">
      <c r="A85" s="12">
        <v>35</v>
      </c>
      <c r="B85" s="32" t="s">
        <v>121</v>
      </c>
      <c r="C85" s="19" t="str">
        <f>_xlfn.DISPIMG("ID_6B73062A90A04F7683F334FA3199A821",1)</f>
        <v>=DISPIMG("ID_6B73062A90A04F7683F334FA3199A821",1)</v>
      </c>
      <c r="D85" s="16" t="s">
        <v>170</v>
      </c>
      <c r="E85" s="19" t="s">
        <v>21</v>
      </c>
      <c r="F85" s="19">
        <v>1</v>
      </c>
    </row>
    <row r="86" ht="363" spans="1:6">
      <c r="A86" s="12">
        <v>36</v>
      </c>
      <c r="B86" s="32" t="s">
        <v>171</v>
      </c>
      <c r="C86" s="19" t="str">
        <f>_xlfn.DISPIMG("ID_F173C3CE323645F294F2ABB53B4090A2",1)</f>
        <v>=DISPIMG("ID_F173C3CE323645F294F2ABB53B4090A2",1)</v>
      </c>
      <c r="D86" s="16" t="s">
        <v>172</v>
      </c>
      <c r="E86" s="19" t="s">
        <v>173</v>
      </c>
      <c r="F86" s="19">
        <v>1</v>
      </c>
    </row>
    <row r="87" ht="409.5" spans="1:6">
      <c r="A87" s="12">
        <v>37</v>
      </c>
      <c r="B87" s="16" t="s">
        <v>174</v>
      </c>
      <c r="C87" s="17" t="str">
        <f>_xlfn.DISPIMG("ID_5F456A03284C4C8D9CD1F7C8CF3CF995",1)</f>
        <v>=DISPIMG("ID_5F456A03284C4C8D9CD1F7C8CF3CF995",1)</v>
      </c>
      <c r="D87" s="18" t="s">
        <v>175</v>
      </c>
      <c r="E87" s="19" t="s">
        <v>16</v>
      </c>
      <c r="F87" s="19">
        <v>1</v>
      </c>
    </row>
    <row r="88" ht="231" spans="1:6">
      <c r="A88" s="12">
        <v>38</v>
      </c>
      <c r="B88" s="16" t="s">
        <v>176</v>
      </c>
      <c r="C88" s="17" t="str">
        <f>_xlfn.DISPIMG("ID_6BA07FBC5AB54B0F8015ACAB439424FC",1)</f>
        <v>=DISPIMG("ID_6BA07FBC5AB54B0F8015ACAB439424FC",1)</v>
      </c>
      <c r="D88" s="18" t="s">
        <v>177</v>
      </c>
      <c r="E88" s="19" t="s">
        <v>16</v>
      </c>
      <c r="F88" s="19">
        <v>1</v>
      </c>
    </row>
    <row r="89" ht="231" spans="1:6">
      <c r="A89" s="12">
        <v>39</v>
      </c>
      <c r="B89" s="16" t="s">
        <v>178</v>
      </c>
      <c r="C89" s="17" t="str">
        <f>_xlfn.DISPIMG("ID_6BEB1831E57D41D79806995A42939C85",1)</f>
        <v>=DISPIMG("ID_6BEB1831E57D41D79806995A42939C85",1)</v>
      </c>
      <c r="D89" s="18" t="s">
        <v>179</v>
      </c>
      <c r="E89" s="19" t="s">
        <v>16</v>
      </c>
      <c r="F89" s="19">
        <v>1</v>
      </c>
    </row>
    <row r="90" ht="231" spans="1:6">
      <c r="A90" s="12">
        <v>40</v>
      </c>
      <c r="B90" s="16" t="s">
        <v>180</v>
      </c>
      <c r="C90" s="17" t="str">
        <f>_xlfn.DISPIMG("ID_19A15B10ADDE4FA5BE54636C664EE7C7",1)</f>
        <v>=DISPIMG("ID_19A15B10ADDE4FA5BE54636C664EE7C7",1)</v>
      </c>
      <c r="D90" s="18" t="s">
        <v>181</v>
      </c>
      <c r="E90" s="19" t="s">
        <v>16</v>
      </c>
      <c r="F90" s="19">
        <v>1</v>
      </c>
    </row>
    <row r="91" ht="42.05" spans="1:6">
      <c r="A91" s="12">
        <v>41</v>
      </c>
      <c r="B91" s="16" t="s">
        <v>182</v>
      </c>
      <c r="C91" s="17" t="str">
        <f>_xlfn.DISPIMG("ID_7BA13DE9780147FE87180FCA38FB047C",1)</f>
        <v>=DISPIMG("ID_7BA13DE9780147FE87180FCA38FB047C",1)</v>
      </c>
      <c r="D91" s="18" t="s">
        <v>183</v>
      </c>
      <c r="E91" s="19" t="s">
        <v>173</v>
      </c>
      <c r="F91" s="19">
        <v>1</v>
      </c>
    </row>
    <row r="92" ht="49.5" spans="1:6">
      <c r="A92" s="12">
        <v>42</v>
      </c>
      <c r="B92" s="16" t="s">
        <v>184</v>
      </c>
      <c r="C92" s="17" t="str">
        <f>_xlfn.DISPIMG("ID_2DF4A42F8A074EB7985D4279369316A0",1)</f>
        <v>=DISPIMG("ID_2DF4A42F8A074EB7985D4279369316A0",1)</v>
      </c>
      <c r="D92" s="18" t="s">
        <v>185</v>
      </c>
      <c r="E92" s="19" t="s">
        <v>34</v>
      </c>
      <c r="F92" s="19">
        <v>1</v>
      </c>
    </row>
    <row r="93" ht="37.2" spans="1:6">
      <c r="A93" s="12">
        <v>43</v>
      </c>
      <c r="B93" s="16" t="s">
        <v>186</v>
      </c>
      <c r="C93" s="17" t="str">
        <f>_xlfn.DISPIMG("ID_779FC1FEBEDA4C02A50266BE1FE32B89",1)</f>
        <v>=DISPIMG("ID_779FC1FEBEDA4C02A50266BE1FE32B89",1)</v>
      </c>
      <c r="D93" s="18" t="s">
        <v>187</v>
      </c>
      <c r="E93" s="19" t="s">
        <v>34</v>
      </c>
      <c r="F93" s="19">
        <v>1</v>
      </c>
    </row>
    <row r="94" ht="16.5" spans="1:6">
      <c r="A94" s="12">
        <v>44</v>
      </c>
      <c r="B94" s="16" t="s">
        <v>188</v>
      </c>
      <c r="C94" s="17"/>
      <c r="D94" s="18" t="s">
        <v>189</v>
      </c>
      <c r="E94" s="19" t="s">
        <v>190</v>
      </c>
      <c r="F94" s="19">
        <v>22</v>
      </c>
    </row>
    <row r="95" ht="16.5" spans="1:6">
      <c r="A95" s="12">
        <v>45</v>
      </c>
      <c r="B95" s="16" t="s">
        <v>191</v>
      </c>
      <c r="C95" s="17"/>
      <c r="D95" s="18" t="s">
        <v>192</v>
      </c>
      <c r="E95" s="19" t="s">
        <v>34</v>
      </c>
      <c r="F95" s="19">
        <v>1</v>
      </c>
    </row>
    <row r="96" ht="16.5" spans="1:6">
      <c r="A96" s="12">
        <v>46</v>
      </c>
      <c r="B96" s="16" t="s">
        <v>193</v>
      </c>
      <c r="C96" s="17"/>
      <c r="D96" s="18" t="s">
        <v>194</v>
      </c>
      <c r="E96" s="19" t="s">
        <v>16</v>
      </c>
      <c r="F96" s="19">
        <v>4</v>
      </c>
    </row>
    <row r="97" s="1" customFormat="1" ht="35" customHeight="1" spans="1:6">
      <c r="A97" s="12">
        <v>47</v>
      </c>
      <c r="B97" s="18" t="s">
        <v>195</v>
      </c>
      <c r="C97" s="22"/>
      <c r="D97" s="18"/>
      <c r="E97" s="23" t="s">
        <v>16</v>
      </c>
      <c r="F97" s="23">
        <v>1</v>
      </c>
    </row>
    <row r="98" ht="16.5" spans="1:6">
      <c r="A98" s="12"/>
      <c r="B98" s="16"/>
      <c r="C98" s="17"/>
      <c r="D98" s="18"/>
      <c r="E98" s="19"/>
      <c r="F98" s="31"/>
    </row>
    <row r="99" ht="15" spans="1:6">
      <c r="A99" s="13" t="s">
        <v>196</v>
      </c>
      <c r="B99" s="14"/>
      <c r="C99" s="15"/>
      <c r="D99" s="14"/>
      <c r="E99" s="13"/>
      <c r="F99" s="13"/>
    </row>
    <row r="100" ht="63.25" spans="1:6">
      <c r="A100" s="12">
        <v>1</v>
      </c>
      <c r="B100" s="16" t="s">
        <v>197</v>
      </c>
      <c r="C100" s="17" t="str">
        <f>_xlfn.DISPIMG("ID_600AC25785EB460A90D85A7C45A4C63E",1)</f>
        <v>=DISPIMG("ID_600AC25785EB460A90D85A7C45A4C63E",1)</v>
      </c>
      <c r="D100" s="18" t="s">
        <v>198</v>
      </c>
      <c r="E100" s="19" t="s">
        <v>13</v>
      </c>
      <c r="F100" s="19">
        <v>12</v>
      </c>
    </row>
    <row r="101" ht="78.75" spans="1:6">
      <c r="A101" s="12">
        <v>2</v>
      </c>
      <c r="B101" s="16" t="s">
        <v>199</v>
      </c>
      <c r="C101" s="17" t="str">
        <f>_xlfn.DISPIMG("ID_C48CC4A23B4B408198F4F74A563D54EC",1)</f>
        <v>=DISPIMG("ID_C48CC4A23B4B408198F4F74A563D54EC",1)</v>
      </c>
      <c r="D101" s="18" t="s">
        <v>200</v>
      </c>
      <c r="E101" s="19" t="s">
        <v>13</v>
      </c>
      <c r="F101" s="19">
        <v>12</v>
      </c>
    </row>
    <row r="102" ht="76.25" spans="1:6">
      <c r="A102" s="12">
        <v>3</v>
      </c>
      <c r="B102" s="16" t="s">
        <v>201</v>
      </c>
      <c r="C102" s="17" t="str">
        <f>_xlfn.DISPIMG("ID_4FCF159042724B1CAB37AE11E4793283",1)</f>
        <v>=DISPIMG("ID_4FCF159042724B1CAB37AE11E4793283",1)</v>
      </c>
      <c r="D102" s="18" t="s">
        <v>202</v>
      </c>
      <c r="E102" s="19" t="s">
        <v>13</v>
      </c>
      <c r="F102" s="19">
        <v>12</v>
      </c>
    </row>
    <row r="103" ht="73.5" spans="1:6">
      <c r="A103" s="12">
        <v>4</v>
      </c>
      <c r="B103" s="16" t="s">
        <v>203</v>
      </c>
      <c r="C103" s="17" t="str">
        <f>_xlfn.DISPIMG("ID_555353D8B99F43CF90CD9B1A18D90B1C",1)</f>
        <v>=DISPIMG("ID_555353D8B99F43CF90CD9B1A18D90B1C",1)</v>
      </c>
      <c r="D103" s="18" t="s">
        <v>204</v>
      </c>
      <c r="E103" s="19" t="s">
        <v>13</v>
      </c>
      <c r="F103" s="19">
        <v>12</v>
      </c>
    </row>
    <row r="104" ht="59.25" spans="1:6">
      <c r="A104" s="12">
        <v>5</v>
      </c>
      <c r="B104" s="16" t="s">
        <v>205</v>
      </c>
      <c r="C104" s="17" t="str">
        <f>_xlfn.DISPIMG("ID_93CE83C6B1CD42EF91CC8A1557ABA18B",1)</f>
        <v>=DISPIMG("ID_93CE83C6B1CD42EF91CC8A1557ABA18B",1)</v>
      </c>
      <c r="D104" s="18" t="s">
        <v>206</v>
      </c>
      <c r="E104" s="19" t="s">
        <v>13</v>
      </c>
      <c r="F104" s="19">
        <v>12</v>
      </c>
    </row>
    <row r="105" ht="74.25" spans="1:6">
      <c r="A105" s="12">
        <v>6</v>
      </c>
      <c r="B105" s="16" t="s">
        <v>207</v>
      </c>
      <c r="C105" s="17" t="str">
        <f>_xlfn.DISPIMG("ID_0BE042503BDE4D5AB8A6FCBEB4AB3535",1)</f>
        <v>=DISPIMG("ID_0BE042503BDE4D5AB8A6FCBEB4AB3535",1)</v>
      </c>
      <c r="D105" s="18" t="s">
        <v>208</v>
      </c>
      <c r="E105" s="19" t="s">
        <v>13</v>
      </c>
      <c r="F105" s="19">
        <v>12</v>
      </c>
    </row>
    <row r="106" ht="75.3" spans="1:6">
      <c r="A106" s="12">
        <v>7</v>
      </c>
      <c r="B106" s="16" t="s">
        <v>209</v>
      </c>
      <c r="C106" s="17" t="str">
        <f>_xlfn.DISPIMG("ID_10BDFD2C93F44F0E96BA823B39FEC62F",1)</f>
        <v>=DISPIMG("ID_10BDFD2C93F44F0E96BA823B39FEC62F",1)</v>
      </c>
      <c r="D106" s="18" t="s">
        <v>210</v>
      </c>
      <c r="E106" s="19" t="s">
        <v>16</v>
      </c>
      <c r="F106" s="19">
        <v>12</v>
      </c>
    </row>
    <row r="107" ht="78.55" spans="1:6">
      <c r="A107" s="12">
        <v>8</v>
      </c>
      <c r="B107" s="16" t="s">
        <v>211</v>
      </c>
      <c r="C107" s="17" t="str">
        <f>_xlfn.DISPIMG("ID_D14D4B1FB99141F1AB88CE0EE74F18BB",1)</f>
        <v>=DISPIMG("ID_D14D4B1FB99141F1AB88CE0EE74F18BB",1)</v>
      </c>
      <c r="D107" s="18" t="s">
        <v>212</v>
      </c>
      <c r="E107" s="19" t="s">
        <v>13</v>
      </c>
      <c r="F107" s="19">
        <v>4</v>
      </c>
    </row>
    <row r="108" ht="66.9" spans="1:6">
      <c r="A108" s="12">
        <v>8</v>
      </c>
      <c r="B108" s="16" t="s">
        <v>213</v>
      </c>
      <c r="C108" s="17" t="str">
        <f>_xlfn.DISPIMG("ID_1E104D3F19AB4AA08B351770481579A5",1)</f>
        <v>=DISPIMG("ID_1E104D3F19AB4AA08B351770481579A5",1)</v>
      </c>
      <c r="D108" s="18" t="s">
        <v>214</v>
      </c>
      <c r="E108" s="19" t="s">
        <v>13</v>
      </c>
      <c r="F108" s="19">
        <v>4</v>
      </c>
    </row>
    <row r="109" ht="57.85" spans="1:6">
      <c r="A109" s="12">
        <v>9</v>
      </c>
      <c r="B109" s="30" t="s">
        <v>215</v>
      </c>
      <c r="C109" s="30" t="str">
        <f>_xlfn.DISPIMG("ID_843B2D8817644A6593C220DA38009328",1)</f>
        <v>=DISPIMG("ID_843B2D8817644A6593C220DA38009328",1)</v>
      </c>
      <c r="D109" s="30" t="s">
        <v>216</v>
      </c>
      <c r="E109" s="20" t="s">
        <v>31</v>
      </c>
      <c r="F109" s="20">
        <v>10.19</v>
      </c>
    </row>
    <row r="110" ht="57" spans="1:6">
      <c r="A110" s="12">
        <v>10</v>
      </c>
      <c r="B110" s="30" t="s">
        <v>217</v>
      </c>
      <c r="C110" s="20" t="str">
        <f>_xlfn.DISPIMG("ID_B1F10522CD3945489504C92DE83C5BB2",1)</f>
        <v>=DISPIMG("ID_B1F10522CD3945489504C92DE83C5BB2",1)</v>
      </c>
      <c r="D110" s="30" t="s">
        <v>218</v>
      </c>
      <c r="E110" s="20" t="s">
        <v>31</v>
      </c>
      <c r="F110" s="20">
        <v>4.91</v>
      </c>
    </row>
    <row r="111" ht="42.75" spans="1:6">
      <c r="A111" s="12">
        <v>11</v>
      </c>
      <c r="B111" s="30" t="s">
        <v>219</v>
      </c>
      <c r="C111" s="20"/>
      <c r="D111" s="30" t="s">
        <v>220</v>
      </c>
      <c r="E111" s="20" t="s">
        <v>31</v>
      </c>
      <c r="F111" s="20">
        <v>2.39</v>
      </c>
    </row>
    <row r="112" ht="57" spans="1:6">
      <c r="A112" s="12">
        <v>12</v>
      </c>
      <c r="B112" s="30" t="s">
        <v>221</v>
      </c>
      <c r="C112" s="20"/>
      <c r="D112" s="30" t="s">
        <v>222</v>
      </c>
      <c r="E112" s="20" t="s">
        <v>31</v>
      </c>
      <c r="F112" s="20">
        <v>1.94</v>
      </c>
    </row>
    <row r="113" ht="28.5" spans="1:6">
      <c r="A113" s="12">
        <v>13</v>
      </c>
      <c r="B113" s="30" t="s">
        <v>223</v>
      </c>
      <c r="C113" s="20"/>
      <c r="D113" s="30" t="s">
        <v>224</v>
      </c>
      <c r="E113" s="20" t="s">
        <v>21</v>
      </c>
      <c r="F113" s="20">
        <v>1</v>
      </c>
    </row>
    <row r="114" ht="28.5" spans="1:6">
      <c r="A114" s="12">
        <v>14</v>
      </c>
      <c r="B114" s="30" t="s">
        <v>225</v>
      </c>
      <c r="C114" s="20" t="str">
        <f>_xlfn.DISPIMG("ID_E2C98969BC194F3FA17F4C44D449284F",1)</f>
        <v>=DISPIMG("ID_E2C98969BC194F3FA17F4C44D449284F",1)</v>
      </c>
      <c r="D114" s="30" t="s">
        <v>226</v>
      </c>
      <c r="E114" s="20" t="s">
        <v>31</v>
      </c>
      <c r="F114" s="20">
        <v>1.61</v>
      </c>
    </row>
    <row r="115" ht="16.5" spans="1:6">
      <c r="A115" s="12">
        <v>15</v>
      </c>
      <c r="B115" s="30" t="s">
        <v>227</v>
      </c>
      <c r="C115" s="20"/>
      <c r="D115" s="30" t="s">
        <v>228</v>
      </c>
      <c r="E115" s="20" t="s">
        <v>31</v>
      </c>
      <c r="F115" s="20">
        <v>1.1</v>
      </c>
    </row>
    <row r="116" ht="16.5" spans="1:6">
      <c r="A116" s="12">
        <v>16</v>
      </c>
      <c r="B116" s="30" t="s">
        <v>229</v>
      </c>
      <c r="C116" s="20"/>
      <c r="D116" s="30" t="s">
        <v>230</v>
      </c>
      <c r="E116" s="20" t="s">
        <v>31</v>
      </c>
      <c r="F116" s="20">
        <v>1.15</v>
      </c>
    </row>
    <row r="117" ht="16.5" spans="1:6">
      <c r="A117" s="12">
        <v>17</v>
      </c>
      <c r="B117" s="30" t="s">
        <v>231</v>
      </c>
      <c r="C117" s="20"/>
      <c r="D117" s="30" t="s">
        <v>232</v>
      </c>
      <c r="E117" s="20" t="s">
        <v>21</v>
      </c>
      <c r="F117" s="20">
        <v>1</v>
      </c>
    </row>
    <row r="118" ht="28.5" spans="1:6">
      <c r="A118" s="12">
        <v>18</v>
      </c>
      <c r="B118" s="30" t="s">
        <v>233</v>
      </c>
      <c r="C118" s="20" t="str">
        <f>_xlfn.DISPIMG("ID_373BAFC9F9DE4440B9975B79459B1D7D",1)</f>
        <v>=DISPIMG("ID_373BAFC9F9DE4440B9975B79459B1D7D",1)</v>
      </c>
      <c r="D118" s="30" t="s">
        <v>226</v>
      </c>
      <c r="E118" s="20" t="s">
        <v>31</v>
      </c>
      <c r="F118" s="20">
        <v>1.36</v>
      </c>
    </row>
    <row r="119" ht="16.5" spans="1:6">
      <c r="A119" s="12">
        <v>19</v>
      </c>
      <c r="B119" s="30" t="s">
        <v>234</v>
      </c>
      <c r="C119" s="20"/>
      <c r="D119" s="30" t="s">
        <v>235</v>
      </c>
      <c r="E119" s="20" t="s">
        <v>31</v>
      </c>
      <c r="F119" s="20">
        <v>0.9</v>
      </c>
    </row>
    <row r="120" ht="28.5" spans="1:6">
      <c r="A120" s="12">
        <v>20</v>
      </c>
      <c r="B120" s="30" t="s">
        <v>236</v>
      </c>
      <c r="C120" s="20"/>
      <c r="D120" s="30" t="s">
        <v>237</v>
      </c>
      <c r="E120" s="20" t="s">
        <v>190</v>
      </c>
      <c r="F120" s="20">
        <v>1.45</v>
      </c>
    </row>
    <row r="121" ht="57.45" spans="1:6">
      <c r="A121" s="12">
        <v>21</v>
      </c>
      <c r="B121" s="30" t="s">
        <v>238</v>
      </c>
      <c r="C121" s="30" t="str">
        <f>_xlfn.DISPIMG("ID_814BDF55B14E489CA16572E82CDE3DD9",1)</f>
        <v>=DISPIMG("ID_814BDF55B14E489CA16572E82CDE3DD9",1)</v>
      </c>
      <c r="D121" s="30" t="s">
        <v>239</v>
      </c>
      <c r="E121" s="20" t="s">
        <v>31</v>
      </c>
      <c r="F121" s="20">
        <v>4</v>
      </c>
    </row>
    <row r="122" ht="64.5" spans="1:6">
      <c r="A122" s="12">
        <v>22</v>
      </c>
      <c r="B122" s="30" t="s">
        <v>240</v>
      </c>
      <c r="C122" s="30" t="str">
        <f>_xlfn.DISPIMG("ID_751FD88E1E084D0BB5C14D98A01E76AA",1)</f>
        <v>=DISPIMG("ID_751FD88E1E084D0BB5C14D98A01E76AA",1)</v>
      </c>
      <c r="D122" s="30" t="s">
        <v>241</v>
      </c>
      <c r="E122" s="20" t="s">
        <v>21</v>
      </c>
      <c r="F122" s="20">
        <v>1</v>
      </c>
    </row>
    <row r="123" ht="52.2" spans="1:6">
      <c r="A123" s="12">
        <v>23</v>
      </c>
      <c r="B123" s="30" t="s">
        <v>242</v>
      </c>
      <c r="C123" s="30" t="str">
        <f>_xlfn.DISPIMG("ID_3F0D94371F074DF2AC3D6BFD0E13618F",1)</f>
        <v>=DISPIMG("ID_3F0D94371F074DF2AC3D6BFD0E13618F",1)</v>
      </c>
      <c r="D123" s="30" t="s">
        <v>243</v>
      </c>
      <c r="E123" s="20" t="s">
        <v>21</v>
      </c>
      <c r="F123" s="20">
        <v>1</v>
      </c>
    </row>
    <row r="124" ht="57.65" spans="1:6">
      <c r="A124" s="12">
        <v>24</v>
      </c>
      <c r="B124" s="30" t="s">
        <v>244</v>
      </c>
      <c r="C124" s="30" t="str">
        <f>_xlfn.DISPIMG("ID_229D89D9EAC844A0BCDCA4C69475172F",1)</f>
        <v>=DISPIMG("ID_229D89D9EAC844A0BCDCA4C69475172F",1)</v>
      </c>
      <c r="D124" s="30" t="s">
        <v>245</v>
      </c>
      <c r="E124" s="20" t="s">
        <v>21</v>
      </c>
      <c r="F124" s="20">
        <v>1</v>
      </c>
    </row>
    <row r="125" ht="64.75" spans="1:6">
      <c r="A125" s="12">
        <v>25</v>
      </c>
      <c r="B125" s="30" t="s">
        <v>246</v>
      </c>
      <c r="C125" s="30" t="str">
        <f>_xlfn.DISPIMG("ID_21EB3A30B9AA4CDAA435877D2EDFF108",1)</f>
        <v>=DISPIMG("ID_21EB3A30B9AA4CDAA435877D2EDFF108",1)</v>
      </c>
      <c r="D125" s="30" t="s">
        <v>247</v>
      </c>
      <c r="E125" s="20" t="s">
        <v>21</v>
      </c>
      <c r="F125" s="20">
        <v>1</v>
      </c>
    </row>
    <row r="126" ht="66.5" spans="1:6">
      <c r="A126" s="12">
        <v>26</v>
      </c>
      <c r="B126" s="30" t="s">
        <v>248</v>
      </c>
      <c r="C126" s="30" t="str">
        <f>_xlfn.DISPIMG("ID_DD9F27F45A7D4559B116625FCC88C07F",1)</f>
        <v>=DISPIMG("ID_DD9F27F45A7D4559B116625FCC88C07F",1)</v>
      </c>
      <c r="D126" s="30" t="s">
        <v>249</v>
      </c>
      <c r="E126" s="20" t="s">
        <v>21</v>
      </c>
      <c r="F126" s="20">
        <v>1</v>
      </c>
    </row>
    <row r="127" ht="61.25" spans="1:6">
      <c r="A127" s="12">
        <v>27</v>
      </c>
      <c r="B127" s="30" t="s">
        <v>250</v>
      </c>
      <c r="C127" s="30" t="str">
        <f>_xlfn.DISPIMG("ID_8C71760F18EB4838A474309D2E525387",1)</f>
        <v>=DISPIMG("ID_8C71760F18EB4838A474309D2E525387",1)</v>
      </c>
      <c r="D127" s="30" t="s">
        <v>251</v>
      </c>
      <c r="E127" s="20" t="s">
        <v>21</v>
      </c>
      <c r="F127" s="20">
        <v>1</v>
      </c>
    </row>
    <row r="128" ht="61.65" spans="1:6">
      <c r="A128" s="12">
        <v>28</v>
      </c>
      <c r="B128" s="30" t="s">
        <v>252</v>
      </c>
      <c r="C128" s="30" t="str">
        <f>_xlfn.DISPIMG("ID_D04ECE90E33446D3A89EDF1A98A03889",1)</f>
        <v>=DISPIMG("ID_D04ECE90E33446D3A89EDF1A98A03889",1)</v>
      </c>
      <c r="D128" s="30" t="s">
        <v>253</v>
      </c>
      <c r="E128" s="20" t="s">
        <v>21</v>
      </c>
      <c r="F128" s="20">
        <v>1</v>
      </c>
    </row>
    <row r="129" ht="63.95" spans="1:6">
      <c r="A129" s="12">
        <v>29</v>
      </c>
      <c r="B129" s="30" t="s">
        <v>254</v>
      </c>
      <c r="C129" s="30" t="str">
        <f>_xlfn.DISPIMG("ID_6085C65DEA6149B1B2B1DBDD7BCA6E70",1)</f>
        <v>=DISPIMG("ID_6085C65DEA6149B1B2B1DBDD7BCA6E70",1)</v>
      </c>
      <c r="D129" s="30" t="s">
        <v>255</v>
      </c>
      <c r="E129" s="20" t="s">
        <v>21</v>
      </c>
      <c r="F129" s="20">
        <v>1</v>
      </c>
    </row>
    <row r="130" ht="48" spans="1:6">
      <c r="A130" s="12">
        <v>30</v>
      </c>
      <c r="B130" s="30" t="s">
        <v>252</v>
      </c>
      <c r="C130" s="30" t="str">
        <f>_xlfn.DISPIMG("ID_FE4C57BDF3744A7787FB5909E21FB249",1)</f>
        <v>=DISPIMG("ID_FE4C57BDF3744A7787FB5909E21FB249",1)</v>
      </c>
      <c r="D130" s="30" t="s">
        <v>256</v>
      </c>
      <c r="E130" s="20" t="s">
        <v>21</v>
      </c>
      <c r="F130" s="20">
        <v>1</v>
      </c>
    </row>
    <row r="131" ht="53.1" spans="1:6">
      <c r="A131" s="12">
        <v>31</v>
      </c>
      <c r="B131" s="30" t="s">
        <v>257</v>
      </c>
      <c r="C131" s="30" t="str">
        <f>_xlfn.DISPIMG("ID_D7DFA2C797084949B1ADAC12B5803F2F",1)</f>
        <v>=DISPIMG("ID_D7DFA2C797084949B1ADAC12B5803F2F",1)</v>
      </c>
      <c r="D131" s="30" t="s">
        <v>258</v>
      </c>
      <c r="E131" s="20" t="s">
        <v>21</v>
      </c>
      <c r="F131" s="20">
        <v>1</v>
      </c>
    </row>
    <row r="132" ht="52.4" spans="1:6">
      <c r="A132" s="12">
        <v>32</v>
      </c>
      <c r="B132" s="16" t="s">
        <v>254</v>
      </c>
      <c r="C132" s="17" t="str">
        <f>_xlfn.DISPIMG("ID_C47FD23F767C4A60B260A3D426AEBDF3",1)</f>
        <v>=DISPIMG("ID_C47FD23F767C4A60B260A3D426AEBDF3",1)</v>
      </c>
      <c r="D132" s="18" t="s">
        <v>255</v>
      </c>
      <c r="E132" s="19" t="s">
        <v>21</v>
      </c>
      <c r="F132" s="19">
        <v>1</v>
      </c>
    </row>
    <row r="133" ht="52" spans="1:6">
      <c r="A133" s="12">
        <v>33</v>
      </c>
      <c r="B133" s="16" t="s">
        <v>254</v>
      </c>
      <c r="C133" s="17" t="str">
        <f>_xlfn.DISPIMG("ID_8B616B1C263D4F50AC7FC787D81F5BD0",1)</f>
        <v>=DISPIMG("ID_8B616B1C263D4F50AC7FC787D81F5BD0",1)</v>
      </c>
      <c r="D133" s="18" t="s">
        <v>259</v>
      </c>
      <c r="E133" s="19" t="s">
        <v>21</v>
      </c>
      <c r="F133" s="19">
        <v>1</v>
      </c>
    </row>
    <row r="134" ht="54.1" spans="1:6">
      <c r="A134" s="12">
        <v>34</v>
      </c>
      <c r="B134" s="16" t="s">
        <v>254</v>
      </c>
      <c r="C134" s="17" t="str">
        <f>_xlfn.DISPIMG("ID_AF4030303EC049A4B5A51EEEDBDEAD8E",1)</f>
        <v>=DISPIMG("ID_AF4030303EC049A4B5A51EEEDBDEAD8E",1)</v>
      </c>
      <c r="D134" s="18" t="s">
        <v>260</v>
      </c>
      <c r="E134" s="19" t="s">
        <v>21</v>
      </c>
      <c r="F134" s="19">
        <v>1</v>
      </c>
    </row>
    <row r="135" ht="53.6" spans="1:6">
      <c r="A135" s="12">
        <v>35</v>
      </c>
      <c r="B135" s="16" t="s">
        <v>261</v>
      </c>
      <c r="C135" s="17" t="str">
        <f>_xlfn.DISPIMG("ID_EF827D77B5FB4A84A48FB4231B873068",1)</f>
        <v>=DISPIMG("ID_EF827D77B5FB4A84A48FB4231B873068",1)</v>
      </c>
      <c r="D135" s="18" t="s">
        <v>262</v>
      </c>
      <c r="E135" s="19" t="s">
        <v>21</v>
      </c>
      <c r="F135" s="19">
        <v>1</v>
      </c>
    </row>
    <row r="136" ht="16.5" spans="1:6">
      <c r="A136" s="12"/>
      <c r="B136" s="16"/>
      <c r="C136" s="33"/>
      <c r="D136" s="18"/>
      <c r="E136" s="31"/>
      <c r="F136" s="34"/>
    </row>
    <row r="137" ht="15" spans="1:6">
      <c r="A137" s="13" t="s">
        <v>263</v>
      </c>
      <c r="B137" s="14"/>
      <c r="C137" s="15"/>
      <c r="D137" s="14"/>
      <c r="E137" s="13"/>
      <c r="F137" s="13"/>
    </row>
    <row r="138" ht="33" spans="1:6">
      <c r="A138" s="12">
        <v>1</v>
      </c>
      <c r="B138" s="16" t="s">
        <v>264</v>
      </c>
      <c r="C138" s="17"/>
      <c r="D138" s="18" t="s">
        <v>265</v>
      </c>
      <c r="E138" s="19" t="s">
        <v>13</v>
      </c>
      <c r="F138" s="19">
        <v>1</v>
      </c>
    </row>
    <row r="139" ht="16.5" spans="1:6">
      <c r="A139" s="12">
        <v>2</v>
      </c>
      <c r="B139" s="16" t="s">
        <v>266</v>
      </c>
      <c r="C139" s="17"/>
      <c r="D139" s="18" t="s">
        <v>267</v>
      </c>
      <c r="E139" s="19" t="s">
        <v>13</v>
      </c>
      <c r="F139" s="19">
        <v>1</v>
      </c>
    </row>
    <row r="140" ht="33" spans="1:6">
      <c r="A140" s="12">
        <v>3</v>
      </c>
      <c r="B140" s="16" t="s">
        <v>268</v>
      </c>
      <c r="C140" s="17"/>
      <c r="D140" s="18" t="s">
        <v>269</v>
      </c>
      <c r="E140" s="19" t="s">
        <v>13</v>
      </c>
      <c r="F140" s="19">
        <v>1</v>
      </c>
    </row>
    <row r="141" ht="33" spans="1:6">
      <c r="A141" s="12">
        <v>4</v>
      </c>
      <c r="B141" s="16" t="s">
        <v>270</v>
      </c>
      <c r="C141" s="17"/>
      <c r="D141" s="18" t="s">
        <v>271</v>
      </c>
      <c r="E141" s="19" t="s">
        <v>13</v>
      </c>
      <c r="F141" s="19">
        <v>1</v>
      </c>
    </row>
    <row r="142" ht="16.5" spans="1:6">
      <c r="A142" s="12">
        <v>5</v>
      </c>
      <c r="B142" s="16" t="s">
        <v>272</v>
      </c>
      <c r="C142" s="17"/>
      <c r="D142" s="18" t="s">
        <v>273</v>
      </c>
      <c r="E142" s="19" t="s">
        <v>13</v>
      </c>
      <c r="F142" s="19">
        <v>1</v>
      </c>
    </row>
    <row r="143" ht="33" spans="1:6">
      <c r="A143" s="12">
        <v>6</v>
      </c>
      <c r="B143" s="16" t="s">
        <v>274</v>
      </c>
      <c r="C143" s="17"/>
      <c r="D143" s="18" t="s">
        <v>275</v>
      </c>
      <c r="E143" s="19" t="s">
        <v>13</v>
      </c>
      <c r="F143" s="19">
        <v>1</v>
      </c>
    </row>
    <row r="144" ht="33" spans="1:6">
      <c r="A144" s="12">
        <v>7</v>
      </c>
      <c r="B144" s="16" t="s">
        <v>276</v>
      </c>
      <c r="C144" s="17"/>
      <c r="D144" s="18" t="s">
        <v>277</v>
      </c>
      <c r="E144" s="19" t="s">
        <v>13</v>
      </c>
      <c r="F144" s="19">
        <v>1</v>
      </c>
    </row>
    <row r="145" ht="33" spans="1:6">
      <c r="A145" s="12">
        <v>8</v>
      </c>
      <c r="B145" s="16" t="s">
        <v>278</v>
      </c>
      <c r="C145" s="17"/>
      <c r="D145" s="18" t="s">
        <v>277</v>
      </c>
      <c r="E145" s="19" t="s">
        <v>13</v>
      </c>
      <c r="F145" s="19">
        <v>1</v>
      </c>
    </row>
    <row r="146" ht="33" spans="1:6">
      <c r="A146" s="12">
        <v>9</v>
      </c>
      <c r="B146" s="16" t="s">
        <v>279</v>
      </c>
      <c r="C146" s="17"/>
      <c r="D146" s="18" t="s">
        <v>280</v>
      </c>
      <c r="E146" s="19" t="s">
        <v>13</v>
      </c>
      <c r="F146" s="19">
        <v>1</v>
      </c>
    </row>
    <row r="147" ht="33" spans="1:6">
      <c r="A147" s="12">
        <v>10</v>
      </c>
      <c r="B147" s="16" t="s">
        <v>281</v>
      </c>
      <c r="C147" s="17"/>
      <c r="D147" s="18" t="s">
        <v>282</v>
      </c>
      <c r="E147" s="19" t="s">
        <v>13</v>
      </c>
      <c r="F147" s="19">
        <v>1</v>
      </c>
    </row>
    <row r="148" ht="33" spans="1:6">
      <c r="A148" s="12">
        <v>11</v>
      </c>
      <c r="B148" s="16" t="s">
        <v>283</v>
      </c>
      <c r="C148" s="17"/>
      <c r="D148" s="18" t="s">
        <v>284</v>
      </c>
      <c r="E148" s="19" t="s">
        <v>13</v>
      </c>
      <c r="F148" s="19">
        <v>1</v>
      </c>
    </row>
    <row r="149" ht="16.5" spans="1:6">
      <c r="A149" s="12">
        <v>12</v>
      </c>
      <c r="B149" s="16" t="s">
        <v>285</v>
      </c>
      <c r="C149" s="17"/>
      <c r="D149" s="18" t="s">
        <v>286</v>
      </c>
      <c r="E149" s="19" t="s">
        <v>13</v>
      </c>
      <c r="F149" s="19">
        <v>1</v>
      </c>
    </row>
    <row r="150" ht="16.5" spans="1:6">
      <c r="A150" s="12">
        <v>13</v>
      </c>
      <c r="B150" s="16" t="s">
        <v>287</v>
      </c>
      <c r="C150" s="17"/>
      <c r="D150" s="18" t="s">
        <v>288</v>
      </c>
      <c r="E150" s="19" t="s">
        <v>13</v>
      </c>
      <c r="F150" s="19">
        <v>1</v>
      </c>
    </row>
    <row r="151" ht="16.5" spans="1:6">
      <c r="A151" s="12">
        <v>14</v>
      </c>
      <c r="B151" s="16" t="s">
        <v>289</v>
      </c>
      <c r="C151" s="17"/>
      <c r="D151" s="18" t="s">
        <v>290</v>
      </c>
      <c r="E151" s="19" t="s">
        <v>13</v>
      </c>
      <c r="F151" s="19">
        <v>1</v>
      </c>
    </row>
    <row r="152" ht="16.5" spans="1:6">
      <c r="A152" s="12">
        <v>15</v>
      </c>
      <c r="B152" s="16" t="s">
        <v>291</v>
      </c>
      <c r="C152" s="17"/>
      <c r="D152" s="18" t="s">
        <v>292</v>
      </c>
      <c r="E152" s="19" t="s">
        <v>13</v>
      </c>
      <c r="F152" s="19">
        <v>1</v>
      </c>
    </row>
    <row r="153" ht="33" spans="1:6">
      <c r="A153" s="12">
        <v>16</v>
      </c>
      <c r="B153" s="16" t="s">
        <v>293</v>
      </c>
      <c r="C153" s="17"/>
      <c r="D153" s="18" t="s">
        <v>294</v>
      </c>
      <c r="E153" s="19" t="s">
        <v>13</v>
      </c>
      <c r="F153" s="19">
        <v>1</v>
      </c>
    </row>
    <row r="154" ht="33" spans="1:6">
      <c r="A154" s="12">
        <v>17</v>
      </c>
      <c r="B154" s="16" t="s">
        <v>295</v>
      </c>
      <c r="C154" s="17"/>
      <c r="D154" s="18" t="s">
        <v>296</v>
      </c>
      <c r="E154" s="19" t="s">
        <v>13</v>
      </c>
      <c r="F154" s="19">
        <v>1</v>
      </c>
    </row>
    <row r="155" ht="33" spans="1:6">
      <c r="A155" s="12">
        <v>18</v>
      </c>
      <c r="B155" s="16" t="s">
        <v>297</v>
      </c>
      <c r="C155" s="17"/>
      <c r="D155" s="18" t="s">
        <v>298</v>
      </c>
      <c r="E155" s="19" t="s">
        <v>13</v>
      </c>
      <c r="F155" s="19">
        <v>1</v>
      </c>
    </row>
    <row r="156" ht="49.5" spans="1:6">
      <c r="A156" s="12">
        <v>19</v>
      </c>
      <c r="B156" s="16" t="s">
        <v>299</v>
      </c>
      <c r="C156" s="17"/>
      <c r="D156" s="18" t="s">
        <v>300</v>
      </c>
      <c r="E156" s="19" t="s">
        <v>13</v>
      </c>
      <c r="F156" s="19">
        <v>1</v>
      </c>
    </row>
    <row r="157" ht="33" spans="1:6">
      <c r="A157" s="12">
        <v>20</v>
      </c>
      <c r="B157" s="16" t="s">
        <v>301</v>
      </c>
      <c r="C157" s="17"/>
      <c r="D157" s="18" t="s">
        <v>302</v>
      </c>
      <c r="E157" s="19" t="s">
        <v>13</v>
      </c>
      <c r="F157" s="19">
        <v>1</v>
      </c>
    </row>
    <row r="158" ht="33" spans="1:6">
      <c r="A158" s="12">
        <v>21</v>
      </c>
      <c r="B158" s="16" t="s">
        <v>303</v>
      </c>
      <c r="C158" s="17"/>
      <c r="D158" s="18" t="s">
        <v>304</v>
      </c>
      <c r="E158" s="19" t="s">
        <v>13</v>
      </c>
      <c r="F158" s="19">
        <v>1</v>
      </c>
    </row>
    <row r="159" ht="49.5" spans="1:6">
      <c r="A159" s="12">
        <v>22</v>
      </c>
      <c r="B159" s="16" t="s">
        <v>305</v>
      </c>
      <c r="C159" s="17"/>
      <c r="D159" s="18" t="s">
        <v>306</v>
      </c>
      <c r="E159" s="19" t="s">
        <v>13</v>
      </c>
      <c r="F159" s="19">
        <v>1</v>
      </c>
    </row>
    <row r="160" ht="16.5" spans="1:6">
      <c r="A160" s="13"/>
      <c r="B160" s="35"/>
      <c r="C160" s="36"/>
      <c r="D160" s="18"/>
      <c r="E160" s="34"/>
      <c r="F160" s="34"/>
    </row>
    <row r="161" ht="30" spans="1:6">
      <c r="A161" s="13" t="s">
        <v>307</v>
      </c>
      <c r="B161" s="14"/>
      <c r="C161" s="15"/>
      <c r="D161" s="14"/>
      <c r="E161" s="13"/>
      <c r="F161" s="13"/>
    </row>
    <row r="162" ht="33" spans="1:6">
      <c r="A162" s="12">
        <v>1</v>
      </c>
      <c r="B162" s="16" t="s">
        <v>264</v>
      </c>
      <c r="C162" s="17"/>
      <c r="D162" s="18" t="s">
        <v>308</v>
      </c>
      <c r="E162" s="19" t="s">
        <v>13</v>
      </c>
      <c r="F162" s="19">
        <v>2</v>
      </c>
    </row>
    <row r="163" ht="33" spans="1:6">
      <c r="A163" s="12">
        <v>2</v>
      </c>
      <c r="B163" s="16" t="s">
        <v>266</v>
      </c>
      <c r="C163" s="17"/>
      <c r="D163" s="18" t="s">
        <v>309</v>
      </c>
      <c r="E163" s="19" t="s">
        <v>13</v>
      </c>
      <c r="F163" s="19">
        <v>2</v>
      </c>
    </row>
    <row r="164" ht="49.5" spans="1:6">
      <c r="A164" s="12">
        <v>3</v>
      </c>
      <c r="B164" s="16" t="s">
        <v>268</v>
      </c>
      <c r="C164" s="17"/>
      <c r="D164" s="18" t="s">
        <v>310</v>
      </c>
      <c r="E164" s="19" t="s">
        <v>13</v>
      </c>
      <c r="F164" s="19">
        <v>2</v>
      </c>
    </row>
    <row r="165" ht="49.5" spans="1:6">
      <c r="A165" s="12">
        <v>4</v>
      </c>
      <c r="B165" s="16" t="s">
        <v>270</v>
      </c>
      <c r="C165" s="17"/>
      <c r="D165" s="18" t="s">
        <v>311</v>
      </c>
      <c r="E165" s="19" t="s">
        <v>13</v>
      </c>
      <c r="F165" s="19">
        <v>2</v>
      </c>
    </row>
    <row r="166" ht="49.5" spans="1:6">
      <c r="A166" s="12">
        <v>5</v>
      </c>
      <c r="B166" s="16" t="s">
        <v>272</v>
      </c>
      <c r="C166" s="17"/>
      <c r="D166" s="18" t="s">
        <v>312</v>
      </c>
      <c r="E166" s="19" t="s">
        <v>13</v>
      </c>
      <c r="F166" s="19">
        <v>2</v>
      </c>
    </row>
    <row r="167" ht="16.5" spans="1:6">
      <c r="A167" s="12"/>
      <c r="B167" s="35"/>
      <c r="C167" s="33"/>
      <c r="D167" s="18"/>
      <c r="E167" s="31"/>
      <c r="F167" s="34"/>
    </row>
    <row r="168" ht="30" spans="1:6">
      <c r="A168" s="13" t="s">
        <v>313</v>
      </c>
      <c r="B168" s="14"/>
      <c r="C168" s="15"/>
      <c r="D168" s="14"/>
      <c r="E168" s="13"/>
      <c r="F168" s="13"/>
    </row>
    <row r="169" ht="120.4" spans="1:6">
      <c r="A169" s="12">
        <v>1</v>
      </c>
      <c r="B169" s="16" t="s">
        <v>314</v>
      </c>
      <c r="C169" s="17" t="str">
        <f>_xlfn.DISPIMG("ID_367688676A35452DBD8EA033F60DB4B7",1)</f>
        <v>=DISPIMG("ID_367688676A35452DBD8EA033F60DB4B7",1)</v>
      </c>
      <c r="D169" s="18" t="s">
        <v>315</v>
      </c>
      <c r="E169" s="19" t="s">
        <v>142</v>
      </c>
      <c r="F169" s="19">
        <v>1</v>
      </c>
    </row>
    <row r="170" ht="83.25" spans="1:6">
      <c r="A170" s="12">
        <v>2</v>
      </c>
      <c r="B170" s="16" t="s">
        <v>316</v>
      </c>
      <c r="C170" s="17" t="str">
        <f t="shared" ref="C170:C172" si="2">_xlfn.DISPIMG("ID_79F90BA1FD9140FFA408579D23E92227",1)</f>
        <v>=DISPIMG("ID_79F90BA1FD9140FFA408579D23E92227",1)</v>
      </c>
      <c r="D170" s="18" t="s">
        <v>317</v>
      </c>
      <c r="E170" s="19" t="s">
        <v>142</v>
      </c>
      <c r="F170" s="19">
        <v>3</v>
      </c>
    </row>
    <row r="171" ht="83.25" spans="1:6">
      <c r="A171" s="12">
        <v>3</v>
      </c>
      <c r="B171" s="16" t="s">
        <v>318</v>
      </c>
      <c r="C171" s="17" t="str">
        <f t="shared" si="2"/>
        <v>=DISPIMG("ID_79F90BA1FD9140FFA408579D23E92227",1)</v>
      </c>
      <c r="D171" s="18" t="s">
        <v>319</v>
      </c>
      <c r="E171" s="19" t="s">
        <v>16</v>
      </c>
      <c r="F171" s="19">
        <v>8</v>
      </c>
    </row>
    <row r="172" ht="83.25" spans="1:6">
      <c r="A172" s="12">
        <v>4</v>
      </c>
      <c r="B172" s="16" t="s">
        <v>320</v>
      </c>
      <c r="C172" s="17" t="str">
        <f t="shared" si="2"/>
        <v>=DISPIMG("ID_79F90BA1FD9140FFA408579D23E92227",1)</v>
      </c>
      <c r="D172" s="18" t="s">
        <v>321</v>
      </c>
      <c r="E172" s="19" t="s">
        <v>34</v>
      </c>
      <c r="F172" s="19">
        <v>1</v>
      </c>
    </row>
    <row r="173" ht="113.45" spans="1:6">
      <c r="A173" s="12">
        <v>5</v>
      </c>
      <c r="B173" s="16" t="s">
        <v>322</v>
      </c>
      <c r="C173" s="17" t="str">
        <f>_xlfn.DISPIMG("ID_D4811EF3DAEE476B9A60C306BF5EF32A",1)</f>
        <v>=DISPIMG("ID_D4811EF3DAEE476B9A60C306BF5EF32A",1)</v>
      </c>
      <c r="D173" s="18" t="s">
        <v>323</v>
      </c>
      <c r="E173" s="19" t="s">
        <v>16</v>
      </c>
      <c r="F173" s="19">
        <v>3</v>
      </c>
    </row>
    <row r="174" ht="185.9" spans="1:6">
      <c r="A174" s="12">
        <v>6</v>
      </c>
      <c r="B174" s="16" t="s">
        <v>165</v>
      </c>
      <c r="C174" s="17" t="str">
        <f>_xlfn.DISPIMG("ID_7430C6FA1C514E3FBFFF8F8BF436A813",1)</f>
        <v>=DISPIMG("ID_7430C6FA1C514E3FBFFF8F8BF436A813",1)</v>
      </c>
      <c r="D174" s="18" t="s">
        <v>324</v>
      </c>
      <c r="E174" s="19" t="s">
        <v>142</v>
      </c>
      <c r="F174" s="19">
        <v>2</v>
      </c>
    </row>
    <row r="175" ht="82.5" spans="1:6">
      <c r="A175" s="12">
        <v>7</v>
      </c>
      <c r="B175" s="16" t="s">
        <v>325</v>
      </c>
      <c r="C175" s="17" t="str">
        <f>_xlfn.DISPIMG("ID_383D7EBE090841C6AF357E7BB700DB23",1)</f>
        <v>=DISPIMG("ID_383D7EBE090841C6AF357E7BB700DB23",1)</v>
      </c>
      <c r="D175" s="18" t="s">
        <v>326</v>
      </c>
      <c r="E175" s="19" t="s">
        <v>16</v>
      </c>
      <c r="F175" s="19">
        <v>1</v>
      </c>
    </row>
    <row r="176" ht="47" customHeight="1" spans="1:6">
      <c r="A176" s="12">
        <v>8</v>
      </c>
      <c r="B176" s="16" t="s">
        <v>327</v>
      </c>
      <c r="C176" s="17" t="str">
        <f>_xlfn.DISPIMG("ID_13F8B81F3D374D0CBED11D4507ABD89D",1)</f>
        <v>=DISPIMG("ID_13F8B81F3D374D0CBED11D4507ABD89D",1)</v>
      </c>
      <c r="D176" s="18" t="s">
        <v>328</v>
      </c>
      <c r="E176" s="19" t="s">
        <v>16</v>
      </c>
      <c r="F176" s="19">
        <v>1</v>
      </c>
    </row>
    <row r="177" ht="79.35" spans="1:6">
      <c r="A177" s="12">
        <v>9</v>
      </c>
      <c r="B177" s="16" t="s">
        <v>329</v>
      </c>
      <c r="C177" s="17" t="str">
        <f>_xlfn.DISPIMG("ID_EF4761811B5941EAA66B7238BC823C9E",1)</f>
        <v>=DISPIMG("ID_EF4761811B5941EAA66B7238BC823C9E",1)</v>
      </c>
      <c r="D177" s="18" t="s">
        <v>330</v>
      </c>
      <c r="E177" s="19" t="s">
        <v>16</v>
      </c>
      <c r="F177" s="19">
        <v>2</v>
      </c>
    </row>
    <row r="178" ht="66" spans="1:6">
      <c r="A178" s="12">
        <v>10</v>
      </c>
      <c r="B178" s="16" t="s">
        <v>331</v>
      </c>
      <c r="C178" s="17" t="str">
        <f>_xlfn.DISPIMG("ID_41E2F3146AEA42ADA5F2A4955D72DE4E",1)</f>
        <v>=DISPIMG("ID_41E2F3146AEA42ADA5F2A4955D72DE4E",1)</v>
      </c>
      <c r="D178" s="18" t="s">
        <v>332</v>
      </c>
      <c r="E178" s="19" t="s">
        <v>21</v>
      </c>
      <c r="F178" s="19">
        <v>1</v>
      </c>
    </row>
    <row r="179" ht="46.8" spans="1:6">
      <c r="A179" s="12">
        <v>11</v>
      </c>
      <c r="B179" s="16" t="s">
        <v>333</v>
      </c>
      <c r="C179" s="17" t="str">
        <f>_xlfn.DISPIMG("ID_3DD59019BE5A4A4788D9B78F4DB44849",1)</f>
        <v>=DISPIMG("ID_3DD59019BE5A4A4788D9B78F4DB44849",1)</v>
      </c>
      <c r="D179" s="18" t="s">
        <v>334</v>
      </c>
      <c r="E179" s="19" t="s">
        <v>21</v>
      </c>
      <c r="F179" s="19">
        <v>4</v>
      </c>
    </row>
    <row r="180" ht="52.15" spans="1:6">
      <c r="A180" s="12">
        <v>12</v>
      </c>
      <c r="B180" s="16" t="s">
        <v>335</v>
      </c>
      <c r="C180" s="17" t="str">
        <f>_xlfn.DISPIMG("ID_5ED8B4B58F8B451AB3CB670B7789F464",1)</f>
        <v>=DISPIMG("ID_5ED8B4B58F8B451AB3CB670B7789F464",1)</v>
      </c>
      <c r="D180" s="18" t="s">
        <v>336</v>
      </c>
      <c r="E180" s="19" t="s">
        <v>21</v>
      </c>
      <c r="F180" s="19">
        <v>2</v>
      </c>
    </row>
    <row r="181" ht="49.5" spans="1:6">
      <c r="A181" s="12">
        <v>13</v>
      </c>
      <c r="B181" s="16" t="s">
        <v>337</v>
      </c>
      <c r="C181" s="17" t="str">
        <f>_xlfn.DISPIMG("ID_2E9EC12060794F52B8B0AD38BC0241B6",1)</f>
        <v>=DISPIMG("ID_2E9EC12060794F52B8B0AD38BC0241B6",1)</v>
      </c>
      <c r="D181" s="18" t="s">
        <v>338</v>
      </c>
      <c r="E181" s="19" t="s">
        <v>21</v>
      </c>
      <c r="F181" s="19">
        <v>1</v>
      </c>
    </row>
    <row r="182" ht="33" spans="1:6">
      <c r="A182" s="12">
        <v>14</v>
      </c>
      <c r="B182" s="16" t="s">
        <v>339</v>
      </c>
      <c r="C182" s="19" t="str">
        <f>_xlfn.DISPIMG("ID_EEDAC0CDD91C436BA8E7F07CA446E3DA",1)</f>
        <v>=DISPIMG("ID_EEDAC0CDD91C436BA8E7F07CA446E3DA",1)</v>
      </c>
      <c r="D182" s="18" t="s">
        <v>340</v>
      </c>
      <c r="E182" s="19" t="s">
        <v>21</v>
      </c>
      <c r="F182" s="19">
        <v>1</v>
      </c>
    </row>
    <row r="183" ht="33" spans="1:6">
      <c r="A183" s="12">
        <v>15</v>
      </c>
      <c r="B183" s="16" t="s">
        <v>341</v>
      </c>
      <c r="C183" s="19"/>
      <c r="D183" s="18" t="s">
        <v>342</v>
      </c>
      <c r="E183" s="19" t="s">
        <v>16</v>
      </c>
      <c r="F183" s="19">
        <v>2</v>
      </c>
    </row>
    <row r="184" ht="82.5" spans="1:6">
      <c r="A184" s="12">
        <v>16</v>
      </c>
      <c r="B184" s="16" t="s">
        <v>343</v>
      </c>
      <c r="C184" s="17" t="str">
        <f>_xlfn.DISPIMG("ID_C137A5C0DBE146719D79A00E4AEC671B",1)</f>
        <v>=DISPIMG("ID_C137A5C0DBE146719D79A00E4AEC671B",1)</v>
      </c>
      <c r="D184" s="18" t="s">
        <v>344</v>
      </c>
      <c r="E184" s="19" t="s">
        <v>21</v>
      </c>
      <c r="F184" s="19">
        <v>1</v>
      </c>
    </row>
    <row r="185" ht="90.3" spans="1:6">
      <c r="A185" s="12">
        <v>17</v>
      </c>
      <c r="B185" s="16" t="s">
        <v>345</v>
      </c>
      <c r="C185" s="17" t="str">
        <f>_xlfn.DISPIMG("ID_74931822F2DC4C6DA8CC0D4273A0CF50",1)</f>
        <v>=DISPIMG("ID_74931822F2DC4C6DA8CC0D4273A0CF50",1)</v>
      </c>
      <c r="D185" s="18" t="s">
        <v>346</v>
      </c>
      <c r="E185" s="19" t="s">
        <v>16</v>
      </c>
      <c r="F185" s="19">
        <v>4</v>
      </c>
    </row>
    <row r="186" ht="200.05" spans="1:6">
      <c r="A186" s="12">
        <v>18</v>
      </c>
      <c r="B186" s="16" t="s">
        <v>347</v>
      </c>
      <c r="C186" s="17" t="str">
        <f>_xlfn.DISPIMG("ID_92194F1E526E4A70B917147D9836470C",1)</f>
        <v>=DISPIMG("ID_92194F1E526E4A70B917147D9836470C",1)</v>
      </c>
      <c r="D186" s="18" t="s">
        <v>348</v>
      </c>
      <c r="E186" s="19" t="s">
        <v>142</v>
      </c>
      <c r="F186" s="19">
        <v>3.5</v>
      </c>
    </row>
    <row r="187" ht="90.4" spans="1:6">
      <c r="A187" s="12">
        <v>19</v>
      </c>
      <c r="B187" s="16" t="s">
        <v>349</v>
      </c>
      <c r="C187" s="17" t="str">
        <f>_xlfn.DISPIMG("ID_3BDCF8431CDC4920B4B84C474BEC93AE",1)</f>
        <v>=DISPIMG("ID_3BDCF8431CDC4920B4B84C474BEC93AE",1)</v>
      </c>
      <c r="D187" s="18" t="s">
        <v>350</v>
      </c>
      <c r="E187" s="19" t="s">
        <v>142</v>
      </c>
      <c r="F187" s="19">
        <v>2</v>
      </c>
    </row>
    <row r="188" ht="16.5" spans="1:6">
      <c r="A188" s="12">
        <v>20</v>
      </c>
      <c r="B188" s="16" t="s">
        <v>351</v>
      </c>
      <c r="C188" s="19" t="str">
        <f>_xlfn.DISPIMG("ID_59398CD005B543F6A1DFDA5ACB62A90C",1)</f>
        <v>=DISPIMG("ID_59398CD005B543F6A1DFDA5ACB62A90C",1)</v>
      </c>
      <c r="D188" s="18" t="s">
        <v>352</v>
      </c>
      <c r="E188" s="19" t="s">
        <v>16</v>
      </c>
      <c r="F188" s="19">
        <v>40</v>
      </c>
    </row>
    <row r="189" ht="16.5" spans="1:6">
      <c r="A189" s="12">
        <v>21</v>
      </c>
      <c r="B189" s="16" t="s">
        <v>353</v>
      </c>
      <c r="C189" s="19"/>
      <c r="D189" s="18" t="s">
        <v>354</v>
      </c>
      <c r="E189" s="19" t="s">
        <v>145</v>
      </c>
      <c r="F189" s="19">
        <v>40</v>
      </c>
    </row>
    <row r="190" ht="103.7" spans="1:6">
      <c r="A190" s="12">
        <v>22</v>
      </c>
      <c r="B190" s="16" t="s">
        <v>355</v>
      </c>
      <c r="C190" s="17" t="str">
        <f>_xlfn.DISPIMG("ID_76FA27A24A984D4CA18CCCB62F62CD01",1)</f>
        <v>=DISPIMG("ID_76FA27A24A984D4CA18CCCB62F62CD01",1)</v>
      </c>
      <c r="D190" s="18" t="s">
        <v>356</v>
      </c>
      <c r="E190" s="19" t="s">
        <v>16</v>
      </c>
      <c r="F190" s="19">
        <v>4</v>
      </c>
    </row>
    <row r="191" ht="170.75" spans="1:6">
      <c r="A191" s="12">
        <v>23</v>
      </c>
      <c r="B191" s="16" t="s">
        <v>357</v>
      </c>
      <c r="C191" s="17" t="str">
        <f>_xlfn.DISPIMG("ID_8E9C5C64C8FC499B8FCD652B7C5C32E6",1)</f>
        <v>=DISPIMG("ID_8E9C5C64C8FC499B8FCD652B7C5C32E6",1)</v>
      </c>
      <c r="D191" s="18" t="s">
        <v>358</v>
      </c>
      <c r="E191" s="19" t="s">
        <v>34</v>
      </c>
      <c r="F191" s="19">
        <v>1</v>
      </c>
    </row>
    <row r="192" ht="105.7" spans="1:6">
      <c r="A192" s="12">
        <v>24</v>
      </c>
      <c r="B192" s="16" t="s">
        <v>359</v>
      </c>
      <c r="C192" s="17" t="str">
        <f>_xlfn.DISPIMG("ID_31F71B3099BE47FE8B841FF6D2747DFE",1)</f>
        <v>=DISPIMG("ID_31F71B3099BE47FE8B841FF6D2747DFE",1)</v>
      </c>
      <c r="D192" s="18" t="s">
        <v>360</v>
      </c>
      <c r="E192" s="19" t="s">
        <v>16</v>
      </c>
      <c r="F192" s="19">
        <v>8</v>
      </c>
    </row>
    <row r="193" ht="49.5" spans="1:6">
      <c r="A193" s="12">
        <v>25</v>
      </c>
      <c r="B193" s="16" t="s">
        <v>361</v>
      </c>
      <c r="C193" s="19" t="str">
        <f>_xlfn.DISPIMG("ID_EFC8719144514D97A4BD86FF7B0E1AAA",1)</f>
        <v>=DISPIMG("ID_EFC8719144514D97A4BD86FF7B0E1AAA",1)</v>
      </c>
      <c r="D193" s="18" t="s">
        <v>362</v>
      </c>
      <c r="E193" s="19" t="s">
        <v>16</v>
      </c>
      <c r="F193" s="19">
        <v>5</v>
      </c>
    </row>
    <row r="194" ht="33" spans="1:6">
      <c r="A194" s="12">
        <v>26</v>
      </c>
      <c r="B194" s="16" t="s">
        <v>363</v>
      </c>
      <c r="C194" s="19"/>
      <c r="D194" s="18" t="s">
        <v>364</v>
      </c>
      <c r="E194" s="19" t="s">
        <v>16</v>
      </c>
      <c r="F194" s="19">
        <v>15</v>
      </c>
    </row>
    <row r="195" ht="33" spans="1:6">
      <c r="A195" s="12">
        <v>27</v>
      </c>
      <c r="B195" s="16" t="s">
        <v>365</v>
      </c>
      <c r="C195" s="19" t="str">
        <f>_xlfn.DISPIMG("ID_E1C0DE17C22E457A9E084CB381C93191",1)</f>
        <v>=DISPIMG("ID_E1C0DE17C22E457A9E084CB381C93191",1)</v>
      </c>
      <c r="D195" s="18" t="s">
        <v>366</v>
      </c>
      <c r="E195" s="19" t="s">
        <v>16</v>
      </c>
      <c r="F195" s="19">
        <v>4</v>
      </c>
    </row>
    <row r="196" ht="52" customHeight="1" spans="1:6">
      <c r="A196" s="12">
        <v>28</v>
      </c>
      <c r="B196" s="16" t="s">
        <v>367</v>
      </c>
      <c r="C196" s="19"/>
      <c r="D196" s="18" t="s">
        <v>368</v>
      </c>
      <c r="E196" s="19" t="s">
        <v>13</v>
      </c>
      <c r="F196" s="19">
        <v>1</v>
      </c>
    </row>
    <row r="197" ht="69.45" spans="1:6">
      <c r="A197" s="12">
        <v>29</v>
      </c>
      <c r="B197" s="16" t="s">
        <v>369</v>
      </c>
      <c r="C197" s="17" t="str">
        <f>_xlfn.DISPIMG("ID_F5F209BED69E41D4AB0A8A49DDA01E6A",1)</f>
        <v>=DISPIMG("ID_F5F209BED69E41D4AB0A8A49DDA01E6A",1)</v>
      </c>
      <c r="D197" s="18" t="s">
        <v>370</v>
      </c>
      <c r="E197" s="19" t="s">
        <v>16</v>
      </c>
      <c r="F197" s="19">
        <v>2</v>
      </c>
    </row>
    <row r="198" ht="149.8" spans="1:6">
      <c r="A198" s="12">
        <v>30</v>
      </c>
      <c r="B198" s="16" t="s">
        <v>371</v>
      </c>
      <c r="C198" s="17" t="str">
        <f>_xlfn.DISPIMG("ID_846FC32722D34918B8FDB1C4FE31A3A4",1)</f>
        <v>=DISPIMG("ID_846FC32722D34918B8FDB1C4FE31A3A4",1)</v>
      </c>
      <c r="D198" s="18" t="s">
        <v>372</v>
      </c>
      <c r="E198" s="19" t="s">
        <v>21</v>
      </c>
      <c r="F198" s="19">
        <v>1</v>
      </c>
    </row>
    <row r="199" ht="82.5" spans="1:6">
      <c r="A199" s="12">
        <v>31</v>
      </c>
      <c r="B199" s="16" t="s">
        <v>331</v>
      </c>
      <c r="C199" s="17" t="str">
        <f>_xlfn.DISPIMG("ID_F6906734659B4DAA95D4997A315D4D23",1)</f>
        <v>=DISPIMG("ID_F6906734659B4DAA95D4997A315D4D23",1)</v>
      </c>
      <c r="D199" s="18" t="s">
        <v>373</v>
      </c>
      <c r="E199" s="19" t="s">
        <v>21</v>
      </c>
      <c r="F199" s="19">
        <v>1</v>
      </c>
    </row>
    <row r="200" ht="55.15" spans="1:6">
      <c r="A200" s="12">
        <v>32</v>
      </c>
      <c r="B200" s="16" t="s">
        <v>147</v>
      </c>
      <c r="C200" s="17" t="str">
        <f>_xlfn.DISPIMG("ID_A8C96DA7F386485DBA09CB273700814D",1)</f>
        <v>=DISPIMG("ID_A8C96DA7F386485DBA09CB273700814D",1)</v>
      </c>
      <c r="D200" s="18" t="s">
        <v>374</v>
      </c>
      <c r="E200" s="19" t="s">
        <v>34</v>
      </c>
      <c r="F200" s="19">
        <v>1</v>
      </c>
    </row>
    <row r="201" ht="89.45" spans="1:6">
      <c r="A201" s="12">
        <v>33</v>
      </c>
      <c r="B201" s="16" t="s">
        <v>375</v>
      </c>
      <c r="C201" s="17" t="str">
        <f>_xlfn.DISPIMG("ID_A2F79DB0CBD24883881AD481CE418FBD",1)</f>
        <v>=DISPIMG("ID_A2F79DB0CBD24883881AD481CE418FBD",1)</v>
      </c>
      <c r="D201" s="18" t="s">
        <v>376</v>
      </c>
      <c r="E201" s="19" t="s">
        <v>21</v>
      </c>
      <c r="F201" s="19">
        <v>1</v>
      </c>
    </row>
    <row r="202" ht="50.05" spans="1:6">
      <c r="A202" s="12">
        <v>34</v>
      </c>
      <c r="B202" s="16" t="s">
        <v>377</v>
      </c>
      <c r="C202" s="17" t="str">
        <f>_xlfn.DISPIMG("ID_52F285C5E0AE419988C4055DB914345B",1)</f>
        <v>=DISPIMG("ID_52F285C5E0AE419988C4055DB914345B",1)</v>
      </c>
      <c r="D202" s="18" t="s">
        <v>378</v>
      </c>
      <c r="E202" s="19" t="s">
        <v>16</v>
      </c>
      <c r="F202" s="19">
        <v>4</v>
      </c>
    </row>
    <row r="203" ht="200.25" spans="1:6">
      <c r="A203" s="12">
        <v>35</v>
      </c>
      <c r="B203" s="16" t="s">
        <v>110</v>
      </c>
      <c r="C203" s="17" t="str">
        <f>_xlfn.DISPIMG("ID_408B978F811346F89C13A6EBF9B51166",1)</f>
        <v>=DISPIMG("ID_408B978F811346F89C13A6EBF9B51166",1)</v>
      </c>
      <c r="D203" s="18" t="s">
        <v>379</v>
      </c>
      <c r="E203" s="19" t="s">
        <v>112</v>
      </c>
      <c r="F203" s="19">
        <v>2</v>
      </c>
    </row>
    <row r="204" ht="284" spans="1:6">
      <c r="A204" s="12">
        <v>36</v>
      </c>
      <c r="B204" s="16" t="s">
        <v>380</v>
      </c>
      <c r="C204" s="17" t="str">
        <f>_xlfn.DISPIMG("ID_189C1B7629D1443B8A39D328D1F9961F",1)</f>
        <v>=DISPIMG("ID_189C1B7629D1443B8A39D328D1F9961F",1)</v>
      </c>
      <c r="D204" s="18" t="s">
        <v>381</v>
      </c>
      <c r="E204" s="19" t="s">
        <v>112</v>
      </c>
      <c r="F204" s="19">
        <v>1</v>
      </c>
    </row>
    <row r="205" ht="284" spans="1:6">
      <c r="A205" s="12">
        <v>37</v>
      </c>
      <c r="B205" s="16" t="s">
        <v>382</v>
      </c>
      <c r="C205" s="17" t="str">
        <f>_xlfn.DISPIMG("ID_2FA32B21F48C48A0992ECE86118B5291",1)</f>
        <v>=DISPIMG("ID_2FA32B21F48C48A0992ECE86118B5291",1)</v>
      </c>
      <c r="D205" s="18" t="s">
        <v>383</v>
      </c>
      <c r="E205" s="19" t="s">
        <v>34</v>
      </c>
      <c r="F205" s="19">
        <v>1</v>
      </c>
    </row>
    <row r="206" ht="138" spans="1:6">
      <c r="A206" s="12">
        <v>38</v>
      </c>
      <c r="B206" s="16" t="s">
        <v>384</v>
      </c>
      <c r="C206" s="17" t="str">
        <f>_xlfn.DISPIMG("ID_3D10512F87564F7FB695949AA4F4700C",1)</f>
        <v>=DISPIMG("ID_3D10512F87564F7FB695949AA4F4700C",1)</v>
      </c>
      <c r="D206" s="18" t="s">
        <v>385</v>
      </c>
      <c r="E206" s="19" t="s">
        <v>16</v>
      </c>
      <c r="F206" s="19">
        <v>1</v>
      </c>
    </row>
    <row r="207" ht="194.4" spans="1:6">
      <c r="A207" s="12">
        <v>39</v>
      </c>
      <c r="B207" s="16" t="s">
        <v>386</v>
      </c>
      <c r="C207" s="17" t="str">
        <f>_xlfn.DISPIMG("ID_75655CA09C1344E6B4B9775B7F66D3A7",1)</f>
        <v>=DISPIMG("ID_75655CA09C1344E6B4B9775B7F66D3A7",1)</v>
      </c>
      <c r="D207" s="18" t="s">
        <v>387</v>
      </c>
      <c r="E207" s="19" t="s">
        <v>34</v>
      </c>
      <c r="F207" s="19">
        <v>1</v>
      </c>
    </row>
    <row r="208" ht="194.4" spans="1:6">
      <c r="A208" s="12">
        <v>40</v>
      </c>
      <c r="B208" s="16" t="s">
        <v>110</v>
      </c>
      <c r="C208" s="17" t="str">
        <f>_xlfn.DISPIMG("ID_75655CA09C1344E6B4B9775B7F66D3A7",1)</f>
        <v>=DISPIMG("ID_75655CA09C1344E6B4B9775B7F66D3A7",1)</v>
      </c>
      <c r="D208" s="18" t="s">
        <v>388</v>
      </c>
      <c r="E208" s="19" t="s">
        <v>112</v>
      </c>
      <c r="F208" s="19">
        <v>2</v>
      </c>
    </row>
    <row r="209" ht="172.5" spans="1:6">
      <c r="A209" s="12">
        <v>41</v>
      </c>
      <c r="B209" s="16" t="s">
        <v>389</v>
      </c>
      <c r="C209" s="17" t="str">
        <f>_xlfn.DISPIMG("ID_369C280C5C434076BB9BA0D1E356C689",1)</f>
        <v>=DISPIMG("ID_369C280C5C434076BB9BA0D1E356C689",1)</v>
      </c>
      <c r="D209" s="18" t="s">
        <v>390</v>
      </c>
      <c r="E209" s="19" t="s">
        <v>112</v>
      </c>
      <c r="F209" s="19">
        <v>6</v>
      </c>
    </row>
    <row r="210" ht="90.7" spans="1:6">
      <c r="A210" s="12">
        <v>42</v>
      </c>
      <c r="B210" s="16" t="s">
        <v>391</v>
      </c>
      <c r="C210" s="17" t="str">
        <f>_xlfn.DISPIMG("ID_C6CE3961F74541B297074E0395BC090F",1)</f>
        <v>=DISPIMG("ID_C6CE3961F74541B297074E0395BC090F",1)</v>
      </c>
      <c r="D210" s="18" t="s">
        <v>392</v>
      </c>
      <c r="E210" s="19" t="s">
        <v>13</v>
      </c>
      <c r="F210" s="19">
        <v>40</v>
      </c>
    </row>
    <row r="211" ht="200.25" spans="1:6">
      <c r="A211" s="12">
        <v>43</v>
      </c>
      <c r="B211" s="16" t="s">
        <v>393</v>
      </c>
      <c r="C211" s="17" t="str">
        <f>_xlfn.DISPIMG("ID_883423C6722B4027A86A68E29665FF71",1)</f>
        <v>=DISPIMG("ID_883423C6722B4027A86A68E29665FF71",1)</v>
      </c>
      <c r="D211" s="18" t="s">
        <v>394</v>
      </c>
      <c r="E211" s="19" t="s">
        <v>21</v>
      </c>
      <c r="F211" s="19">
        <v>1</v>
      </c>
    </row>
    <row r="212" ht="185.25" spans="1:6">
      <c r="A212" s="12">
        <v>44</v>
      </c>
      <c r="B212" s="16" t="s">
        <v>375</v>
      </c>
      <c r="C212" s="17" t="str">
        <f>_xlfn.DISPIMG("ID_A093CEF21C1441599B02227B529C3B13",1)</f>
        <v>=DISPIMG("ID_A093CEF21C1441599B02227B529C3B13",1)</v>
      </c>
      <c r="D212" s="18" t="s">
        <v>395</v>
      </c>
      <c r="E212" s="19" t="s">
        <v>21</v>
      </c>
      <c r="F212" s="19">
        <v>1</v>
      </c>
    </row>
    <row r="213" ht="70.45" spans="1:6">
      <c r="A213" s="12">
        <v>45</v>
      </c>
      <c r="B213" s="16" t="s">
        <v>396</v>
      </c>
      <c r="C213" s="17" t="str">
        <f>_xlfn.DISPIMG("ID_1FC1AB2C028C41CFB0A5A49319284B1E",1)</f>
        <v>=DISPIMG("ID_1FC1AB2C028C41CFB0A5A49319284B1E",1)</v>
      </c>
      <c r="D213" s="18" t="s">
        <v>397</v>
      </c>
      <c r="E213" s="19" t="s">
        <v>21</v>
      </c>
      <c r="F213" s="19">
        <v>1</v>
      </c>
    </row>
    <row r="214" ht="63.95" spans="1:6">
      <c r="A214" s="12">
        <v>46</v>
      </c>
      <c r="B214" s="16" t="s">
        <v>398</v>
      </c>
      <c r="C214" s="17" t="str">
        <f>_xlfn.DISPIMG("ID_55D0B61CD09D42668197E2E68C83FBE6",1)</f>
        <v>=DISPIMG("ID_55D0B61CD09D42668197E2E68C83FBE6",1)</v>
      </c>
      <c r="D214" s="18" t="s">
        <v>399</v>
      </c>
      <c r="E214" s="19" t="s">
        <v>21</v>
      </c>
      <c r="F214" s="19">
        <v>1</v>
      </c>
    </row>
    <row r="215" ht="71.65" spans="1:6">
      <c r="A215" s="12">
        <v>47</v>
      </c>
      <c r="B215" s="16" t="s">
        <v>400</v>
      </c>
      <c r="C215" s="17" t="str">
        <f>_xlfn.DISPIMG("ID_9EB431FF157E4428A6439F3CCA092AE2",1)</f>
        <v>=DISPIMG("ID_9EB431FF157E4428A6439F3CCA092AE2",1)</v>
      </c>
      <c r="D215" s="18" t="s">
        <v>401</v>
      </c>
      <c r="E215" s="19" t="s">
        <v>21</v>
      </c>
      <c r="F215" s="19">
        <v>1</v>
      </c>
    </row>
    <row r="216" ht="68.55" spans="1:6">
      <c r="A216" s="12">
        <v>48</v>
      </c>
      <c r="B216" s="16" t="s">
        <v>402</v>
      </c>
      <c r="C216" s="17" t="str">
        <f>_xlfn.DISPIMG("ID_20E60F72F5AA45A6B2E3FFA187F4EAD6",1)</f>
        <v>=DISPIMG("ID_20E60F72F5AA45A6B2E3FFA187F4EAD6",1)</v>
      </c>
      <c r="D216" s="18" t="s">
        <v>403</v>
      </c>
      <c r="E216" s="19" t="s">
        <v>21</v>
      </c>
      <c r="F216" s="19">
        <v>1</v>
      </c>
    </row>
    <row r="217" ht="59.15" spans="1:6">
      <c r="A217" s="12">
        <v>49</v>
      </c>
      <c r="B217" s="16" t="s">
        <v>404</v>
      </c>
      <c r="C217" s="17" t="str">
        <f>_xlfn.DISPIMG("ID_748F9BD0505E4FA19B062D54DBAAD373",1)</f>
        <v>=DISPIMG("ID_748F9BD0505E4FA19B062D54DBAAD373",1)</v>
      </c>
      <c r="D217" s="18" t="s">
        <v>405</v>
      </c>
      <c r="E217" s="19" t="s">
        <v>13</v>
      </c>
      <c r="F217" s="19">
        <v>1</v>
      </c>
    </row>
    <row r="218" ht="82.5" spans="1:6">
      <c r="A218" s="12">
        <v>50</v>
      </c>
      <c r="B218" s="16" t="s">
        <v>406</v>
      </c>
      <c r="C218" s="17" t="str">
        <f>_xlfn.DISPIMG("ID_B75BC593C5594D7BA39C8FCA90F1016D",1)</f>
        <v>=DISPIMG("ID_B75BC593C5594D7BA39C8FCA90F1016D",1)</v>
      </c>
      <c r="D218" s="18" t="s">
        <v>407</v>
      </c>
      <c r="E218" s="19" t="s">
        <v>16</v>
      </c>
      <c r="F218" s="19">
        <v>1</v>
      </c>
    </row>
    <row r="219" ht="80.1" spans="1:6">
      <c r="A219" s="12">
        <v>51</v>
      </c>
      <c r="B219" s="16" t="s">
        <v>408</v>
      </c>
      <c r="C219" s="17" t="str">
        <f>_xlfn.DISPIMG("ID_0BF1687DFF1A490AA06F29BF68FC52C6",1)</f>
        <v>=DISPIMG("ID_0BF1687DFF1A490AA06F29BF68FC52C6",1)</v>
      </c>
      <c r="D219" s="18" t="s">
        <v>409</v>
      </c>
      <c r="E219" s="19" t="s">
        <v>21</v>
      </c>
      <c r="F219" s="19">
        <v>1</v>
      </c>
    </row>
    <row r="220" ht="65.95" spans="1:6">
      <c r="A220" s="12">
        <v>52</v>
      </c>
      <c r="B220" s="16" t="s">
        <v>410</v>
      </c>
      <c r="C220" s="17" t="str">
        <f>_xlfn.DISPIMG("ID_E2070EB688844C20A6276E1CDB25BD04",1)</f>
        <v>=DISPIMG("ID_E2070EB688844C20A6276E1CDB25BD04",1)</v>
      </c>
      <c r="D220" s="18" t="s">
        <v>411</v>
      </c>
      <c r="E220" s="19" t="s">
        <v>21</v>
      </c>
      <c r="F220" s="19">
        <v>1</v>
      </c>
    </row>
    <row r="221" ht="66" spans="1:6">
      <c r="A221" s="12">
        <v>53</v>
      </c>
      <c r="B221" s="16" t="s">
        <v>412</v>
      </c>
      <c r="C221" s="17" t="str">
        <f>_xlfn.DISPIMG("ID_CB0634C6416649FB9C6ADAF3EDEEA48C",1)</f>
        <v>=DISPIMG("ID_CB0634C6416649FB9C6ADAF3EDEEA48C",1)</v>
      </c>
      <c r="D221" s="18" t="s">
        <v>413</v>
      </c>
      <c r="E221" s="19" t="s">
        <v>21</v>
      </c>
      <c r="F221" s="19">
        <v>1</v>
      </c>
    </row>
    <row r="222" ht="49.5" spans="1:6">
      <c r="A222" s="12">
        <v>54</v>
      </c>
      <c r="B222" s="17" t="s">
        <v>396</v>
      </c>
      <c r="C222" s="18" t="str">
        <f>_xlfn.DISPIMG("ID_7BD29984C96D49B0BF2C6454A74AB70B",1)</f>
        <v>=DISPIMG("ID_7BD29984C96D49B0BF2C6454A74AB70B",1)</v>
      </c>
      <c r="D222" s="18" t="s">
        <v>414</v>
      </c>
      <c r="E222" s="19" t="s">
        <v>21</v>
      </c>
      <c r="F222" s="19">
        <v>1</v>
      </c>
    </row>
    <row r="223" ht="66" spans="1:6">
      <c r="A223" s="12">
        <v>55</v>
      </c>
      <c r="B223" s="16" t="s">
        <v>415</v>
      </c>
      <c r="C223" s="17" t="str">
        <f>_xlfn.DISPIMG("ID_7B8DEFF855D248A895A3ABF56027592C",1)</f>
        <v>=DISPIMG("ID_7B8DEFF855D248A895A3ABF56027592C",1)</v>
      </c>
      <c r="D223" s="18" t="s">
        <v>416</v>
      </c>
      <c r="E223" s="19" t="s">
        <v>21</v>
      </c>
      <c r="F223" s="19">
        <v>1</v>
      </c>
    </row>
    <row r="224" ht="65.35" spans="1:6">
      <c r="A224" s="12">
        <v>56</v>
      </c>
      <c r="B224" s="16" t="s">
        <v>417</v>
      </c>
      <c r="C224" s="17" t="str">
        <f>_xlfn.DISPIMG("ID_72F3889F5B494746A8FD156FDCD10D4D",1)</f>
        <v>=DISPIMG("ID_72F3889F5B494746A8FD156FDCD10D4D",1)</v>
      </c>
      <c r="D224" s="18" t="s">
        <v>418</v>
      </c>
      <c r="E224" s="19" t="s">
        <v>419</v>
      </c>
      <c r="F224" s="19">
        <v>10</v>
      </c>
    </row>
    <row r="225" ht="69" spans="1:6">
      <c r="A225" s="12">
        <v>57</v>
      </c>
      <c r="B225" s="16" t="s">
        <v>420</v>
      </c>
      <c r="C225" s="17" t="str">
        <f>_xlfn.DISPIMG("ID_BC25C799CE354E3BB24ECBF28FD46D43",1)</f>
        <v>=DISPIMG("ID_BC25C799CE354E3BB24ECBF28FD46D43",1)</v>
      </c>
      <c r="D225" s="18" t="s">
        <v>421</v>
      </c>
      <c r="E225" s="19" t="s">
        <v>16</v>
      </c>
      <c r="F225" s="19">
        <v>1</v>
      </c>
    </row>
    <row r="226" ht="60.75" spans="1:6">
      <c r="A226" s="12">
        <v>58</v>
      </c>
      <c r="B226" s="16" t="s">
        <v>422</v>
      </c>
      <c r="C226" s="17" t="str">
        <f>_xlfn.DISPIMG("ID_CBE786DD40BC4D7EA7328468AB3E9FBA",1)</f>
        <v>=DISPIMG("ID_CBE786DD40BC4D7EA7328468AB3E9FBA",1)</v>
      </c>
      <c r="D226" s="18" t="s">
        <v>423</v>
      </c>
      <c r="E226" s="19" t="s">
        <v>16</v>
      </c>
      <c r="F226" s="19">
        <v>10</v>
      </c>
    </row>
    <row r="227" ht="48.8" spans="1:6">
      <c r="A227" s="12">
        <v>59</v>
      </c>
      <c r="B227" s="16" t="s">
        <v>424</v>
      </c>
      <c r="C227" s="17" t="str">
        <f>_xlfn.DISPIMG("ID_BD3BDCD6EB7547249ED74C3BD6F72D3D",1)</f>
        <v>=DISPIMG("ID_BD3BDCD6EB7547249ED74C3BD6F72D3D",1)</v>
      </c>
      <c r="D227" s="18" t="s">
        <v>425</v>
      </c>
      <c r="E227" s="19" t="s">
        <v>16</v>
      </c>
      <c r="F227" s="19">
        <v>10</v>
      </c>
    </row>
    <row r="228" ht="69.75" spans="1:6">
      <c r="A228" s="12">
        <v>60</v>
      </c>
      <c r="B228" s="16" t="s">
        <v>426</v>
      </c>
      <c r="C228" s="17" t="str">
        <f>_xlfn.DISPIMG("ID_2DFAFBFC0CB647F7BBF62B6E872F128B",1)</f>
        <v>=DISPIMG("ID_2DFAFBFC0CB647F7BBF62B6E872F128B",1)</v>
      </c>
      <c r="D228" s="18" t="s">
        <v>427</v>
      </c>
      <c r="E228" s="19" t="s">
        <v>16</v>
      </c>
      <c r="F228" s="19">
        <v>10</v>
      </c>
    </row>
    <row r="229" ht="51.25" spans="1:6">
      <c r="A229" s="12">
        <v>61</v>
      </c>
      <c r="B229" s="16" t="s">
        <v>428</v>
      </c>
      <c r="C229" s="17" t="str">
        <f>_xlfn.DISPIMG("ID_D3776474DBE74B42B332468F77895845",1)</f>
        <v>=DISPIMG("ID_D3776474DBE74B42B332468F77895845",1)</v>
      </c>
      <c r="D229" s="18" t="s">
        <v>429</v>
      </c>
      <c r="E229" s="19" t="s">
        <v>64</v>
      </c>
      <c r="F229" s="19">
        <v>4</v>
      </c>
    </row>
    <row r="230" ht="52.8" spans="1:6">
      <c r="A230" s="12">
        <v>62</v>
      </c>
      <c r="B230" s="16" t="s">
        <v>430</v>
      </c>
      <c r="C230" s="17" t="str">
        <f>_xlfn.DISPIMG("ID_2F71307160F34C16893226802C2B302A",1)</f>
        <v>=DISPIMG("ID_2F71307160F34C16893226802C2B302A",1)</v>
      </c>
      <c r="D230" s="18" t="s">
        <v>431</v>
      </c>
      <c r="E230" s="19" t="s">
        <v>64</v>
      </c>
      <c r="F230" s="19">
        <v>1</v>
      </c>
    </row>
    <row r="231" ht="55.7" spans="1:6">
      <c r="A231" s="12">
        <v>63</v>
      </c>
      <c r="B231" s="16" t="s">
        <v>432</v>
      </c>
      <c r="C231" s="17" t="str">
        <f>_xlfn.DISPIMG("ID_A92E1789C4E748CA87D585C22BE69D1C",1)</f>
        <v>=DISPIMG("ID_A92E1789C4E748CA87D585C22BE69D1C",1)</v>
      </c>
      <c r="D231" s="18" t="s">
        <v>433</v>
      </c>
      <c r="E231" s="19" t="s">
        <v>64</v>
      </c>
      <c r="F231" s="19">
        <v>4</v>
      </c>
    </row>
    <row r="232" ht="49.5" spans="1:6">
      <c r="A232" s="12">
        <v>64</v>
      </c>
      <c r="B232" s="16" t="s">
        <v>434</v>
      </c>
      <c r="C232" s="17" t="str">
        <f>_xlfn.DISPIMG("ID_0F5CF9C74A754A418E58F914BB0CC100",1)</f>
        <v>=DISPIMG("ID_0F5CF9C74A754A418E58F914BB0CC100",1)</v>
      </c>
      <c r="D232" s="18" t="s">
        <v>435</v>
      </c>
      <c r="E232" s="19" t="s">
        <v>16</v>
      </c>
      <c r="F232" s="19">
        <v>4</v>
      </c>
    </row>
    <row r="233" ht="58.9" spans="1:6">
      <c r="A233" s="12">
        <v>65</v>
      </c>
      <c r="B233" s="16" t="s">
        <v>436</v>
      </c>
      <c r="C233" s="17" t="str">
        <f>_xlfn.DISPIMG("ID_71EC79CE5D5C479F9138C30F905ADB4A",1)</f>
        <v>=DISPIMG("ID_71EC79CE5D5C479F9138C30F905ADB4A",1)</v>
      </c>
      <c r="D233" s="18" t="s">
        <v>437</v>
      </c>
      <c r="E233" s="19" t="s">
        <v>64</v>
      </c>
      <c r="F233" s="19">
        <v>10</v>
      </c>
    </row>
    <row r="234" ht="60" spans="1:6">
      <c r="A234" s="12">
        <v>66</v>
      </c>
      <c r="B234" s="16" t="s">
        <v>438</v>
      </c>
      <c r="C234" s="17" t="str">
        <f>_xlfn.DISPIMG("ID_71235739154E42D2912E6ED0BF25176D",1)</f>
        <v>=DISPIMG("ID_71235739154E42D2912E6ED0BF25176D",1)</v>
      </c>
      <c r="D234" s="18" t="s">
        <v>439</v>
      </c>
      <c r="E234" s="19" t="s">
        <v>419</v>
      </c>
      <c r="F234" s="19">
        <v>2</v>
      </c>
    </row>
    <row r="235" ht="63.25" spans="1:6">
      <c r="A235" s="12">
        <v>67</v>
      </c>
      <c r="B235" s="16" t="s">
        <v>440</v>
      </c>
      <c r="C235" s="17" t="str">
        <f>_xlfn.DISPIMG("ID_BAAC90E1D59345A2BA7F179FEF05AC3A",1)</f>
        <v>=DISPIMG("ID_BAAC90E1D59345A2BA7F179FEF05AC3A",1)</v>
      </c>
      <c r="D235" s="18" t="s">
        <v>439</v>
      </c>
      <c r="E235" s="19" t="s">
        <v>419</v>
      </c>
      <c r="F235" s="19">
        <v>2</v>
      </c>
    </row>
    <row r="236" ht="70.25" spans="1:6">
      <c r="A236" s="12">
        <v>68</v>
      </c>
      <c r="B236" s="16" t="s">
        <v>441</v>
      </c>
      <c r="C236" s="17" t="str">
        <f>_xlfn.DISPIMG("ID_21CA0D1FB08D4EB1B9A337B302C5DB2B",1)</f>
        <v>=DISPIMG("ID_21CA0D1FB08D4EB1B9A337B302C5DB2B",1)</v>
      </c>
      <c r="D236" s="18" t="s">
        <v>442</v>
      </c>
      <c r="E236" s="19" t="s">
        <v>419</v>
      </c>
      <c r="F236" s="19">
        <v>2</v>
      </c>
    </row>
    <row r="237" ht="58.75" spans="1:6">
      <c r="A237" s="12">
        <v>69</v>
      </c>
      <c r="B237" s="16" t="s">
        <v>443</v>
      </c>
      <c r="C237" s="17" t="str">
        <f>_xlfn.DISPIMG("ID_322DBD85325B4CBEBAECCA34444E0A82",1)</f>
        <v>=DISPIMG("ID_322DBD85325B4CBEBAECCA34444E0A82",1)</v>
      </c>
      <c r="D237" s="18" t="s">
        <v>442</v>
      </c>
      <c r="E237" s="19" t="s">
        <v>419</v>
      </c>
      <c r="F237" s="19">
        <v>2</v>
      </c>
    </row>
    <row r="238" ht="38.75" spans="1:6">
      <c r="A238" s="12">
        <v>70</v>
      </c>
      <c r="B238" s="16" t="s">
        <v>444</v>
      </c>
      <c r="C238" s="17" t="str">
        <f>_xlfn.DISPIMG("ID_58AE172CDD0946D38BB49F0A032211F6",1)</f>
        <v>=DISPIMG("ID_58AE172CDD0946D38BB49F0A032211F6",1)</v>
      </c>
      <c r="D238" s="18" t="s">
        <v>445</v>
      </c>
      <c r="E238" s="19" t="s">
        <v>419</v>
      </c>
      <c r="F238" s="19">
        <v>6</v>
      </c>
    </row>
    <row r="239" ht="58.9" spans="1:6">
      <c r="A239" s="12">
        <v>71</v>
      </c>
      <c r="B239" s="16" t="s">
        <v>446</v>
      </c>
      <c r="C239" s="17" t="str">
        <f>_xlfn.DISPIMG("ID_4DE095C639A544748E153A4D154AC970",1)</f>
        <v>=DISPIMG("ID_4DE095C639A544748E153A4D154AC970",1)</v>
      </c>
      <c r="D239" s="18" t="s">
        <v>447</v>
      </c>
      <c r="E239" s="19" t="s">
        <v>448</v>
      </c>
      <c r="F239" s="19">
        <v>5</v>
      </c>
    </row>
    <row r="240" ht="58.95" spans="1:6">
      <c r="A240" s="12">
        <v>72</v>
      </c>
      <c r="B240" s="16" t="s">
        <v>449</v>
      </c>
      <c r="C240" s="17" t="str">
        <f>_xlfn.DISPIMG("ID_65798071AFD3491692B2D48CB59E0F1A",1)</f>
        <v>=DISPIMG("ID_65798071AFD3491692B2D48CB59E0F1A",1)</v>
      </c>
      <c r="D240" s="18" t="s">
        <v>447</v>
      </c>
      <c r="E240" s="19" t="s">
        <v>448</v>
      </c>
      <c r="F240" s="19">
        <v>5</v>
      </c>
    </row>
    <row r="241" ht="33.55" spans="1:6">
      <c r="A241" s="12">
        <v>73</v>
      </c>
      <c r="B241" s="16" t="s">
        <v>450</v>
      </c>
      <c r="C241" s="17" t="str">
        <f>_xlfn.DISPIMG("ID_B950A0FA02E9411A86FAD9900A68C6FE",1)</f>
        <v>=DISPIMG("ID_B950A0FA02E9411A86FAD9900A68C6FE",1)</v>
      </c>
      <c r="D241" s="18" t="s">
        <v>451</v>
      </c>
      <c r="E241" s="19" t="s">
        <v>419</v>
      </c>
      <c r="F241" s="19">
        <v>2</v>
      </c>
    </row>
    <row r="242" ht="33.75" spans="1:6">
      <c r="A242" s="12">
        <v>74</v>
      </c>
      <c r="B242" s="16" t="s">
        <v>452</v>
      </c>
      <c r="C242" s="17" t="str">
        <f>_xlfn.DISPIMG("ID_75B3C5484CB049D6A8820BD72917F5EB",1)</f>
        <v>=DISPIMG("ID_75B3C5484CB049D6A8820BD72917F5EB",1)</v>
      </c>
      <c r="D242" s="18" t="s">
        <v>453</v>
      </c>
      <c r="E242" s="19" t="s">
        <v>419</v>
      </c>
      <c r="F242" s="19">
        <v>10</v>
      </c>
    </row>
    <row r="243" ht="38.35" spans="1:6">
      <c r="A243" s="12">
        <v>75</v>
      </c>
      <c r="B243" s="16" t="s">
        <v>454</v>
      </c>
      <c r="C243" s="17" t="str">
        <f>_xlfn.DISPIMG("ID_46EF0C033FF548AFAC2282BC5E254054",1)</f>
        <v>=DISPIMG("ID_46EF0C033FF548AFAC2282BC5E254054",1)</v>
      </c>
      <c r="D243" s="18" t="s">
        <v>455</v>
      </c>
      <c r="E243" s="19" t="s">
        <v>456</v>
      </c>
      <c r="F243" s="19">
        <v>10</v>
      </c>
    </row>
    <row r="244" ht="59.55" spans="1:6">
      <c r="A244" s="12">
        <v>76</v>
      </c>
      <c r="B244" s="16" t="s">
        <v>457</v>
      </c>
      <c r="C244" s="17" t="str">
        <f>_xlfn.DISPIMG("ID_859444812A8E4FADBEF78168DD1617DF",1)</f>
        <v>=DISPIMG("ID_859444812A8E4FADBEF78168DD1617DF",1)</v>
      </c>
      <c r="D244" s="18" t="s">
        <v>458</v>
      </c>
      <c r="E244" s="19" t="s">
        <v>419</v>
      </c>
      <c r="F244" s="19">
        <v>4</v>
      </c>
    </row>
    <row r="245" ht="34.95" spans="1:6">
      <c r="A245" s="12">
        <v>77</v>
      </c>
      <c r="B245" s="16" t="s">
        <v>459</v>
      </c>
      <c r="C245" s="17" t="str">
        <f>_xlfn.DISPIMG("ID_2209F0D70A924346AA59690F98DF69A3",1)</f>
        <v>=DISPIMG("ID_2209F0D70A924346AA59690F98DF69A3",1)</v>
      </c>
      <c r="D245" s="18" t="s">
        <v>460</v>
      </c>
      <c r="E245" s="19" t="s">
        <v>64</v>
      </c>
      <c r="F245" s="19">
        <v>2</v>
      </c>
    </row>
    <row r="246" ht="41.2" spans="1:6">
      <c r="A246" s="12">
        <v>78</v>
      </c>
      <c r="B246" s="16" t="s">
        <v>461</v>
      </c>
      <c r="C246" s="17" t="str">
        <f>_xlfn.DISPIMG("ID_2719E91955F941B2ABCB469A1D484576",1)</f>
        <v>=DISPIMG("ID_2719E91955F941B2ABCB469A1D484576",1)</v>
      </c>
      <c r="D246" s="18" t="s">
        <v>462</v>
      </c>
      <c r="E246" s="19" t="s">
        <v>64</v>
      </c>
      <c r="F246" s="19">
        <v>2</v>
      </c>
    </row>
    <row r="247" ht="64" spans="1:6">
      <c r="A247" s="12">
        <v>79</v>
      </c>
      <c r="B247" s="16" t="s">
        <v>463</v>
      </c>
      <c r="C247" s="17" t="str">
        <f>_xlfn.DISPIMG("ID_1DC3A747D78C434B9CF84485F83F8E08",1)</f>
        <v>=DISPIMG("ID_1DC3A747D78C434B9CF84485F83F8E08",1)</v>
      </c>
      <c r="D247" s="18" t="s">
        <v>464</v>
      </c>
      <c r="E247" s="19" t="s">
        <v>64</v>
      </c>
      <c r="F247" s="19">
        <v>2</v>
      </c>
    </row>
    <row r="248" ht="53.9" spans="1:6">
      <c r="A248" s="12">
        <v>80</v>
      </c>
      <c r="B248" s="16" t="s">
        <v>465</v>
      </c>
      <c r="C248" s="17" t="str">
        <f>_xlfn.DISPIMG("ID_8C0A9A49F30D49EBA4A001CFC95B613D",1)</f>
        <v>=DISPIMG("ID_8C0A9A49F30D49EBA4A001CFC95B613D",1)</v>
      </c>
      <c r="D248" s="18" t="s">
        <v>466</v>
      </c>
      <c r="E248" s="19" t="s">
        <v>467</v>
      </c>
      <c r="F248" s="19">
        <v>10</v>
      </c>
    </row>
    <row r="249" ht="42.95" spans="1:6">
      <c r="A249" s="12">
        <v>81</v>
      </c>
      <c r="B249" s="16" t="s">
        <v>468</v>
      </c>
      <c r="C249" s="17" t="str">
        <f>_xlfn.DISPIMG("ID_D27E53999DF34B1CB2A94A0868039077",1)</f>
        <v>=DISPIMG("ID_D27E53999DF34B1CB2A94A0868039077",1)</v>
      </c>
      <c r="D249" s="18" t="s">
        <v>469</v>
      </c>
      <c r="E249" s="19" t="s">
        <v>467</v>
      </c>
      <c r="F249" s="19">
        <v>10</v>
      </c>
    </row>
    <row r="250" ht="45.3" spans="1:6">
      <c r="A250" s="12">
        <v>82</v>
      </c>
      <c r="B250" s="16" t="s">
        <v>470</v>
      </c>
      <c r="C250" s="17" t="str">
        <f>_xlfn.DISPIMG("ID_662A13EAE7CC4C6199E90E3DF39A53D5",1)</f>
        <v>=DISPIMG("ID_662A13EAE7CC4C6199E90E3DF39A53D5",1)</v>
      </c>
      <c r="D250" s="18" t="s">
        <v>471</v>
      </c>
      <c r="E250" s="19" t="s">
        <v>467</v>
      </c>
      <c r="F250" s="19">
        <v>3</v>
      </c>
    </row>
    <row r="251" ht="49.5" spans="1:6">
      <c r="A251" s="12">
        <v>83</v>
      </c>
      <c r="B251" s="16" t="s">
        <v>472</v>
      </c>
      <c r="C251" s="17" t="str">
        <f>_xlfn.DISPIMG("ID_EFAF55F2FF50438D86C9544E9E21810D",1)</f>
        <v>=DISPIMG("ID_EFAF55F2FF50438D86C9544E9E21810D",1)</v>
      </c>
      <c r="D251" s="18" t="s">
        <v>473</v>
      </c>
      <c r="E251" s="19" t="s">
        <v>467</v>
      </c>
      <c r="F251" s="19">
        <v>3</v>
      </c>
    </row>
    <row r="252" ht="53.15" spans="1:6">
      <c r="A252" s="12">
        <v>84</v>
      </c>
      <c r="B252" s="16" t="s">
        <v>474</v>
      </c>
      <c r="C252" s="17" t="str">
        <f>_xlfn.DISPIMG("ID_9926823540434CED978CED040D4D512B",1)</f>
        <v>=DISPIMG("ID_9926823540434CED978CED040D4D512B",1)</v>
      </c>
      <c r="D252" s="18" t="s">
        <v>475</v>
      </c>
      <c r="E252" s="19" t="s">
        <v>476</v>
      </c>
      <c r="F252" s="19">
        <v>20</v>
      </c>
    </row>
    <row r="253" ht="47.3" spans="1:6">
      <c r="A253" s="12">
        <v>85</v>
      </c>
      <c r="B253" s="16" t="s">
        <v>477</v>
      </c>
      <c r="C253" s="17" t="str">
        <f>_xlfn.DISPIMG("ID_AD8FAD94D601480BB1BB429D9E2B3945",1)</f>
        <v>=DISPIMG("ID_AD8FAD94D601480BB1BB429D9E2B3945",1)</v>
      </c>
      <c r="D253" s="18" t="s">
        <v>478</v>
      </c>
      <c r="E253" s="19" t="s">
        <v>479</v>
      </c>
      <c r="F253" s="19">
        <v>6</v>
      </c>
    </row>
    <row r="254" ht="44.15" spans="1:6">
      <c r="A254" s="12">
        <v>86</v>
      </c>
      <c r="B254" s="16" t="s">
        <v>480</v>
      </c>
      <c r="C254" s="17" t="str">
        <f>_xlfn.DISPIMG("ID_C065FF52D0734FDCA285A123B2D12C0B",1)</f>
        <v>=DISPIMG("ID_C065FF52D0734FDCA285A123B2D12C0B",1)</v>
      </c>
      <c r="D254" s="18" t="s">
        <v>481</v>
      </c>
      <c r="E254" s="19" t="s">
        <v>467</v>
      </c>
      <c r="F254" s="19">
        <v>2</v>
      </c>
    </row>
    <row r="255" ht="56.25" spans="1:6">
      <c r="A255" s="12">
        <v>87</v>
      </c>
      <c r="B255" s="16" t="s">
        <v>482</v>
      </c>
      <c r="C255" s="17" t="str">
        <f>_xlfn.DISPIMG("ID_8A7B396DD91F4EDFBE35B8738BEC0AED",1)</f>
        <v>=DISPIMG("ID_8A7B396DD91F4EDFBE35B8738BEC0AED",1)</v>
      </c>
      <c r="D255" s="18" t="s">
        <v>483</v>
      </c>
      <c r="E255" s="19" t="s">
        <v>64</v>
      </c>
      <c r="F255" s="19">
        <v>5</v>
      </c>
    </row>
    <row r="256" ht="33.95" spans="1:6">
      <c r="A256" s="12">
        <v>88</v>
      </c>
      <c r="B256" s="16" t="s">
        <v>484</v>
      </c>
      <c r="C256" s="17" t="str">
        <f>_xlfn.DISPIMG("ID_B206D756D6AD46F1A61D9EB5555B146C",1)</f>
        <v>=DISPIMG("ID_B206D756D6AD46F1A61D9EB5555B146C",1)</v>
      </c>
      <c r="D256" s="18" t="s">
        <v>485</v>
      </c>
      <c r="E256" s="19" t="s">
        <v>467</v>
      </c>
      <c r="F256" s="19">
        <v>1</v>
      </c>
    </row>
    <row r="257" ht="49.6" spans="1:6">
      <c r="A257" s="12">
        <v>89</v>
      </c>
      <c r="B257" s="16" t="s">
        <v>486</v>
      </c>
      <c r="C257" s="17" t="str">
        <f>_xlfn.DISPIMG("ID_B4C09FDE0ECF468D8FDC91A0AFCA2015",1)</f>
        <v>=DISPIMG("ID_B4C09FDE0ECF468D8FDC91A0AFCA2015",1)</v>
      </c>
      <c r="D257" s="18" t="s">
        <v>487</v>
      </c>
      <c r="E257" s="19" t="s">
        <v>16</v>
      </c>
      <c r="F257" s="19">
        <v>40</v>
      </c>
    </row>
    <row r="258" ht="54.3" spans="1:6">
      <c r="A258" s="12">
        <v>90</v>
      </c>
      <c r="B258" s="16" t="s">
        <v>488</v>
      </c>
      <c r="C258" s="17" t="str">
        <f>_xlfn.DISPIMG("ID_93E4EC1C54BC4EA58F2A9CBA0D0C26EA",1)</f>
        <v>=DISPIMG("ID_93E4EC1C54BC4EA58F2A9CBA0D0C26EA",1)</v>
      </c>
      <c r="D258" s="18" t="s">
        <v>489</v>
      </c>
      <c r="E258" s="19" t="s">
        <v>16</v>
      </c>
      <c r="F258" s="19">
        <v>40</v>
      </c>
    </row>
    <row r="259" ht="51.55" spans="1:6">
      <c r="A259" s="12">
        <v>91</v>
      </c>
      <c r="B259" s="16" t="s">
        <v>490</v>
      </c>
      <c r="C259" s="17" t="str">
        <f>_xlfn.DISPIMG("ID_E4690F699D3442F0B7A72BE9E6A9F473",1)</f>
        <v>=DISPIMG("ID_E4690F699D3442F0B7A72BE9E6A9F473",1)</v>
      </c>
      <c r="D259" s="18" t="s">
        <v>491</v>
      </c>
      <c r="E259" s="19" t="s">
        <v>467</v>
      </c>
      <c r="F259" s="19">
        <v>10</v>
      </c>
    </row>
    <row r="260" ht="42.95" spans="1:6">
      <c r="A260" s="12">
        <v>92</v>
      </c>
      <c r="B260" s="16" t="s">
        <v>492</v>
      </c>
      <c r="C260" s="17" t="str">
        <f>_xlfn.DISPIMG("ID_567E7FB674D744B29497C719AC631D68",1)</f>
        <v>=DISPIMG("ID_567E7FB674D744B29497C719AC631D68",1)</v>
      </c>
      <c r="D260" s="18" t="s">
        <v>493</v>
      </c>
      <c r="E260" s="19" t="s">
        <v>448</v>
      </c>
      <c r="F260" s="19">
        <v>10</v>
      </c>
    </row>
    <row r="261" ht="68.5" spans="1:6">
      <c r="A261" s="12">
        <v>93</v>
      </c>
      <c r="B261" s="16" t="s">
        <v>494</v>
      </c>
      <c r="C261" s="17" t="str">
        <f>_xlfn.DISPIMG("ID_A97999B4FBB444AA8900EE2BA4B5CACD",1)</f>
        <v>=DISPIMG("ID_A97999B4FBB444AA8900EE2BA4B5CACD",1)</v>
      </c>
      <c r="D261" s="18" t="s">
        <v>495</v>
      </c>
      <c r="E261" s="19" t="s">
        <v>467</v>
      </c>
      <c r="F261" s="19">
        <v>20</v>
      </c>
    </row>
    <row r="262" ht="68.5" spans="1:6">
      <c r="A262" s="12">
        <v>94</v>
      </c>
      <c r="B262" s="16" t="s">
        <v>494</v>
      </c>
      <c r="C262" s="17" t="str">
        <f>_xlfn.DISPIMG("ID_22C10450B3344E13B08F7410202EF4D8",1)</f>
        <v>=DISPIMG("ID_22C10450B3344E13B08F7410202EF4D8",1)</v>
      </c>
      <c r="D262" s="18" t="s">
        <v>496</v>
      </c>
      <c r="E262" s="19" t="s">
        <v>467</v>
      </c>
      <c r="F262" s="19">
        <v>20</v>
      </c>
    </row>
    <row r="263" ht="56.6" spans="1:6">
      <c r="A263" s="12">
        <v>95</v>
      </c>
      <c r="B263" s="16" t="s">
        <v>497</v>
      </c>
      <c r="C263" s="17" t="str">
        <f>_xlfn.DISPIMG("ID_DB9F07A1CA734E7CA7E06618A979BA42",1)</f>
        <v>=DISPIMG("ID_DB9F07A1CA734E7CA7E06618A979BA42",1)</v>
      </c>
      <c r="D263" s="18" t="s">
        <v>498</v>
      </c>
      <c r="E263" s="19" t="s">
        <v>499</v>
      </c>
      <c r="F263" s="19">
        <v>4</v>
      </c>
    </row>
    <row r="264" ht="58.9" spans="1:6">
      <c r="A264" s="12">
        <v>96</v>
      </c>
      <c r="B264" s="16" t="s">
        <v>500</v>
      </c>
      <c r="C264" s="17" t="str">
        <f>_xlfn.DISPIMG("ID_B87763BF6774401A900791501D546140",1)</f>
        <v>=DISPIMG("ID_B87763BF6774401A900791501D546140",1)</v>
      </c>
      <c r="D264" s="18" t="s">
        <v>501</v>
      </c>
      <c r="E264" s="19" t="s">
        <v>476</v>
      </c>
      <c r="F264" s="19">
        <v>20</v>
      </c>
    </row>
    <row r="265" ht="41.75" spans="1:6">
      <c r="A265" s="12">
        <v>97</v>
      </c>
      <c r="B265" s="16" t="s">
        <v>502</v>
      </c>
      <c r="C265" s="17" t="str">
        <f>_xlfn.DISPIMG("ID_D92462AD353B40A3A0E15100D7C81BF2",1)</f>
        <v>=DISPIMG("ID_D92462AD353B40A3A0E15100D7C81BF2",1)</v>
      </c>
      <c r="D265" s="18" t="s">
        <v>503</v>
      </c>
      <c r="E265" s="19" t="s">
        <v>467</v>
      </c>
      <c r="F265" s="19">
        <v>10</v>
      </c>
    </row>
    <row r="266" ht="58.9" spans="1:6">
      <c r="A266" s="12">
        <v>98</v>
      </c>
      <c r="B266" s="16" t="s">
        <v>504</v>
      </c>
      <c r="C266" s="17" t="str">
        <f>_xlfn.DISPIMG("ID_C2CE16E5B3A54555AC3DE767B1C786BF",1)</f>
        <v>=DISPIMG("ID_C2CE16E5B3A54555AC3DE767B1C786BF",1)</v>
      </c>
      <c r="D266" s="18" t="s">
        <v>505</v>
      </c>
      <c r="E266" s="19" t="s">
        <v>16</v>
      </c>
      <c r="F266" s="19">
        <v>20</v>
      </c>
    </row>
    <row r="267" ht="58.9" spans="1:6">
      <c r="A267" s="12">
        <v>99</v>
      </c>
      <c r="B267" s="16" t="s">
        <v>506</v>
      </c>
      <c r="C267" s="17" t="str">
        <f>_xlfn.DISPIMG("ID_03B20B148C3543918D1478F255ED62A9",1)</f>
        <v>=DISPIMG("ID_03B20B148C3543918D1478F255ED62A9",1)</v>
      </c>
      <c r="D267" s="18" t="s">
        <v>507</v>
      </c>
      <c r="E267" s="19" t="s">
        <v>16</v>
      </c>
      <c r="F267" s="19">
        <v>20</v>
      </c>
    </row>
    <row r="268" ht="58.9" spans="1:6">
      <c r="A268" s="12">
        <v>100</v>
      </c>
      <c r="B268" s="16" t="s">
        <v>508</v>
      </c>
      <c r="C268" s="17" t="str">
        <f>_xlfn.DISPIMG("ID_03FC31181CD1454ABBD3F8AA0A125192",1)</f>
        <v>=DISPIMG("ID_03FC31181CD1454ABBD3F8AA0A125192",1)</v>
      </c>
      <c r="D268" s="18" t="s">
        <v>509</v>
      </c>
      <c r="E268" s="19" t="s">
        <v>467</v>
      </c>
      <c r="F268" s="19">
        <v>20</v>
      </c>
    </row>
    <row r="269" ht="58.9" spans="1:6">
      <c r="A269" s="12">
        <v>101</v>
      </c>
      <c r="B269" s="16" t="s">
        <v>510</v>
      </c>
      <c r="C269" s="17" t="str">
        <f>_xlfn.DISPIMG("ID_D0808913B33C4A58AC569D5721317234",1)</f>
        <v>=DISPIMG("ID_D0808913B33C4A58AC569D5721317234",1)</v>
      </c>
      <c r="D269" s="18" t="s">
        <v>511</v>
      </c>
      <c r="E269" s="19" t="s">
        <v>476</v>
      </c>
      <c r="F269" s="19">
        <v>60</v>
      </c>
    </row>
    <row r="270" ht="39.5" spans="1:6">
      <c r="A270" s="12">
        <v>102</v>
      </c>
      <c r="B270" s="16" t="s">
        <v>512</v>
      </c>
      <c r="C270" s="17" t="str">
        <f>_xlfn.DISPIMG("ID_1A86A0856BB64B3CA22FA50A7DC80222",1)</f>
        <v>=DISPIMG("ID_1A86A0856BB64B3CA22FA50A7DC80222",1)</v>
      </c>
      <c r="D270" s="18" t="s">
        <v>513</v>
      </c>
      <c r="E270" s="19" t="s">
        <v>467</v>
      </c>
      <c r="F270" s="19">
        <v>10</v>
      </c>
    </row>
    <row r="271" ht="58.9" spans="1:6">
      <c r="A271" s="12">
        <v>103</v>
      </c>
      <c r="B271" s="16" t="s">
        <v>514</v>
      </c>
      <c r="C271" s="17" t="str">
        <f>_xlfn.DISPIMG("ID_A272531AB2374B71A82983FC15461E2A",1)</f>
        <v>=DISPIMG("ID_A272531AB2374B71A82983FC15461E2A",1)</v>
      </c>
      <c r="D271" s="18" t="s">
        <v>515</v>
      </c>
      <c r="E271" s="19" t="s">
        <v>467</v>
      </c>
      <c r="F271" s="19">
        <v>10</v>
      </c>
    </row>
    <row r="272" ht="57.75" spans="1:6">
      <c r="A272" s="12">
        <v>104</v>
      </c>
      <c r="B272" s="16" t="s">
        <v>516</v>
      </c>
      <c r="C272" s="17" t="str">
        <f>_xlfn.DISPIMG("ID_7ECA348CDC6042B2A9E5AF9AB42760A1",1)</f>
        <v>=DISPIMG("ID_7ECA348CDC6042B2A9E5AF9AB42760A1",1)</v>
      </c>
      <c r="D272" s="18" t="s">
        <v>517</v>
      </c>
      <c r="E272" s="19" t="s">
        <v>64</v>
      </c>
      <c r="F272" s="19">
        <v>4</v>
      </c>
    </row>
    <row r="273" ht="45.25" spans="1:6">
      <c r="A273" s="12">
        <v>105</v>
      </c>
      <c r="B273" s="16" t="s">
        <v>470</v>
      </c>
      <c r="C273" s="17" t="str">
        <f>_xlfn.DISPIMG("ID_C7B0EE3E154E436B81527AF13BDDBCB2",1)</f>
        <v>=DISPIMG("ID_C7B0EE3E154E436B81527AF13BDDBCB2",1)</v>
      </c>
      <c r="D273" s="18" t="s">
        <v>471</v>
      </c>
      <c r="E273" s="19" t="s">
        <v>467</v>
      </c>
      <c r="F273" s="19">
        <v>5</v>
      </c>
    </row>
    <row r="274" ht="42.25" spans="1:6">
      <c r="A274" s="12">
        <v>106</v>
      </c>
      <c r="B274" s="16" t="s">
        <v>518</v>
      </c>
      <c r="C274" s="17" t="str">
        <f>_xlfn.DISPIMG("ID_680CA913FFBD4187AF7A42D56221625A",1)</f>
        <v>=DISPIMG("ID_680CA913FFBD4187AF7A42D56221625A",1)</v>
      </c>
      <c r="D274" s="18" t="s">
        <v>519</v>
      </c>
      <c r="E274" s="19" t="s">
        <v>476</v>
      </c>
      <c r="F274" s="19">
        <v>2</v>
      </c>
    </row>
    <row r="275" ht="42.25" spans="1:6">
      <c r="A275" s="12">
        <v>107</v>
      </c>
      <c r="B275" s="16" t="s">
        <v>520</v>
      </c>
      <c r="C275" s="17" t="str">
        <f>_xlfn.DISPIMG("ID_B0FC88317389429E946A9F212F2599D0",1)</f>
        <v>=DISPIMG("ID_B0FC88317389429E946A9F212F2599D0",1)</v>
      </c>
      <c r="D275" s="18" t="s">
        <v>521</v>
      </c>
      <c r="E275" s="19" t="s">
        <v>476</v>
      </c>
      <c r="F275" s="19">
        <v>2</v>
      </c>
    </row>
    <row r="276" ht="45" spans="1:6">
      <c r="A276" s="12">
        <v>108</v>
      </c>
      <c r="B276" s="16" t="s">
        <v>522</v>
      </c>
      <c r="C276" s="17" t="str">
        <f>_xlfn.DISPIMG("ID_F6DD7FAFC2BD4D87AAB10C16AC507674",1)</f>
        <v>=DISPIMG("ID_F6DD7FAFC2BD4D87AAB10C16AC507674",1)</v>
      </c>
      <c r="D276" s="18" t="s">
        <v>523</v>
      </c>
      <c r="E276" s="19" t="s">
        <v>64</v>
      </c>
      <c r="F276" s="19">
        <v>2</v>
      </c>
    </row>
    <row r="277" ht="64.15" spans="1:6">
      <c r="A277" s="12">
        <v>109</v>
      </c>
      <c r="B277" s="16" t="s">
        <v>524</v>
      </c>
      <c r="C277" s="17" t="str">
        <f>_xlfn.DISPIMG("ID_BDEF39EDA0404F51880C5A26F2A83C58",1)</f>
        <v>=DISPIMG("ID_BDEF39EDA0404F51880C5A26F2A83C58",1)</v>
      </c>
      <c r="D277" s="18" t="s">
        <v>525</v>
      </c>
      <c r="E277" s="19" t="s">
        <v>526</v>
      </c>
      <c r="F277" s="19">
        <v>40</v>
      </c>
    </row>
    <row r="278" ht="33" spans="1:6">
      <c r="A278" s="12">
        <v>110</v>
      </c>
      <c r="B278" s="16" t="s">
        <v>527</v>
      </c>
      <c r="C278" s="17" t="str">
        <f>_xlfn.DISPIMG("ID_45F5EB9220E54A9E96CC3BC263B716EF",1)</f>
        <v>=DISPIMG("ID_45F5EB9220E54A9E96CC3BC263B716EF",1)</v>
      </c>
      <c r="D278" s="18" t="s">
        <v>528</v>
      </c>
      <c r="E278" s="19" t="s">
        <v>16</v>
      </c>
      <c r="F278" s="19">
        <v>10</v>
      </c>
    </row>
    <row r="279" ht="27.1" spans="1:6">
      <c r="A279" s="12">
        <v>111</v>
      </c>
      <c r="B279" s="16" t="s">
        <v>529</v>
      </c>
      <c r="C279" s="17" t="str">
        <f>_xlfn.DISPIMG("ID_D7BD718A03604919916AE114ADE5B472",1)</f>
        <v>=DISPIMG("ID_D7BD718A03604919916AE114ADE5B472",1)</v>
      </c>
      <c r="D279" s="18" t="s">
        <v>530</v>
      </c>
      <c r="E279" s="19" t="s">
        <v>16</v>
      </c>
      <c r="F279" s="19">
        <v>20</v>
      </c>
    </row>
    <row r="280" ht="31.85" spans="1:6">
      <c r="A280" s="12">
        <v>112</v>
      </c>
      <c r="B280" s="16" t="s">
        <v>531</v>
      </c>
      <c r="C280" s="17" t="str">
        <f>_xlfn.DISPIMG("ID_347034A1B5AA4273B6851F7F1DFC2D75",1)</f>
        <v>=DISPIMG("ID_347034A1B5AA4273B6851F7F1DFC2D75",1)</v>
      </c>
      <c r="D280" s="18" t="s">
        <v>532</v>
      </c>
      <c r="E280" s="19" t="s">
        <v>16</v>
      </c>
      <c r="F280" s="19">
        <v>10</v>
      </c>
    </row>
    <row r="281" ht="66" spans="1:6">
      <c r="A281" s="12">
        <v>113</v>
      </c>
      <c r="B281" s="16" t="s">
        <v>533</v>
      </c>
      <c r="C281" s="17" t="str">
        <f>_xlfn.DISPIMG("ID_921DBBDD259344F2B02B7219779599C2",1)</f>
        <v>=DISPIMG("ID_921DBBDD259344F2B02B7219779599C2",1)</v>
      </c>
      <c r="D281" s="18" t="s">
        <v>534</v>
      </c>
      <c r="E281" s="19" t="s">
        <v>64</v>
      </c>
      <c r="F281" s="19">
        <v>5</v>
      </c>
    </row>
    <row r="282" ht="33" spans="1:6">
      <c r="A282" s="12">
        <v>114</v>
      </c>
      <c r="B282" s="16" t="s">
        <v>535</v>
      </c>
      <c r="C282" s="17" t="str">
        <f>_xlfn.DISPIMG("ID_6173D21FAE2D422CB17AB329A9237002",1)</f>
        <v>=DISPIMG("ID_6173D21FAE2D422CB17AB329A9237002",1)</v>
      </c>
      <c r="D282" s="18" t="s">
        <v>536</v>
      </c>
      <c r="E282" s="19" t="s">
        <v>64</v>
      </c>
      <c r="F282" s="19">
        <v>4</v>
      </c>
    </row>
    <row r="283" ht="44.8" spans="1:6">
      <c r="A283" s="12">
        <v>115</v>
      </c>
      <c r="B283" s="16" t="s">
        <v>537</v>
      </c>
      <c r="C283" s="17" t="str">
        <f>_xlfn.DISPIMG("ID_9439A7A865EF475E86BA09C2C871D8B1",1)</f>
        <v>=DISPIMG("ID_9439A7A865EF475E86BA09C2C871D8B1",1)</v>
      </c>
      <c r="D283" s="18" t="s">
        <v>538</v>
      </c>
      <c r="E283" s="19" t="s">
        <v>64</v>
      </c>
      <c r="F283" s="19">
        <v>30</v>
      </c>
    </row>
    <row r="284" ht="70.9" spans="1:6">
      <c r="A284" s="12">
        <v>116</v>
      </c>
      <c r="B284" s="16" t="s">
        <v>539</v>
      </c>
      <c r="C284" s="17" t="str">
        <f>_xlfn.DISPIMG("ID_787428582E90469B9BEE79E8EDA05654",1)</f>
        <v>=DISPIMG("ID_787428582E90469B9BEE79E8EDA05654",1)</v>
      </c>
      <c r="D284" s="18" t="s">
        <v>540</v>
      </c>
      <c r="E284" s="19" t="s">
        <v>526</v>
      </c>
      <c r="F284" s="19">
        <v>30</v>
      </c>
    </row>
    <row r="285" ht="48.75" spans="1:6">
      <c r="A285" s="12">
        <v>117</v>
      </c>
      <c r="B285" s="16" t="s">
        <v>541</v>
      </c>
      <c r="C285" s="17" t="str">
        <f>_xlfn.DISPIMG("ID_0A0F155AAA8D4F19AE7F0FA265C540FA",1)</f>
        <v>=DISPIMG("ID_0A0F155AAA8D4F19AE7F0FA265C540FA",1)</v>
      </c>
      <c r="D285" s="18" t="s">
        <v>542</v>
      </c>
      <c r="E285" s="19" t="s">
        <v>526</v>
      </c>
      <c r="F285" s="19">
        <v>30</v>
      </c>
    </row>
    <row r="286" ht="49.5" spans="1:6">
      <c r="A286" s="12">
        <v>118</v>
      </c>
      <c r="B286" s="16" t="s">
        <v>543</v>
      </c>
      <c r="C286" s="17" t="str">
        <f>_xlfn.DISPIMG("ID_D187B1D542C948DEB2598483555F9196",1)</f>
        <v>=DISPIMG("ID_D187B1D542C948DEB2598483555F9196",1)</v>
      </c>
      <c r="D286" s="18" t="s">
        <v>544</v>
      </c>
      <c r="E286" s="19" t="s">
        <v>526</v>
      </c>
      <c r="F286" s="19">
        <v>30</v>
      </c>
    </row>
    <row r="287" ht="62.2" spans="1:6">
      <c r="A287" s="12">
        <v>119</v>
      </c>
      <c r="B287" s="16" t="s">
        <v>545</v>
      </c>
      <c r="C287" s="17" t="str">
        <f>_xlfn.DISPIMG("ID_47716535EA2B401A92C348F3CE32EC63",1)</f>
        <v>=DISPIMG("ID_47716535EA2B401A92C348F3CE32EC63",1)</v>
      </c>
      <c r="D287" s="18" t="s">
        <v>546</v>
      </c>
      <c r="E287" s="19" t="s">
        <v>64</v>
      </c>
      <c r="F287" s="19">
        <v>5</v>
      </c>
    </row>
    <row r="288" ht="57.7" spans="1:6">
      <c r="A288" s="12">
        <v>120</v>
      </c>
      <c r="B288" s="16" t="s">
        <v>547</v>
      </c>
      <c r="C288" s="17" t="str">
        <f>_xlfn.DISPIMG("ID_585945DD896F40358A12FFEFF03A9270",1)</f>
        <v>=DISPIMG("ID_585945DD896F40358A12FFEFF03A9270",1)</v>
      </c>
      <c r="D288" s="18" t="s">
        <v>546</v>
      </c>
      <c r="E288" s="19" t="s">
        <v>64</v>
      </c>
      <c r="F288" s="19">
        <v>5</v>
      </c>
    </row>
    <row r="289" ht="45.25" spans="1:6">
      <c r="A289" s="12">
        <v>121</v>
      </c>
      <c r="B289" s="16" t="s">
        <v>548</v>
      </c>
      <c r="C289" s="17" t="str">
        <f>_xlfn.DISPIMG("ID_EE40703C8E0C49988D80AB2F1B4EE6DC",1)</f>
        <v>=DISPIMG("ID_EE40703C8E0C49988D80AB2F1B4EE6DC",1)</v>
      </c>
      <c r="D289" s="18" t="s">
        <v>549</v>
      </c>
      <c r="E289" s="19" t="s">
        <v>64</v>
      </c>
      <c r="F289" s="19">
        <v>5</v>
      </c>
    </row>
    <row r="290" ht="46.55" spans="1:6">
      <c r="A290" s="12">
        <v>122</v>
      </c>
      <c r="B290" s="16" t="s">
        <v>550</v>
      </c>
      <c r="C290" s="17" t="str">
        <f>_xlfn.DISPIMG("ID_68A101EC086245B98E500AF902BADCF3",1)</f>
        <v>=DISPIMG("ID_68A101EC086245B98E500AF902BADCF3",1)</v>
      </c>
      <c r="D290" s="18" t="s">
        <v>549</v>
      </c>
      <c r="E290" s="19" t="s">
        <v>64</v>
      </c>
      <c r="F290" s="19">
        <v>5</v>
      </c>
    </row>
    <row r="291" ht="61.1" spans="1:6">
      <c r="A291" s="12">
        <v>123</v>
      </c>
      <c r="B291" s="16" t="s">
        <v>551</v>
      </c>
      <c r="C291" s="17" t="str">
        <f>_xlfn.DISPIMG("ID_F2D869A3A42844A2905A6A5C3980B745",1)</f>
        <v>=DISPIMG("ID_F2D869A3A42844A2905A6A5C3980B745",1)</v>
      </c>
      <c r="D291" s="18" t="s">
        <v>552</v>
      </c>
      <c r="E291" s="19" t="s">
        <v>16</v>
      </c>
      <c r="F291" s="19">
        <v>40</v>
      </c>
    </row>
    <row r="292" ht="50" spans="1:6">
      <c r="A292" s="12">
        <v>124</v>
      </c>
      <c r="B292" s="16" t="s">
        <v>553</v>
      </c>
      <c r="C292" s="17" t="str">
        <f>_xlfn.DISPIMG("ID_C364B65B8EC441F5874C5C1BD2A64439",1)</f>
        <v>=DISPIMG("ID_C364B65B8EC441F5874C5C1BD2A64439",1)</v>
      </c>
      <c r="D292" s="18" t="s">
        <v>554</v>
      </c>
      <c r="E292" s="19" t="s">
        <v>64</v>
      </c>
      <c r="F292" s="19">
        <v>10</v>
      </c>
    </row>
    <row r="293" ht="61.3" spans="1:6">
      <c r="A293" s="12">
        <v>125</v>
      </c>
      <c r="B293" s="16" t="s">
        <v>555</v>
      </c>
      <c r="C293" s="17" t="str">
        <f>_xlfn.DISPIMG("ID_938E054409834E0AB419D84C0D8BF12F",1)</f>
        <v>=DISPIMG("ID_938E054409834E0AB419D84C0D8BF12F",1)</v>
      </c>
      <c r="D293" s="18" t="s">
        <v>555</v>
      </c>
      <c r="E293" s="19" t="s">
        <v>64</v>
      </c>
      <c r="F293" s="19">
        <v>2</v>
      </c>
    </row>
    <row r="294" ht="63.1" spans="1:6">
      <c r="A294" s="12">
        <v>126</v>
      </c>
      <c r="B294" s="16" t="s">
        <v>556</v>
      </c>
      <c r="C294" s="17" t="str">
        <f>_xlfn.DISPIMG("ID_F0B05EC7BB744740B57738A3B5EA667E",1)</f>
        <v>=DISPIMG("ID_F0B05EC7BB744740B57738A3B5EA667E",1)</v>
      </c>
      <c r="D294" s="18" t="s">
        <v>556</v>
      </c>
      <c r="E294" s="19" t="s">
        <v>64</v>
      </c>
      <c r="F294" s="19">
        <v>2</v>
      </c>
    </row>
    <row r="295" ht="57.9" spans="1:6">
      <c r="A295" s="12">
        <v>127</v>
      </c>
      <c r="B295" s="16" t="s">
        <v>557</v>
      </c>
      <c r="C295" s="17" t="str">
        <f>_xlfn.DISPIMG("ID_C1695D7EB3F545E790B6BE7A38E82B37",1)</f>
        <v>=DISPIMG("ID_C1695D7EB3F545E790B6BE7A38E82B37",1)</v>
      </c>
      <c r="D295" s="18" t="s">
        <v>557</v>
      </c>
      <c r="E295" s="19" t="s">
        <v>64</v>
      </c>
      <c r="F295" s="19">
        <v>2</v>
      </c>
    </row>
    <row r="296" ht="59.35" spans="1:6">
      <c r="A296" s="12">
        <v>128</v>
      </c>
      <c r="B296" s="16" t="s">
        <v>558</v>
      </c>
      <c r="C296" s="17" t="str">
        <f>_xlfn.DISPIMG("ID_8212F7A1D9054FE4838027537504D039",1)</f>
        <v>=DISPIMG("ID_8212F7A1D9054FE4838027537504D039",1)</v>
      </c>
      <c r="D296" s="18" t="s">
        <v>558</v>
      </c>
      <c r="E296" s="19" t="s">
        <v>64</v>
      </c>
      <c r="F296" s="19">
        <v>2</v>
      </c>
    </row>
    <row r="297" ht="50.55" spans="1:6">
      <c r="A297" s="12">
        <v>129</v>
      </c>
      <c r="B297" s="16" t="s">
        <v>559</v>
      </c>
      <c r="C297" s="17" t="str">
        <f>_xlfn.DISPIMG("ID_6F037143DAEE4E0BBBA8F404DAB88C6D",1)</f>
        <v>=DISPIMG("ID_6F037143DAEE4E0BBBA8F404DAB88C6D",1)</v>
      </c>
      <c r="D297" s="18" t="s">
        <v>559</v>
      </c>
      <c r="E297" s="19" t="s">
        <v>64</v>
      </c>
      <c r="F297" s="19">
        <v>2</v>
      </c>
    </row>
    <row r="298" ht="56.5" spans="1:6">
      <c r="A298" s="12">
        <v>130</v>
      </c>
      <c r="B298" s="16" t="s">
        <v>560</v>
      </c>
      <c r="C298" s="17" t="str">
        <f>_xlfn.DISPIMG("ID_DC3256AAD4484158BB092A324162DC8C",1)</f>
        <v>=DISPIMG("ID_DC3256AAD4484158BB092A324162DC8C",1)</v>
      </c>
      <c r="D298" s="18" t="s">
        <v>560</v>
      </c>
      <c r="E298" s="19" t="s">
        <v>64</v>
      </c>
      <c r="F298" s="19">
        <v>2</v>
      </c>
    </row>
    <row r="299" ht="60.3" spans="1:6">
      <c r="A299" s="12">
        <v>131</v>
      </c>
      <c r="B299" s="16" t="s">
        <v>561</v>
      </c>
      <c r="C299" s="17" t="str">
        <f>_xlfn.DISPIMG("ID_01D6B7DB74C34896898C39A6C6D10E6B",1)</f>
        <v>=DISPIMG("ID_01D6B7DB74C34896898C39A6C6D10E6B",1)</v>
      </c>
      <c r="D299" s="18" t="s">
        <v>561</v>
      </c>
      <c r="E299" s="19" t="s">
        <v>64</v>
      </c>
      <c r="F299" s="19">
        <v>2</v>
      </c>
    </row>
    <row r="300" ht="59.45" spans="1:6">
      <c r="A300" s="12">
        <v>132</v>
      </c>
      <c r="B300" s="16" t="s">
        <v>562</v>
      </c>
      <c r="C300" s="17" t="str">
        <f>_xlfn.DISPIMG("ID_D1E0D86FA87349A1AC510E5995F12466",1)</f>
        <v>=DISPIMG("ID_D1E0D86FA87349A1AC510E5995F12466",1)</v>
      </c>
      <c r="D300" s="18" t="s">
        <v>562</v>
      </c>
      <c r="E300" s="19" t="s">
        <v>16</v>
      </c>
      <c r="F300" s="19">
        <v>20</v>
      </c>
    </row>
    <row r="301" ht="16.5" spans="1:6">
      <c r="A301" s="12">
        <v>133</v>
      </c>
      <c r="B301" s="16" t="s">
        <v>563</v>
      </c>
      <c r="C301" s="17"/>
      <c r="D301" s="18" t="s">
        <v>564</v>
      </c>
      <c r="E301" s="19" t="s">
        <v>16</v>
      </c>
      <c r="F301" s="19">
        <v>10</v>
      </c>
    </row>
    <row r="302" ht="48" spans="1:6">
      <c r="A302" s="12">
        <v>134</v>
      </c>
      <c r="B302" s="16" t="s">
        <v>565</v>
      </c>
      <c r="C302" s="17" t="str">
        <f>_xlfn.DISPIMG("ID_A032F0D77FD24747B89A97048C438BC7",1)</f>
        <v>=DISPIMG("ID_A032F0D77FD24747B89A97048C438BC7",1)</v>
      </c>
      <c r="D302" s="18" t="s">
        <v>566</v>
      </c>
      <c r="E302" s="19" t="s">
        <v>64</v>
      </c>
      <c r="F302" s="19">
        <v>20</v>
      </c>
    </row>
    <row r="303" ht="58.6" spans="1:6">
      <c r="A303" s="12">
        <v>135</v>
      </c>
      <c r="B303" s="16" t="s">
        <v>567</v>
      </c>
      <c r="C303" s="17" t="str">
        <f>_xlfn.DISPIMG("ID_91E8D8F622104746BF39500E7CC8C82C",1)</f>
        <v>=DISPIMG("ID_91E8D8F622104746BF39500E7CC8C82C",1)</v>
      </c>
      <c r="D303" s="18" t="s">
        <v>568</v>
      </c>
      <c r="E303" s="19" t="s">
        <v>16</v>
      </c>
      <c r="F303" s="19">
        <v>30</v>
      </c>
    </row>
    <row r="304" ht="58.6" spans="1:6">
      <c r="A304" s="12">
        <v>136</v>
      </c>
      <c r="B304" s="16" t="s">
        <v>567</v>
      </c>
      <c r="C304" s="17" t="str">
        <f>_xlfn.DISPIMG("ID_63ACF99D44B1498DAFF965A49621D2C9",1)</f>
        <v>=DISPIMG("ID_63ACF99D44B1498DAFF965A49621D2C9",1)</v>
      </c>
      <c r="D304" s="18" t="s">
        <v>569</v>
      </c>
      <c r="E304" s="19" t="s">
        <v>16</v>
      </c>
      <c r="F304" s="19">
        <v>30</v>
      </c>
    </row>
    <row r="305" ht="16.5" spans="1:6">
      <c r="A305" s="12"/>
      <c r="B305" s="16"/>
      <c r="C305" s="17"/>
      <c r="D305" s="18"/>
      <c r="E305" s="19"/>
      <c r="F305" s="31"/>
    </row>
    <row r="306" ht="15" spans="1:6">
      <c r="A306" s="13" t="s">
        <v>570</v>
      </c>
      <c r="B306" s="14"/>
      <c r="C306" s="15"/>
      <c r="D306" s="14"/>
      <c r="E306" s="13"/>
      <c r="F306" s="13"/>
    </row>
    <row r="307" ht="193.85" spans="1:6">
      <c r="A307" s="12">
        <v>1</v>
      </c>
      <c r="B307" s="16" t="s">
        <v>571</v>
      </c>
      <c r="C307" s="17" t="str">
        <f>_xlfn.DISPIMG("ID_F430424415CB4877826617DCB597BD8E",1)</f>
        <v>=DISPIMG("ID_F430424415CB4877826617DCB597BD8E",1)</v>
      </c>
      <c r="D307" s="18" t="s">
        <v>572</v>
      </c>
      <c r="E307" s="19" t="s">
        <v>16</v>
      </c>
      <c r="F307" s="31">
        <v>1</v>
      </c>
    </row>
    <row r="308" ht="93.65" spans="1:6">
      <c r="A308" s="12">
        <v>2</v>
      </c>
      <c r="B308" s="16" t="s">
        <v>573</v>
      </c>
      <c r="C308" s="17" t="str">
        <f>_xlfn.DISPIMG("ID_CC2357B4F70C4BE2B33E08F7CF52BCC4",1)</f>
        <v>=DISPIMG("ID_CC2357B4F70C4BE2B33E08F7CF52BCC4",1)</v>
      </c>
      <c r="D308" s="18" t="s">
        <v>574</v>
      </c>
      <c r="E308" s="19" t="s">
        <v>34</v>
      </c>
      <c r="F308" s="31">
        <v>1</v>
      </c>
    </row>
    <row r="309" ht="59.45" spans="1:6">
      <c r="A309" s="12">
        <v>3</v>
      </c>
      <c r="B309" s="16" t="s">
        <v>575</v>
      </c>
      <c r="C309" s="17" t="str">
        <f>_xlfn.DISPIMG("ID_2DAAFC6EB23545C49AA6D650E7BABDF2",1)</f>
        <v>=DISPIMG("ID_2DAAFC6EB23545C49AA6D650E7BABDF2",1)</v>
      </c>
      <c r="D309" s="18" t="s">
        <v>576</v>
      </c>
      <c r="E309" s="19" t="s">
        <v>34</v>
      </c>
      <c r="F309" s="31">
        <v>1</v>
      </c>
    </row>
    <row r="310" ht="54.3" spans="1:6">
      <c r="A310" s="12">
        <v>4</v>
      </c>
      <c r="B310" s="16" t="s">
        <v>577</v>
      </c>
      <c r="C310" s="17" t="str">
        <f>_xlfn.DISPIMG("ID_91C59CDE33664759B85C80EE1E415E3A",1)</f>
        <v>=DISPIMG("ID_91C59CDE33664759B85C80EE1E415E3A",1)</v>
      </c>
      <c r="D310" s="18" t="s">
        <v>578</v>
      </c>
      <c r="E310" s="19" t="s">
        <v>21</v>
      </c>
      <c r="F310" s="31">
        <v>1</v>
      </c>
    </row>
    <row r="311" ht="57.65" spans="1:6">
      <c r="A311" s="12">
        <v>5</v>
      </c>
      <c r="B311" s="16" t="s">
        <v>579</v>
      </c>
      <c r="C311" s="17" t="str">
        <f>_xlfn.DISPIMG("ID_3F53519FFE3E43AABAC4054A5C37AB25",1)</f>
        <v>=DISPIMG("ID_3F53519FFE3E43AABAC4054A5C37AB25",1)</v>
      </c>
      <c r="D311" s="18" t="s">
        <v>580</v>
      </c>
      <c r="E311" s="19" t="s">
        <v>173</v>
      </c>
      <c r="F311" s="31">
        <v>1</v>
      </c>
    </row>
    <row r="312" ht="56.55" spans="1:6">
      <c r="A312" s="12">
        <v>6</v>
      </c>
      <c r="B312" s="16" t="s">
        <v>581</v>
      </c>
      <c r="C312" s="17" t="str">
        <f>_xlfn.DISPIMG("ID_35BF724F946249AF8ED347969B24F515",1)</f>
        <v>=DISPIMG("ID_35BF724F946249AF8ED347969B24F515",1)</v>
      </c>
      <c r="D312" s="18" t="s">
        <v>582</v>
      </c>
      <c r="E312" s="19" t="s">
        <v>34</v>
      </c>
      <c r="F312" s="31">
        <v>1</v>
      </c>
    </row>
    <row r="313" ht="60.8" spans="1:6">
      <c r="A313" s="12">
        <v>7</v>
      </c>
      <c r="B313" s="16" t="s">
        <v>583</v>
      </c>
      <c r="C313" s="17" t="str">
        <f>_xlfn.DISPIMG("ID_03D27FFCB3D443CE86744187A6522089",1)</f>
        <v>=DISPIMG("ID_03D27FFCB3D443CE86744187A6522089",1)</v>
      </c>
      <c r="D313" s="18" t="s">
        <v>584</v>
      </c>
      <c r="E313" s="19" t="s">
        <v>499</v>
      </c>
      <c r="F313" s="31">
        <v>2</v>
      </c>
    </row>
    <row r="314" ht="65.65" spans="1:6">
      <c r="A314" s="12">
        <v>8</v>
      </c>
      <c r="B314" s="16" t="s">
        <v>585</v>
      </c>
      <c r="C314" s="17" t="str">
        <f>_xlfn.DISPIMG("ID_C6384217D3394FDE8CD7FA02BEF5ADBE",1)</f>
        <v>=DISPIMG("ID_C6384217D3394FDE8CD7FA02BEF5ADBE",1)</v>
      </c>
      <c r="D314" s="18" t="s">
        <v>586</v>
      </c>
      <c r="E314" s="19" t="s">
        <v>499</v>
      </c>
      <c r="F314" s="31">
        <v>1</v>
      </c>
    </row>
    <row r="315" ht="115.5" spans="1:6">
      <c r="A315" s="12">
        <v>9</v>
      </c>
      <c r="B315" s="18" t="s">
        <v>587</v>
      </c>
      <c r="C315" s="22" t="str">
        <f>_xlfn.DISPIMG("ID_2C62E4DB915E40FC9B987A22D4D709D6",1)</f>
        <v>=DISPIMG("ID_2C62E4DB915E40FC9B987A22D4D709D6",1)</v>
      </c>
      <c r="D315" s="18" t="s">
        <v>588</v>
      </c>
      <c r="E315" s="23" t="s">
        <v>145</v>
      </c>
      <c r="F315" s="25">
        <v>3.5</v>
      </c>
    </row>
    <row r="316" ht="99.35" spans="1:6">
      <c r="A316" s="12">
        <v>10</v>
      </c>
      <c r="B316" s="16" t="s">
        <v>589</v>
      </c>
      <c r="C316" s="17" t="str">
        <f>_xlfn.DISPIMG("ID_3D23F4F0EE474081894C119BFE5ADA31",1)</f>
        <v>=DISPIMG("ID_3D23F4F0EE474081894C119BFE5ADA31",1)</v>
      </c>
      <c r="D316" s="18" t="s">
        <v>590</v>
      </c>
      <c r="E316" s="19" t="s">
        <v>34</v>
      </c>
      <c r="F316" s="31">
        <v>1</v>
      </c>
    </row>
    <row r="317" ht="185.25" spans="1:6">
      <c r="A317" s="12">
        <v>11</v>
      </c>
      <c r="B317" s="37" t="s">
        <v>591</v>
      </c>
      <c r="C317" s="38"/>
      <c r="D317" s="37" t="s">
        <v>592</v>
      </c>
      <c r="E317" s="19" t="s">
        <v>16</v>
      </c>
      <c r="F317" s="19">
        <v>1</v>
      </c>
    </row>
    <row r="318" ht="185.25" spans="1:6">
      <c r="A318" s="12">
        <v>12</v>
      </c>
      <c r="B318" s="37" t="s">
        <v>593</v>
      </c>
      <c r="C318" s="38"/>
      <c r="D318" s="37" t="s">
        <v>594</v>
      </c>
      <c r="E318" s="19" t="s">
        <v>16</v>
      </c>
      <c r="F318" s="19">
        <v>1</v>
      </c>
    </row>
    <row r="319" ht="185.25" spans="1:6">
      <c r="A319" s="12">
        <v>13</v>
      </c>
      <c r="B319" s="37" t="s">
        <v>595</v>
      </c>
      <c r="C319" s="38"/>
      <c r="D319" s="37" t="s">
        <v>596</v>
      </c>
      <c r="E319" s="19" t="s">
        <v>16</v>
      </c>
      <c r="F319" s="19">
        <v>1</v>
      </c>
    </row>
    <row r="320" ht="185.25" spans="1:6">
      <c r="A320" s="12">
        <v>14</v>
      </c>
      <c r="B320" s="37" t="s">
        <v>597</v>
      </c>
      <c r="C320" s="38"/>
      <c r="D320" s="37" t="s">
        <v>598</v>
      </c>
      <c r="E320" s="19" t="s">
        <v>16</v>
      </c>
      <c r="F320" s="19">
        <v>1</v>
      </c>
    </row>
    <row r="321" ht="185.25" spans="1:6">
      <c r="A321" s="12">
        <v>15</v>
      </c>
      <c r="B321" s="37" t="s">
        <v>599</v>
      </c>
      <c r="C321" s="38"/>
      <c r="D321" s="37" t="s">
        <v>600</v>
      </c>
      <c r="E321" s="19" t="s">
        <v>16</v>
      </c>
      <c r="F321" s="19">
        <v>1</v>
      </c>
    </row>
    <row r="322" ht="185.25" spans="1:6">
      <c r="A322" s="12">
        <v>16</v>
      </c>
      <c r="B322" s="37" t="s">
        <v>601</v>
      </c>
      <c r="C322" s="38"/>
      <c r="D322" s="37" t="s">
        <v>602</v>
      </c>
      <c r="E322" s="19" t="s">
        <v>16</v>
      </c>
      <c r="F322" s="19">
        <v>1</v>
      </c>
    </row>
    <row r="323" ht="16.5" spans="1:6">
      <c r="A323" s="12"/>
      <c r="B323" s="16"/>
      <c r="C323" s="17"/>
      <c r="D323" s="18"/>
      <c r="E323" s="19"/>
      <c r="F323" s="31"/>
    </row>
    <row r="324" ht="15" spans="1:6">
      <c r="A324" s="13" t="s">
        <v>603</v>
      </c>
      <c r="B324" s="14"/>
      <c r="C324" s="15"/>
      <c r="D324" s="14"/>
      <c r="E324" s="13"/>
      <c r="F324" s="13"/>
    </row>
    <row r="325" ht="100.85" spans="1:6">
      <c r="A325" s="12">
        <v>1</v>
      </c>
      <c r="B325" s="30" t="s">
        <v>604</v>
      </c>
      <c r="C325" s="17" t="str">
        <f>_xlfn.DISPIMG("ID_F15E0BC4CEC147F68D5930F4AE869460",1)</f>
        <v>=DISPIMG("ID_F15E0BC4CEC147F68D5930F4AE869460",1)</v>
      </c>
      <c r="D325" s="30" t="s">
        <v>605</v>
      </c>
      <c r="E325" s="20" t="s">
        <v>106</v>
      </c>
      <c r="F325" s="20">
        <v>11.76</v>
      </c>
    </row>
    <row r="326" ht="58.8" spans="1:6">
      <c r="A326" s="12">
        <v>3</v>
      </c>
      <c r="B326" s="30" t="s">
        <v>606</v>
      </c>
      <c r="C326" s="17" t="str">
        <f>_xlfn.DISPIMG("ID_706D574524CF4401A5345B3BBCA7F021",1)</f>
        <v>=DISPIMG("ID_706D574524CF4401A5345B3BBCA7F021",1)</v>
      </c>
      <c r="D326" s="30" t="s">
        <v>607</v>
      </c>
      <c r="E326" s="20" t="s">
        <v>106</v>
      </c>
      <c r="F326" s="20">
        <v>2</v>
      </c>
    </row>
    <row r="327" ht="66.2" spans="1:6">
      <c r="A327" s="12">
        <v>4</v>
      </c>
      <c r="B327" s="30" t="s">
        <v>608</v>
      </c>
      <c r="C327" s="17" t="str">
        <f>_xlfn.DISPIMG("ID_28ABD4FF643249CB843C48C4612667B9",1)</f>
        <v>=DISPIMG("ID_28ABD4FF643249CB843C48C4612667B9",1)</v>
      </c>
      <c r="D327" s="30" t="s">
        <v>609</v>
      </c>
      <c r="E327" s="20" t="s">
        <v>34</v>
      </c>
      <c r="F327" s="20">
        <v>1</v>
      </c>
    </row>
    <row r="328" ht="70.25" spans="1:6">
      <c r="A328" s="12">
        <v>5</v>
      </c>
      <c r="B328" s="30" t="s">
        <v>606</v>
      </c>
      <c r="C328" s="17" t="str">
        <f>_xlfn.DISPIMG("ID_AD91DCD417114010999D0D6158330E7A",1)</f>
        <v>=DISPIMG("ID_AD91DCD417114010999D0D6158330E7A",1)</v>
      </c>
      <c r="D328" s="30" t="s">
        <v>610</v>
      </c>
      <c r="E328" s="20" t="s">
        <v>34</v>
      </c>
      <c r="F328" s="20">
        <v>1</v>
      </c>
    </row>
    <row r="329" ht="71.25" spans="1:6">
      <c r="A329" s="12">
        <v>6</v>
      </c>
      <c r="B329" s="30" t="s">
        <v>611</v>
      </c>
      <c r="C329" s="17" t="str">
        <f>_xlfn.DISPIMG("ID_0BF90F650FDA480688A65604FE602CA0",1)</f>
        <v>=DISPIMG("ID_0BF90F650FDA480688A65604FE602CA0",1)</v>
      </c>
      <c r="D329" s="30" t="s">
        <v>612</v>
      </c>
      <c r="E329" s="20" t="s">
        <v>34</v>
      </c>
      <c r="F329" s="20">
        <v>1</v>
      </c>
    </row>
    <row r="330" ht="202.8" spans="1:6">
      <c r="A330" s="12">
        <v>7</v>
      </c>
      <c r="B330" s="37" t="s">
        <v>595</v>
      </c>
      <c r="C330" s="38" t="str">
        <f>_xlfn.DISPIMG("ID_FCB286F414C64B0F83BCC52746B8F7E3",1)</f>
        <v>=DISPIMG("ID_FCB286F414C64B0F83BCC52746B8F7E3",1)</v>
      </c>
      <c r="D330" s="37" t="s">
        <v>596</v>
      </c>
      <c r="E330" s="19" t="s">
        <v>16</v>
      </c>
      <c r="F330" s="19">
        <v>1</v>
      </c>
    </row>
    <row r="331" ht="202.8" spans="1:6">
      <c r="A331" s="12">
        <v>8</v>
      </c>
      <c r="B331" s="37" t="s">
        <v>597</v>
      </c>
      <c r="C331" s="38" t="str">
        <f>_xlfn.DISPIMG("ID_34E87C4E0F344B61B290DE4C64F2B187",1)</f>
        <v>=DISPIMG("ID_34E87C4E0F344B61B290DE4C64F2B187",1)</v>
      </c>
      <c r="D331" s="37" t="s">
        <v>598</v>
      </c>
      <c r="E331" s="19" t="s">
        <v>16</v>
      </c>
      <c r="F331" s="19">
        <v>1</v>
      </c>
    </row>
    <row r="332" ht="202.8" spans="1:6">
      <c r="A332" s="12">
        <v>9</v>
      </c>
      <c r="B332" s="37" t="s">
        <v>599</v>
      </c>
      <c r="C332" s="38" t="str">
        <f>_xlfn.DISPIMG("ID_A482DCB324A44B9384C77120D075C21A",1)</f>
        <v>=DISPIMG("ID_A482DCB324A44B9384C77120D075C21A",1)</v>
      </c>
      <c r="D332" s="37" t="s">
        <v>600</v>
      </c>
      <c r="E332" s="19" t="s">
        <v>16</v>
      </c>
      <c r="F332" s="19">
        <v>1</v>
      </c>
    </row>
    <row r="333" ht="202.8" spans="1:6">
      <c r="A333" s="12">
        <v>10</v>
      </c>
      <c r="B333" s="37" t="s">
        <v>601</v>
      </c>
      <c r="C333" s="38" t="str">
        <f>_xlfn.DISPIMG("ID_8ACC72019DBA4951A35DA4B449CEF0B3",1)</f>
        <v>=DISPIMG("ID_8ACC72019DBA4951A35DA4B449CEF0B3",1)</v>
      </c>
      <c r="D333" s="37" t="s">
        <v>602</v>
      </c>
      <c r="E333" s="19" t="s">
        <v>16</v>
      </c>
      <c r="F333" s="19">
        <v>1</v>
      </c>
    </row>
    <row r="334" ht="202.8" spans="1:6">
      <c r="A334" s="12">
        <v>11</v>
      </c>
      <c r="B334" s="37" t="s">
        <v>613</v>
      </c>
      <c r="C334" s="38" t="str">
        <f>_xlfn.DISPIMG("ID_EA33D30FFF3C4E10A416F910F4D35C7C",1)</f>
        <v>=DISPIMG("ID_EA33D30FFF3C4E10A416F910F4D35C7C",1)</v>
      </c>
      <c r="D334" s="37" t="s">
        <v>614</v>
      </c>
      <c r="E334" s="19" t="s">
        <v>16</v>
      </c>
      <c r="F334" s="19">
        <v>1</v>
      </c>
    </row>
    <row r="335" ht="202.8" spans="1:6">
      <c r="A335" s="12">
        <v>12</v>
      </c>
      <c r="B335" s="37" t="s">
        <v>615</v>
      </c>
      <c r="C335" s="38" t="str">
        <f>_xlfn.DISPIMG("ID_96A3C72A18514C03B38400FBF74D1026",1)</f>
        <v>=DISPIMG("ID_96A3C72A18514C03B38400FBF74D1026",1)</v>
      </c>
      <c r="D335" s="37" t="s">
        <v>616</v>
      </c>
      <c r="E335" s="19" t="s">
        <v>16</v>
      </c>
      <c r="F335" s="19">
        <v>1</v>
      </c>
    </row>
    <row r="336" ht="16.5" spans="1:6">
      <c r="A336" s="12"/>
      <c r="B336" s="35"/>
      <c r="C336" s="33"/>
      <c r="D336" s="18"/>
      <c r="E336" s="31"/>
      <c r="F336" s="34"/>
    </row>
    <row r="337" ht="15" spans="1:6">
      <c r="A337" s="13" t="s">
        <v>617</v>
      </c>
      <c r="B337" s="14"/>
      <c r="C337" s="15"/>
      <c r="D337" s="14"/>
      <c r="E337" s="13"/>
      <c r="F337" s="13"/>
    </row>
    <row r="338" s="2" customFormat="1" ht="93.6" spans="1:6">
      <c r="A338" s="19">
        <v>1</v>
      </c>
      <c r="B338" s="32" t="s">
        <v>618</v>
      </c>
      <c r="C338" s="19" t="str">
        <f>_xlfn.DISPIMG("ID_E43A97E07FC9478DB34CB10E444D558E",1)</f>
        <v>=DISPIMG("ID_E43A97E07FC9478DB34CB10E444D558E",1)</v>
      </c>
      <c r="D338" s="16" t="s">
        <v>619</v>
      </c>
      <c r="E338" s="19" t="s">
        <v>13</v>
      </c>
      <c r="F338" s="19">
        <v>100</v>
      </c>
    </row>
    <row r="339" s="2" customFormat="1" ht="54.4" spans="1:6">
      <c r="A339" s="19">
        <v>2</v>
      </c>
      <c r="B339" s="32" t="s">
        <v>620</v>
      </c>
      <c r="C339" s="19" t="str">
        <f>_xlfn.DISPIMG("ID_FAC74B3DDC6F49DFA73D50DE1D545C38",1)</f>
        <v>=DISPIMG("ID_FAC74B3DDC6F49DFA73D50DE1D545C38",1)</v>
      </c>
      <c r="D339" s="16" t="s">
        <v>621</v>
      </c>
      <c r="E339" s="19" t="s">
        <v>13</v>
      </c>
      <c r="F339" s="19">
        <v>3</v>
      </c>
    </row>
    <row r="340" s="2" customFormat="1" ht="112.4" spans="1:6">
      <c r="A340" s="19">
        <v>3</v>
      </c>
      <c r="B340" s="32" t="s">
        <v>622</v>
      </c>
      <c r="C340" s="19" t="str">
        <f>_xlfn.DISPIMG("ID_BC58C537AC3C49C9BF2C92584F86F116",1)</f>
        <v>=DISPIMG("ID_BC58C537AC3C49C9BF2C92584F86F116",1)</v>
      </c>
      <c r="D340" s="16" t="s">
        <v>623</v>
      </c>
      <c r="E340" s="19" t="s">
        <v>13</v>
      </c>
      <c r="F340" s="19">
        <v>9</v>
      </c>
    </row>
    <row r="341" s="2" customFormat="1" ht="97.05" spans="1:6">
      <c r="A341" s="19">
        <v>4</v>
      </c>
      <c r="B341" s="32" t="s">
        <v>624</v>
      </c>
      <c r="C341" s="19" t="str">
        <f>_xlfn.DISPIMG("ID_6FC62588B86F448F99233F633A76746F",1)</f>
        <v>=DISPIMG("ID_6FC62588B86F448F99233F633A76746F",1)</v>
      </c>
      <c r="D341" s="16" t="s">
        <v>625</v>
      </c>
      <c r="E341" s="19" t="s">
        <v>13</v>
      </c>
      <c r="F341" s="19">
        <v>30</v>
      </c>
    </row>
    <row r="342" s="2" customFormat="1" ht="67.75" spans="1:6">
      <c r="A342" s="19">
        <v>5</v>
      </c>
      <c r="B342" s="32" t="s">
        <v>626</v>
      </c>
      <c r="C342" s="19" t="str">
        <f>_xlfn.DISPIMG("ID_4A948DBA1B5C49FBA2DBDB27515C1690",1)</f>
        <v>=DISPIMG("ID_4A948DBA1B5C49FBA2DBDB27515C1690",1)</v>
      </c>
      <c r="D342" s="16" t="s">
        <v>627</v>
      </c>
      <c r="E342" s="19" t="s">
        <v>13</v>
      </c>
      <c r="F342" s="19">
        <v>6</v>
      </c>
    </row>
    <row r="343" s="2" customFormat="1" ht="74.7" spans="1:6">
      <c r="A343" s="19">
        <v>6</v>
      </c>
      <c r="B343" s="32" t="s">
        <v>628</v>
      </c>
      <c r="C343" s="19" t="str">
        <f>_xlfn.DISPIMG("ID_30384FC1C37642D6B90C92581FF8E0CF",1)</f>
        <v>=DISPIMG("ID_30384FC1C37642D6B90C92581FF8E0CF",1)</v>
      </c>
      <c r="D343" s="16" t="s">
        <v>629</v>
      </c>
      <c r="E343" s="19" t="s">
        <v>13</v>
      </c>
      <c r="F343" s="19">
        <v>10</v>
      </c>
    </row>
    <row r="344" s="2" customFormat="1" ht="61.6" spans="1:6">
      <c r="A344" s="19">
        <v>7</v>
      </c>
      <c r="B344" s="32" t="s">
        <v>630</v>
      </c>
      <c r="C344" s="19" t="str">
        <f>_xlfn.DISPIMG("ID_3FBBBA574F9042DE9D90C493DC383B22",1)</f>
        <v>=DISPIMG("ID_3FBBBA574F9042DE9D90C493DC383B22",1)</v>
      </c>
      <c r="D344" s="16" t="s">
        <v>631</v>
      </c>
      <c r="E344" s="19" t="s">
        <v>632</v>
      </c>
      <c r="F344" s="19">
        <v>100</v>
      </c>
    </row>
    <row r="345" s="2" customFormat="1" ht="71.25" spans="1:6">
      <c r="A345" s="19">
        <v>8</v>
      </c>
      <c r="B345" s="32" t="s">
        <v>633</v>
      </c>
      <c r="C345" s="19" t="str">
        <f>_xlfn.DISPIMG("ID_9230AF3AAACC4C299EDC3FE97C434C0B",1)</f>
        <v>=DISPIMG("ID_9230AF3AAACC4C299EDC3FE97C434C0B",1)</v>
      </c>
      <c r="D345" s="16" t="s">
        <v>634</v>
      </c>
      <c r="E345" s="19" t="s">
        <v>16</v>
      </c>
      <c r="F345" s="19">
        <v>40</v>
      </c>
    </row>
    <row r="346" s="2" customFormat="1" ht="16.5" spans="1:6">
      <c r="A346" s="34"/>
      <c r="B346" s="35"/>
      <c r="C346" s="36"/>
      <c r="D346" s="35"/>
      <c r="E346" s="34"/>
      <c r="F346" s="34"/>
    </row>
    <row r="347" ht="15" spans="1:6">
      <c r="A347" s="13" t="s">
        <v>635</v>
      </c>
      <c r="B347" s="14"/>
      <c r="C347" s="15"/>
      <c r="D347" s="14"/>
      <c r="E347" s="13"/>
      <c r="F347" s="13"/>
    </row>
    <row r="348" s="3" customFormat="1" ht="33" spans="1:6">
      <c r="A348" s="23">
        <v>1</v>
      </c>
      <c r="B348" s="23" t="s">
        <v>636</v>
      </c>
      <c r="C348" s="18"/>
      <c r="D348" s="18" t="s">
        <v>637</v>
      </c>
      <c r="E348" s="23" t="s">
        <v>34</v>
      </c>
      <c r="F348" s="23">
        <v>1</v>
      </c>
    </row>
    <row r="349" s="2" customFormat="1" ht="99" spans="1:6">
      <c r="A349" s="19">
        <v>2</v>
      </c>
      <c r="B349" s="19" t="s">
        <v>638</v>
      </c>
      <c r="C349" s="16" t="str">
        <f>_xlfn.DISPIMG("ID_2067BC3E5E224D93B8F551F6D81C3239",1)</f>
        <v>=DISPIMG("ID_2067BC3E5E224D93B8F551F6D81C3239",1)</v>
      </c>
      <c r="D349" s="16" t="s">
        <v>639</v>
      </c>
      <c r="E349" s="19" t="s">
        <v>31</v>
      </c>
      <c r="F349" s="19">
        <f>6.9*1.5</f>
        <v>10.35</v>
      </c>
    </row>
    <row r="350" ht="14.25" spans="1:6">
      <c r="A350" s="39"/>
      <c r="B350" s="30"/>
      <c r="C350" s="30"/>
      <c r="D350" s="30"/>
      <c r="E350" s="39"/>
      <c r="F350" s="39"/>
    </row>
    <row r="351" ht="15" spans="1:6">
      <c r="A351" s="13" t="s">
        <v>640</v>
      </c>
      <c r="B351" s="14"/>
      <c r="C351" s="15"/>
      <c r="D351" s="14"/>
      <c r="E351" s="13"/>
      <c r="F351" s="13"/>
    </row>
    <row r="352" ht="58" spans="1:6">
      <c r="A352" s="12">
        <v>1</v>
      </c>
      <c r="B352" s="32" t="s">
        <v>641</v>
      </c>
      <c r="C352" s="19" t="str">
        <f>_xlfn.DISPIMG("ID_28592C2BE4F245738E1266E421C74901",1)</f>
        <v>=DISPIMG("ID_28592C2BE4F245738E1266E421C74901",1)</v>
      </c>
      <c r="D352" s="16" t="s">
        <v>642</v>
      </c>
      <c r="E352" s="19" t="s">
        <v>64</v>
      </c>
      <c r="F352" s="19">
        <v>6</v>
      </c>
    </row>
    <row r="353" ht="58.2" spans="1:6">
      <c r="A353" s="12">
        <v>2</v>
      </c>
      <c r="B353" s="32" t="s">
        <v>643</v>
      </c>
      <c r="C353" s="19" t="str">
        <f>_xlfn.DISPIMG("ID_96B300DA0E1A47C69484397D4956678D",1)</f>
        <v>=DISPIMG("ID_96B300DA0E1A47C69484397D4956678D",1)</v>
      </c>
      <c r="D353" s="16" t="s">
        <v>644</v>
      </c>
      <c r="E353" s="19" t="s">
        <v>83</v>
      </c>
      <c r="F353" s="19">
        <v>24</v>
      </c>
    </row>
    <row r="354" ht="93.45" spans="1:6">
      <c r="A354" s="12">
        <v>3</v>
      </c>
      <c r="B354" s="16" t="s">
        <v>645</v>
      </c>
      <c r="C354" s="19" t="str">
        <f>_xlfn.DISPIMG("ID_99FBB2A8A408404BAC5CF9E6F2DF6339",1)</f>
        <v>=DISPIMG("ID_99FBB2A8A408404BAC5CF9E6F2DF6339",1)</v>
      </c>
      <c r="D354" s="16" t="s">
        <v>646</v>
      </c>
      <c r="E354" s="19" t="s">
        <v>21</v>
      </c>
      <c r="F354" s="19">
        <v>6</v>
      </c>
    </row>
    <row r="355" ht="69.45" spans="1:6">
      <c r="A355" s="12">
        <v>4</v>
      </c>
      <c r="B355" s="32" t="s">
        <v>647</v>
      </c>
      <c r="C355" s="19" t="str">
        <f>_xlfn.DISPIMG("ID_FB426323487C4829855E6B8870619A45",1)</f>
        <v>=DISPIMG("ID_FB426323487C4829855E6B8870619A45",1)</v>
      </c>
      <c r="D355" s="16" t="s">
        <v>648</v>
      </c>
      <c r="E355" s="19" t="s">
        <v>13</v>
      </c>
      <c r="F355" s="19">
        <v>16</v>
      </c>
    </row>
    <row r="356" ht="66" spans="1:6">
      <c r="A356" s="12">
        <v>5</v>
      </c>
      <c r="B356" s="32" t="s">
        <v>649</v>
      </c>
      <c r="C356" s="19" t="str">
        <f>_xlfn.DISPIMG("ID_9858739AE1E34157855BB5707EB7508E",1)</f>
        <v>=DISPIMG("ID_9858739AE1E34157855BB5707EB7508E",1)</v>
      </c>
      <c r="D356" s="16" t="s">
        <v>648</v>
      </c>
      <c r="E356" s="19" t="s">
        <v>13</v>
      </c>
      <c r="F356" s="19">
        <v>16</v>
      </c>
    </row>
    <row r="357" ht="49.5" spans="1:6">
      <c r="A357" s="12">
        <v>6</v>
      </c>
      <c r="B357" s="32" t="s">
        <v>650</v>
      </c>
      <c r="C357" s="40" t="str">
        <f>_xlfn.DISPIMG("ID_C54C8B3FB34644B8B0EE0568238A8C60",1)</f>
        <v>=DISPIMG("ID_C54C8B3FB34644B8B0EE0568238A8C60",1)</v>
      </c>
      <c r="D357" s="16" t="s">
        <v>651</v>
      </c>
      <c r="E357" s="19" t="s">
        <v>13</v>
      </c>
      <c r="F357" s="19">
        <v>100</v>
      </c>
    </row>
    <row r="358" ht="49.5" spans="1:6">
      <c r="A358" s="12">
        <v>7</v>
      </c>
      <c r="B358" s="32" t="s">
        <v>652</v>
      </c>
      <c r="C358" s="40" t="str">
        <f>_xlfn.DISPIMG("ID_624F842445554A74BBEC89E0ED6D2D1F",1)</f>
        <v>=DISPIMG("ID_624F842445554A74BBEC89E0ED6D2D1F",1)</v>
      </c>
      <c r="D358" s="16" t="s">
        <v>653</v>
      </c>
      <c r="E358" s="19" t="s">
        <v>13</v>
      </c>
      <c r="F358" s="19">
        <v>100</v>
      </c>
    </row>
    <row r="359" ht="61.3" spans="1:6">
      <c r="A359" s="12">
        <v>8</v>
      </c>
      <c r="B359" s="32" t="s">
        <v>654</v>
      </c>
      <c r="C359" s="19" t="str">
        <f>_xlfn.DISPIMG("ID_37AE4F7489F24A59B92E7A32E34B36D3",1)</f>
        <v>=DISPIMG("ID_37AE4F7489F24A59B92E7A32E34B36D3",1)</v>
      </c>
      <c r="D359" s="16" t="s">
        <v>655</v>
      </c>
      <c r="E359" s="19" t="s">
        <v>16</v>
      </c>
      <c r="F359" s="19">
        <v>2</v>
      </c>
    </row>
    <row r="360" ht="83.45" spans="1:6">
      <c r="A360" s="12">
        <v>9</v>
      </c>
      <c r="B360" s="32" t="s">
        <v>656</v>
      </c>
      <c r="C360" s="19" t="str">
        <f>_xlfn.DISPIMG("ID_B0F24A716893409D9E6FACB9952976ED",1)</f>
        <v>=DISPIMG("ID_B0F24A716893409D9E6FACB9952976ED",1)</v>
      </c>
      <c r="D360" s="16" t="s">
        <v>657</v>
      </c>
      <c r="E360" s="19" t="s">
        <v>16</v>
      </c>
      <c r="F360" s="19">
        <v>2</v>
      </c>
    </row>
    <row r="361" ht="68.25" spans="1:6">
      <c r="A361" s="12">
        <v>10</v>
      </c>
      <c r="B361" s="32" t="s">
        <v>658</v>
      </c>
      <c r="C361" s="19" t="str">
        <f>_xlfn.DISPIMG("ID_2ACD53920B1545CC94045A01056F207C",1)</f>
        <v>=DISPIMG("ID_2ACD53920B1545CC94045A01056F207C",1)</v>
      </c>
      <c r="D361" s="16" t="s">
        <v>657</v>
      </c>
      <c r="E361" s="19" t="s">
        <v>16</v>
      </c>
      <c r="F361" s="19">
        <v>2</v>
      </c>
    </row>
    <row r="362" ht="79.25" spans="1:6">
      <c r="A362" s="12">
        <v>11</v>
      </c>
      <c r="B362" s="32" t="s">
        <v>659</v>
      </c>
      <c r="C362" s="19" t="str">
        <f>_xlfn.DISPIMG("ID_BDF15D323F6C4007912AF1B9BDFD20C2",1)</f>
        <v>=DISPIMG("ID_BDF15D323F6C4007912AF1B9BDFD20C2",1)</v>
      </c>
      <c r="D362" s="16" t="s">
        <v>660</v>
      </c>
      <c r="E362" s="19" t="s">
        <v>16</v>
      </c>
      <c r="F362" s="19">
        <v>2</v>
      </c>
    </row>
    <row r="363" ht="102.3" spans="1:6">
      <c r="A363" s="12">
        <v>12</v>
      </c>
      <c r="B363" s="32" t="s">
        <v>661</v>
      </c>
      <c r="C363" s="19" t="str">
        <f>_xlfn.DISPIMG("ID_33CFB720F52B483387221857310F6349",1)</f>
        <v>=DISPIMG("ID_33CFB720F52B483387221857310F6349",1)</v>
      </c>
      <c r="D363" s="16" t="s">
        <v>662</v>
      </c>
      <c r="E363" s="19" t="s">
        <v>16</v>
      </c>
      <c r="F363" s="19">
        <v>3</v>
      </c>
    </row>
    <row r="364" ht="112.6" spans="1:6">
      <c r="A364" s="12">
        <v>13</v>
      </c>
      <c r="B364" s="32" t="s">
        <v>663</v>
      </c>
      <c r="C364" s="19" t="str">
        <f>_xlfn.DISPIMG("ID_4486BBE42D7547E2BA092EB548656D44",1)</f>
        <v>=DISPIMG("ID_4486BBE42D7547E2BA092EB548656D44",1)</v>
      </c>
      <c r="D364" s="16" t="s">
        <v>664</v>
      </c>
      <c r="E364" s="19" t="s">
        <v>16</v>
      </c>
      <c r="F364" s="19">
        <v>3</v>
      </c>
    </row>
    <row r="365" ht="59.3" spans="1:6">
      <c r="A365" s="12">
        <v>14</v>
      </c>
      <c r="B365" s="32" t="s">
        <v>665</v>
      </c>
      <c r="C365" s="19" t="str">
        <f>_xlfn.DISPIMG("ID_EA8D27F4FB6B4F5FAEC6846432BCCB1E",1)</f>
        <v>=DISPIMG("ID_EA8D27F4FB6B4F5FAEC6846432BCCB1E",1)</v>
      </c>
      <c r="D365" s="16" t="s">
        <v>666</v>
      </c>
      <c r="E365" s="19" t="s">
        <v>64</v>
      </c>
      <c r="F365" s="19">
        <v>6</v>
      </c>
    </row>
    <row r="366" ht="16.5" spans="1:6">
      <c r="A366" s="12"/>
      <c r="B366" s="32"/>
      <c r="C366" s="19"/>
      <c r="D366" s="16"/>
      <c r="E366" s="19"/>
      <c r="F366" s="19"/>
    </row>
    <row r="367" ht="15" spans="1:6">
      <c r="A367" s="13" t="s">
        <v>667</v>
      </c>
      <c r="B367" s="14"/>
      <c r="C367" s="15"/>
      <c r="D367" s="14"/>
      <c r="E367" s="13"/>
      <c r="F367" s="13"/>
    </row>
    <row r="368" ht="68.35" spans="1:6">
      <c r="A368" s="12">
        <v>1</v>
      </c>
      <c r="B368" s="16" t="s">
        <v>668</v>
      </c>
      <c r="C368" s="19" t="str">
        <f>_xlfn.DISPIMG("ID_F8E31942EDFF4D10A292B0AFFFB6FE36",1)</f>
        <v>=DISPIMG("ID_F8E31942EDFF4D10A292B0AFFFB6FE36",1)</v>
      </c>
      <c r="D368" s="16" t="s">
        <v>669</v>
      </c>
      <c r="E368" s="19" t="s">
        <v>13</v>
      </c>
      <c r="F368" s="19">
        <v>12</v>
      </c>
    </row>
    <row r="369" ht="68.35" spans="1:6">
      <c r="A369" s="12">
        <v>2</v>
      </c>
      <c r="B369" s="16" t="s">
        <v>670</v>
      </c>
      <c r="C369" s="19" t="str">
        <f>_xlfn.DISPIMG("ID_FF97855818A34B60A114251ED88B2603",1)</f>
        <v>=DISPIMG("ID_FF97855818A34B60A114251ED88B2603",1)</v>
      </c>
      <c r="D369" s="16" t="s">
        <v>671</v>
      </c>
      <c r="E369" s="19" t="s">
        <v>13</v>
      </c>
      <c r="F369" s="19">
        <v>12</v>
      </c>
    </row>
    <row r="370" ht="58" spans="1:6">
      <c r="A370" s="12">
        <v>3</v>
      </c>
      <c r="B370" s="16" t="s">
        <v>672</v>
      </c>
      <c r="C370" s="19" t="str">
        <f>_xlfn.DISPIMG("ID_91218917C7804ED9918BC1F99F7885EF",1)</f>
        <v>=DISPIMG("ID_91218917C7804ED9918BC1F99F7885EF",1)</v>
      </c>
      <c r="D370" s="16" t="s">
        <v>673</v>
      </c>
      <c r="E370" s="19" t="s">
        <v>13</v>
      </c>
      <c r="F370" s="19">
        <v>9</v>
      </c>
    </row>
    <row r="371" ht="75.85" spans="1:6">
      <c r="A371" s="12">
        <v>4</v>
      </c>
      <c r="B371" s="32" t="s">
        <v>674</v>
      </c>
      <c r="C371" s="19" t="str">
        <f>_xlfn.DISPIMG("ID_9B027785A6C346E99875AA4D830B48A4",1)</f>
        <v>=DISPIMG("ID_9B027785A6C346E99875AA4D830B48A4",1)</v>
      </c>
      <c r="D371" s="16" t="s">
        <v>675</v>
      </c>
      <c r="E371" s="19" t="s">
        <v>16</v>
      </c>
      <c r="F371" s="19">
        <v>1</v>
      </c>
    </row>
    <row r="372" ht="75.85" spans="1:6">
      <c r="A372" s="12">
        <v>5</v>
      </c>
      <c r="B372" s="32" t="s">
        <v>676</v>
      </c>
      <c r="C372" s="19" t="str">
        <f>_xlfn.DISPIMG("ID_3D9F7BF87F3A43EEAF35CCA8BB9E904D",1)</f>
        <v>=DISPIMG("ID_3D9F7BF87F3A43EEAF35CCA8BB9E904D",1)</v>
      </c>
      <c r="D372" s="16" t="s">
        <v>677</v>
      </c>
      <c r="E372" s="19" t="s">
        <v>16</v>
      </c>
      <c r="F372" s="19">
        <v>1</v>
      </c>
    </row>
    <row r="373" ht="75.85" spans="1:6">
      <c r="A373" s="12">
        <v>6</v>
      </c>
      <c r="B373" s="16" t="s">
        <v>678</v>
      </c>
      <c r="C373" s="16" t="str">
        <f>_xlfn.DISPIMG("ID_60D9FC9A7CB04A5FA121F05138C2BB41",1)</f>
        <v>=DISPIMG("ID_60D9FC9A7CB04A5FA121F05138C2BB41",1)</v>
      </c>
      <c r="D373" s="16" t="s">
        <v>679</v>
      </c>
      <c r="E373" s="19" t="s">
        <v>16</v>
      </c>
      <c r="F373" s="19">
        <v>3</v>
      </c>
    </row>
    <row r="374" ht="75.85" spans="1:6">
      <c r="A374" s="12">
        <v>7</v>
      </c>
      <c r="B374" s="16" t="s">
        <v>680</v>
      </c>
      <c r="C374" s="16" t="str">
        <f>_xlfn.DISPIMG("ID_BB436572108749A7B2C50C1E36CC0130",1)</f>
        <v>=DISPIMG("ID_BB436572108749A7B2C50C1E36CC0130",1)</v>
      </c>
      <c r="D374" s="16" t="s">
        <v>681</v>
      </c>
      <c r="E374" s="19" t="s">
        <v>16</v>
      </c>
      <c r="F374" s="19">
        <v>3</v>
      </c>
    </row>
    <row r="375" ht="59.6" spans="1:6">
      <c r="A375" s="12">
        <v>8</v>
      </c>
      <c r="B375" s="16" t="s">
        <v>682</v>
      </c>
      <c r="C375" s="16" t="str">
        <f>_xlfn.DISPIMG("ID_7DD75F31113642738E7E830E4D9D34A0",1)</f>
        <v>=DISPIMG("ID_7DD75F31113642738E7E830E4D9D34A0",1)</v>
      </c>
      <c r="D375" s="16" t="s">
        <v>683</v>
      </c>
      <c r="E375" s="19" t="s">
        <v>16</v>
      </c>
      <c r="F375" s="19">
        <v>20</v>
      </c>
    </row>
    <row r="376" ht="16.5" spans="1:6">
      <c r="A376" s="19"/>
      <c r="B376" s="16"/>
      <c r="C376" s="17"/>
      <c r="D376" s="16"/>
      <c r="E376" s="19"/>
      <c r="F376" s="19"/>
    </row>
    <row r="377" ht="15" spans="1:6">
      <c r="A377" s="41" t="s">
        <v>684</v>
      </c>
      <c r="B377" s="41"/>
      <c r="C377" s="42"/>
      <c r="D377" s="14"/>
      <c r="E377" s="41"/>
      <c r="F377" s="41"/>
    </row>
    <row r="378" s="1" customFormat="1" ht="64.1" spans="1:6">
      <c r="A378" s="12">
        <v>1</v>
      </c>
      <c r="B378" s="32" t="s">
        <v>685</v>
      </c>
      <c r="C378" s="19" t="str">
        <f>_xlfn.DISPIMG("ID_33AA4C3F834B4283B120408A37693F88",1)</f>
        <v>=DISPIMG("ID_33AA4C3F834B4283B120408A37693F88",1)</v>
      </c>
      <c r="D378" s="16" t="s">
        <v>686</v>
      </c>
      <c r="E378" s="19" t="s">
        <v>16</v>
      </c>
      <c r="F378" s="19">
        <v>2</v>
      </c>
    </row>
    <row r="379" ht="67.2" spans="1:6">
      <c r="A379" s="12">
        <v>2</v>
      </c>
      <c r="B379" s="32" t="s">
        <v>687</v>
      </c>
      <c r="C379" s="19" t="str">
        <f>_xlfn.DISPIMG("ID_5AE8DC76BDAD406593DD1A98C91DD671",1)</f>
        <v>=DISPIMG("ID_5AE8DC76BDAD406593DD1A98C91DD671",1)</v>
      </c>
      <c r="D379" s="16" t="s">
        <v>688</v>
      </c>
      <c r="E379" s="19" t="s">
        <v>689</v>
      </c>
      <c r="F379" s="19">
        <v>12</v>
      </c>
    </row>
    <row r="380" ht="62.6" spans="1:6">
      <c r="A380" s="12">
        <v>3</v>
      </c>
      <c r="B380" s="16" t="s">
        <v>690</v>
      </c>
      <c r="C380" s="19" t="str">
        <f>_xlfn.DISPIMG("ID_B31C9104B6464868AE5E3E4FF2333CFB",1)</f>
        <v>=DISPIMG("ID_B31C9104B6464868AE5E3E4FF2333CFB",1)</v>
      </c>
      <c r="D380" s="16" t="s">
        <v>691</v>
      </c>
      <c r="E380" s="19" t="s">
        <v>64</v>
      </c>
      <c r="F380" s="19">
        <v>3</v>
      </c>
    </row>
    <row r="381" ht="76.75" spans="1:6">
      <c r="A381" s="12">
        <v>4</v>
      </c>
      <c r="B381" s="32" t="s">
        <v>692</v>
      </c>
      <c r="C381" s="19" t="str">
        <f>_xlfn.DISPIMG("ID_FEEE0D97301249E4B0DE35611C8D985E",1)</f>
        <v>=DISPIMG("ID_FEEE0D97301249E4B0DE35611C8D985E",1)</v>
      </c>
      <c r="D381" s="16" t="s">
        <v>693</v>
      </c>
      <c r="E381" s="19" t="s">
        <v>16</v>
      </c>
      <c r="F381" s="19">
        <v>3</v>
      </c>
    </row>
    <row r="382" ht="66.5" spans="1:6">
      <c r="A382" s="12">
        <v>5</v>
      </c>
      <c r="B382" s="32" t="s">
        <v>694</v>
      </c>
      <c r="C382" s="19" t="str">
        <f>_xlfn.DISPIMG("ID_0441EAFA61D544B5838407D29073E0AA",1)</f>
        <v>=DISPIMG("ID_0441EAFA61D544B5838407D29073E0AA",1)</v>
      </c>
      <c r="D382" s="16" t="s">
        <v>695</v>
      </c>
      <c r="E382" s="19" t="s">
        <v>190</v>
      </c>
      <c r="F382" s="19">
        <v>2</v>
      </c>
    </row>
    <row r="383" ht="59.1" spans="1:6">
      <c r="A383" s="12">
        <v>6</v>
      </c>
      <c r="B383" s="32" t="s">
        <v>696</v>
      </c>
      <c r="C383" s="19" t="str">
        <f>_xlfn.DISPIMG("ID_9FBFFEE9107B494991E88EAEFE8D4A60",1)</f>
        <v>=DISPIMG("ID_9FBFFEE9107B494991E88EAEFE8D4A60",1)</v>
      </c>
      <c r="D383" s="16" t="s">
        <v>697</v>
      </c>
      <c r="E383" s="19" t="s">
        <v>190</v>
      </c>
      <c r="F383" s="19">
        <v>6.4</v>
      </c>
    </row>
    <row r="384" ht="37.35" spans="1:6">
      <c r="A384" s="12">
        <v>7</v>
      </c>
      <c r="B384" s="32" t="s">
        <v>698</v>
      </c>
      <c r="C384" s="19" t="str">
        <f>_xlfn.DISPIMG("ID_4378F07DBA244DF0B10B9B4363FD5C6D",1)</f>
        <v>=DISPIMG("ID_4378F07DBA244DF0B10B9B4363FD5C6D",1)</v>
      </c>
      <c r="D384" s="16" t="s">
        <v>699</v>
      </c>
      <c r="E384" s="19" t="s">
        <v>190</v>
      </c>
      <c r="F384" s="19">
        <v>6.4</v>
      </c>
    </row>
    <row r="385" ht="69.55" spans="1:6">
      <c r="A385" s="12">
        <v>8</v>
      </c>
      <c r="B385" s="32" t="s">
        <v>700</v>
      </c>
      <c r="C385" s="19" t="str">
        <f>_xlfn.DISPIMG("ID_55620DB16FC14C23BEB4A7E7D93F69D4",1)</f>
        <v>=DISPIMG("ID_55620DB16FC14C23BEB4A7E7D93F69D4",1)</v>
      </c>
      <c r="D385" s="16" t="s">
        <v>701</v>
      </c>
      <c r="E385" s="19" t="s">
        <v>13</v>
      </c>
      <c r="F385" s="19">
        <v>12</v>
      </c>
    </row>
    <row r="386" ht="61.45" spans="1:6">
      <c r="A386" s="12">
        <v>9</v>
      </c>
      <c r="B386" s="32" t="s">
        <v>702</v>
      </c>
      <c r="C386" s="19" t="str">
        <f>_xlfn.DISPIMG("ID_0527F1B98F50405DA29218D43EAC1163",1)</f>
        <v>=DISPIMG("ID_0527F1B98F50405DA29218D43EAC1163",1)</v>
      </c>
      <c r="D386" s="16" t="s">
        <v>703</v>
      </c>
      <c r="E386" s="19" t="s">
        <v>13</v>
      </c>
      <c r="F386" s="19">
        <v>36</v>
      </c>
    </row>
    <row r="387" ht="61.45" spans="1:6">
      <c r="A387" s="12">
        <v>10</v>
      </c>
      <c r="B387" s="32" t="s">
        <v>704</v>
      </c>
      <c r="C387" s="19" t="str">
        <f>_xlfn.DISPIMG("ID_FB2EC745C9DC47AB8A6F2D2BD3F7E43A",1)</f>
        <v>=DISPIMG("ID_FB2EC745C9DC47AB8A6F2D2BD3F7E43A",1)</v>
      </c>
      <c r="D387" s="16" t="s">
        <v>705</v>
      </c>
      <c r="E387" s="19" t="s">
        <v>13</v>
      </c>
      <c r="F387" s="19">
        <v>4</v>
      </c>
    </row>
    <row r="388" ht="58.15" spans="1:6">
      <c r="A388" s="12">
        <v>11</v>
      </c>
      <c r="B388" s="32" t="s">
        <v>706</v>
      </c>
      <c r="C388" s="19" t="str">
        <f>_xlfn.DISPIMG("ID_ADEB47EE9E9F43069586B342C372227A",1)</f>
        <v>=DISPIMG("ID_ADEB47EE9E9F43069586B342C372227A",1)</v>
      </c>
      <c r="D388" s="16" t="s">
        <v>707</v>
      </c>
      <c r="E388" s="19" t="s">
        <v>13</v>
      </c>
      <c r="F388" s="19">
        <v>8</v>
      </c>
    </row>
    <row r="389" ht="61.45" spans="1:6">
      <c r="A389" s="12">
        <v>12</v>
      </c>
      <c r="B389" s="32" t="s">
        <v>708</v>
      </c>
      <c r="C389" s="19" t="str">
        <f>_xlfn.DISPIMG("ID_9188A32BCFE2410485C902FC5149E96E",1)</f>
        <v>=DISPIMG("ID_9188A32BCFE2410485C902FC5149E96E",1)</v>
      </c>
      <c r="D389" s="16" t="s">
        <v>709</v>
      </c>
      <c r="E389" s="19" t="s">
        <v>13</v>
      </c>
      <c r="F389" s="19">
        <v>1</v>
      </c>
    </row>
    <row r="390" ht="55.5" spans="1:6">
      <c r="A390" s="12">
        <v>13</v>
      </c>
      <c r="B390" s="32" t="s">
        <v>710</v>
      </c>
      <c r="C390" s="19" t="str">
        <f>_xlfn.DISPIMG("ID_81EABE948EBD4AB0AB3A736B59EF83B5",1)</f>
        <v>=DISPIMG("ID_81EABE948EBD4AB0AB3A736B59EF83B5",1)</v>
      </c>
      <c r="D390" s="16" t="s">
        <v>711</v>
      </c>
      <c r="E390" s="19" t="s">
        <v>419</v>
      </c>
      <c r="F390" s="19">
        <v>5</v>
      </c>
    </row>
    <row r="391" ht="67.75" spans="1:6">
      <c r="A391" s="12">
        <v>14</v>
      </c>
      <c r="B391" s="32" t="s">
        <v>712</v>
      </c>
      <c r="C391" s="19" t="str">
        <f>_xlfn.DISPIMG("ID_3ACD140778534C25BA2E30C7CB0DB385",1)</f>
        <v>=DISPIMG("ID_3ACD140778534C25BA2E30C7CB0DB385",1)</v>
      </c>
      <c r="D391" s="16" t="s">
        <v>713</v>
      </c>
      <c r="E391" s="19" t="s">
        <v>145</v>
      </c>
      <c r="F391" s="19">
        <v>3.75</v>
      </c>
    </row>
    <row r="392" ht="65.3" spans="1:6">
      <c r="A392" s="12">
        <v>15</v>
      </c>
      <c r="B392" s="32" t="s">
        <v>213</v>
      </c>
      <c r="C392" s="19" t="str">
        <f>_xlfn.DISPIMG("ID_71EC1F31B93549F4B7FBD82B2B0AE6F1",1)</f>
        <v>=DISPIMG("ID_71EC1F31B93549F4B7FBD82B2B0AE6F1",1)</v>
      </c>
      <c r="D392" s="16" t="s">
        <v>714</v>
      </c>
      <c r="E392" s="19" t="s">
        <v>13</v>
      </c>
      <c r="F392" s="19">
        <v>20</v>
      </c>
    </row>
    <row r="393" ht="65.3" spans="1:6">
      <c r="A393" s="12">
        <v>16</v>
      </c>
      <c r="B393" s="32" t="s">
        <v>213</v>
      </c>
      <c r="C393" s="19" t="str">
        <f>_xlfn.DISPIMG("ID_D08ADD55C726489292856821E41E79B8",1)</f>
        <v>=DISPIMG("ID_D08ADD55C726489292856821E41E79B8",1)</v>
      </c>
      <c r="D393" s="16" t="s">
        <v>715</v>
      </c>
      <c r="E393" s="19" t="s">
        <v>13</v>
      </c>
      <c r="F393" s="19">
        <v>15</v>
      </c>
    </row>
    <row r="394" ht="65.3" spans="1:6">
      <c r="A394" s="12">
        <v>17</v>
      </c>
      <c r="B394" s="32" t="s">
        <v>213</v>
      </c>
      <c r="C394" s="19" t="str">
        <f>_xlfn.DISPIMG("ID_08C5AE1DEC6045B18465017B8734EA2A",1)</f>
        <v>=DISPIMG("ID_08C5AE1DEC6045B18465017B8734EA2A",1)</v>
      </c>
      <c r="D394" s="16" t="s">
        <v>716</v>
      </c>
      <c r="E394" s="19" t="s">
        <v>13</v>
      </c>
      <c r="F394" s="19">
        <v>20</v>
      </c>
    </row>
    <row r="395" ht="56.6" spans="1:6">
      <c r="A395" s="12">
        <v>18</v>
      </c>
      <c r="B395" s="32" t="s">
        <v>717</v>
      </c>
      <c r="C395" s="19" t="str">
        <f>_xlfn.DISPIMG("ID_48F0D624B96A4A18AA8846DD6EE25E1D",1)</f>
        <v>=DISPIMG("ID_48F0D624B96A4A18AA8846DD6EE25E1D",1)</v>
      </c>
      <c r="D395" s="16" t="s">
        <v>718</v>
      </c>
      <c r="E395" s="19" t="s">
        <v>16</v>
      </c>
      <c r="F395" s="19">
        <v>100</v>
      </c>
    </row>
    <row r="396" ht="50.35" spans="1:6">
      <c r="A396" s="12">
        <v>19</v>
      </c>
      <c r="B396" s="32" t="s">
        <v>719</v>
      </c>
      <c r="C396" s="19" t="str">
        <f>_xlfn.DISPIMG("ID_99E49F051B2D43539C9B763D8D6CAA39",1)</f>
        <v>=DISPIMG("ID_99E49F051B2D43539C9B763D8D6CAA39",1)</v>
      </c>
      <c r="D396" s="16" t="s">
        <v>720</v>
      </c>
      <c r="E396" s="19" t="s">
        <v>16</v>
      </c>
      <c r="F396" s="19">
        <v>100</v>
      </c>
    </row>
    <row r="397" ht="53.8" spans="1:6">
      <c r="A397" s="12">
        <v>20</v>
      </c>
      <c r="B397" s="16" t="s">
        <v>721</v>
      </c>
      <c r="C397" s="19" t="str">
        <f>_xlfn.DISPIMG("ID_3857D760C50D49CFB1D954FD0E3376FF",1)</f>
        <v>=DISPIMG("ID_3857D760C50D49CFB1D954FD0E3376FF",1)</v>
      </c>
      <c r="D397" s="16" t="s">
        <v>722</v>
      </c>
      <c r="E397" s="19" t="s">
        <v>16</v>
      </c>
      <c r="F397" s="19">
        <v>50</v>
      </c>
    </row>
    <row r="398" ht="53.8" spans="1:6">
      <c r="A398" s="12">
        <v>21</v>
      </c>
      <c r="B398" s="16" t="s">
        <v>723</v>
      </c>
      <c r="C398" s="19" t="str">
        <f>_xlfn.DISPIMG("ID_B33B3C719F8240438984D5122F939D2E",1)</f>
        <v>=DISPIMG("ID_B33B3C719F8240438984D5122F939D2E",1)</v>
      </c>
      <c r="D398" s="16" t="s">
        <v>724</v>
      </c>
      <c r="E398" s="19" t="s">
        <v>16</v>
      </c>
      <c r="F398" s="19">
        <v>50</v>
      </c>
    </row>
    <row r="399" ht="82.5" spans="1:6">
      <c r="A399" s="12">
        <v>22</v>
      </c>
      <c r="B399" s="32" t="s">
        <v>725</v>
      </c>
      <c r="C399" s="19" t="str">
        <f>_xlfn.DISPIMG("ID_356DFE7638BB4CA2951FB157FC9DBB27",1)</f>
        <v>=DISPIMG("ID_356DFE7638BB4CA2951FB157FC9DBB27",1)</v>
      </c>
      <c r="D399" s="16" t="s">
        <v>726</v>
      </c>
      <c r="E399" s="19" t="s">
        <v>16</v>
      </c>
      <c r="F399" s="19">
        <v>1</v>
      </c>
    </row>
    <row r="400" ht="40.7" spans="1:6">
      <c r="A400" s="12">
        <v>23</v>
      </c>
      <c r="B400" s="32" t="s">
        <v>727</v>
      </c>
      <c r="C400" s="19" t="str">
        <f>_xlfn.DISPIMG("ID_28FEF3E58C2B44D8B69E974A9F47363E",1)</f>
        <v>=DISPIMG("ID_28FEF3E58C2B44D8B69E974A9F47363E",1)</v>
      </c>
      <c r="D400" s="16" t="s">
        <v>728</v>
      </c>
      <c r="E400" s="19" t="s">
        <v>16</v>
      </c>
      <c r="F400" s="19">
        <v>1</v>
      </c>
    </row>
    <row r="401" ht="76.5" spans="1:6">
      <c r="A401" s="12">
        <v>24</v>
      </c>
      <c r="B401" s="32" t="s">
        <v>729</v>
      </c>
      <c r="C401" s="19" t="str">
        <f>_xlfn.DISPIMG("ID_1D744329A2414B9BAC4264D3B86839D8",1)</f>
        <v>=DISPIMG("ID_1D744329A2414B9BAC4264D3B86839D8",1)</v>
      </c>
      <c r="D401" s="16" t="s">
        <v>730</v>
      </c>
      <c r="E401" s="19" t="s">
        <v>16</v>
      </c>
      <c r="F401" s="19">
        <v>4</v>
      </c>
    </row>
    <row r="402" ht="65.1" spans="1:6">
      <c r="A402" s="12">
        <v>25</v>
      </c>
      <c r="B402" s="32" t="s">
        <v>731</v>
      </c>
      <c r="C402" s="19" t="str">
        <f>_xlfn.DISPIMG("ID_7A9AF9D6BDF94E6CAF123EF1570CDCB3",1)</f>
        <v>=DISPIMG("ID_7A9AF9D6BDF94E6CAF123EF1570CDCB3",1)</v>
      </c>
      <c r="D402" s="16" t="s">
        <v>732</v>
      </c>
      <c r="E402" s="19" t="s">
        <v>16</v>
      </c>
      <c r="F402" s="19">
        <v>4</v>
      </c>
    </row>
    <row r="403" ht="78" spans="1:6">
      <c r="A403" s="12">
        <v>26</v>
      </c>
      <c r="B403" s="32" t="s">
        <v>733</v>
      </c>
      <c r="C403" s="19" t="str">
        <f>_xlfn.DISPIMG("ID_E9361DCED9BD4F3587B7B5F1ED230EA2",1)</f>
        <v>=DISPIMG("ID_E9361DCED9BD4F3587B7B5F1ED230EA2",1)</v>
      </c>
      <c r="D403" s="16" t="s">
        <v>734</v>
      </c>
      <c r="E403" s="19" t="s">
        <v>16</v>
      </c>
      <c r="F403" s="19">
        <v>4</v>
      </c>
    </row>
    <row r="404" ht="79.85" spans="1:6">
      <c r="A404" s="12">
        <v>27</v>
      </c>
      <c r="B404" s="32" t="s">
        <v>735</v>
      </c>
      <c r="C404" s="19" t="str">
        <f>_xlfn.DISPIMG("ID_F40363F63C184D359C2E45ACACB949E5",1)</f>
        <v>=DISPIMG("ID_F40363F63C184D359C2E45ACACB949E5",1)</v>
      </c>
      <c r="D404" s="16" t="s">
        <v>736</v>
      </c>
      <c r="E404" s="19" t="s">
        <v>16</v>
      </c>
      <c r="F404" s="19">
        <v>4</v>
      </c>
    </row>
    <row r="405" ht="56.85" spans="1:6">
      <c r="A405" s="12">
        <v>28</v>
      </c>
      <c r="B405" s="32" t="s">
        <v>737</v>
      </c>
      <c r="C405" s="19" t="str">
        <f>_xlfn.DISPIMG("ID_B5C1CE6043E540A5A28ACD77C53EC6EF",1)</f>
        <v>=DISPIMG("ID_B5C1CE6043E540A5A28ACD77C53EC6EF",1)</v>
      </c>
      <c r="D405" s="16" t="s">
        <v>738</v>
      </c>
      <c r="E405" s="19" t="s">
        <v>16</v>
      </c>
      <c r="F405" s="19">
        <v>4</v>
      </c>
    </row>
    <row r="406" ht="74.75" spans="1:6">
      <c r="A406" s="12">
        <v>29</v>
      </c>
      <c r="B406" s="32" t="s">
        <v>739</v>
      </c>
      <c r="C406" s="19" t="str">
        <f>_xlfn.DISPIMG("ID_6ACBED208B6E454DA7E9F09EB8A3DC36",1)</f>
        <v>=DISPIMG("ID_6ACBED208B6E454DA7E9F09EB8A3DC36",1)</v>
      </c>
      <c r="D406" s="16" t="s">
        <v>740</v>
      </c>
      <c r="E406" s="19" t="s">
        <v>16</v>
      </c>
      <c r="F406" s="19">
        <v>4</v>
      </c>
    </row>
    <row r="407" ht="61.65" spans="1:6">
      <c r="A407" s="12">
        <v>30</v>
      </c>
      <c r="B407" s="16" t="s">
        <v>741</v>
      </c>
      <c r="C407" s="19" t="str">
        <f>_xlfn.DISPIMG("ID_23B9E1C627A34709B4A65E5BCEF266C7",1)</f>
        <v>=DISPIMG("ID_23B9E1C627A34709B4A65E5BCEF266C7",1)</v>
      </c>
      <c r="D407" s="16" t="s">
        <v>742</v>
      </c>
      <c r="E407" s="19" t="s">
        <v>16</v>
      </c>
      <c r="F407" s="19">
        <v>100</v>
      </c>
    </row>
    <row r="408" ht="50.25" spans="1:6">
      <c r="A408" s="12">
        <v>31</v>
      </c>
      <c r="B408" s="16" t="s">
        <v>743</v>
      </c>
      <c r="C408" s="19" t="str">
        <f>_xlfn.DISPIMG("ID_7E1EE01C2F1944499FE3CC49F366620E",1)</f>
        <v>=DISPIMG("ID_7E1EE01C2F1944499FE3CC49F366620E",1)</v>
      </c>
      <c r="D408" s="16" t="s">
        <v>742</v>
      </c>
      <c r="E408" s="19" t="s">
        <v>16</v>
      </c>
      <c r="F408" s="19">
        <v>150</v>
      </c>
    </row>
    <row r="409" ht="61.25" spans="1:6">
      <c r="A409" s="12">
        <v>32</v>
      </c>
      <c r="B409" s="16" t="s">
        <v>744</v>
      </c>
      <c r="C409" s="19" t="str">
        <f>_xlfn.DISPIMG("ID_0F6ADC13EBED48E6BFC1D916FA695ABC",1)</f>
        <v>=DISPIMG("ID_0F6ADC13EBED48E6BFC1D916FA695ABC",1)</v>
      </c>
      <c r="D409" s="16" t="s">
        <v>745</v>
      </c>
      <c r="E409" s="19" t="s">
        <v>16</v>
      </c>
      <c r="F409" s="19">
        <v>15</v>
      </c>
    </row>
    <row r="410" ht="60.7" spans="1:6">
      <c r="A410" s="12">
        <v>33</v>
      </c>
      <c r="B410" s="32" t="s">
        <v>746</v>
      </c>
      <c r="C410" s="19" t="str">
        <f>_xlfn.DISPIMG("ID_2E9E2E0F56B14ACDA6ED120C7C1A128D",1)</f>
        <v>=DISPIMG("ID_2E9E2E0F56B14ACDA6ED120C7C1A128D",1)</v>
      </c>
      <c r="D410" s="16" t="s">
        <v>747</v>
      </c>
      <c r="E410" s="19" t="s">
        <v>16</v>
      </c>
      <c r="F410" s="19">
        <v>5</v>
      </c>
    </row>
    <row r="411" ht="53.05" spans="1:6">
      <c r="A411" s="12">
        <v>34</v>
      </c>
      <c r="B411" s="32" t="s">
        <v>748</v>
      </c>
      <c r="C411" s="19" t="str">
        <f>_xlfn.DISPIMG("ID_193377251C7D44C2ADC546406190BB67",1)</f>
        <v>=DISPIMG("ID_193377251C7D44C2ADC546406190BB67",1)</v>
      </c>
      <c r="D411" s="16" t="s">
        <v>749</v>
      </c>
      <c r="E411" s="19" t="s">
        <v>16</v>
      </c>
      <c r="F411" s="19">
        <v>6</v>
      </c>
    </row>
    <row r="412" ht="66" spans="1:6">
      <c r="A412" s="12">
        <v>35</v>
      </c>
      <c r="B412" s="16" t="s">
        <v>750</v>
      </c>
      <c r="C412" s="19" t="str">
        <f>_xlfn.DISPIMG("ID_AE9ADF5FE8A74BEAA2F08629C80725A7",1)</f>
        <v>=DISPIMG("ID_AE9ADF5FE8A74BEAA2F08629C80725A7",1)</v>
      </c>
      <c r="D412" s="16" t="s">
        <v>751</v>
      </c>
      <c r="E412" s="19" t="s">
        <v>34</v>
      </c>
      <c r="F412" s="19">
        <v>1</v>
      </c>
    </row>
    <row r="413" ht="52.5" spans="1:6">
      <c r="A413" s="12">
        <v>36</v>
      </c>
      <c r="B413" s="16" t="s">
        <v>752</v>
      </c>
      <c r="C413" s="19" t="str">
        <f>_xlfn.DISPIMG("ID_93437D28A39249CA97B174572C132695",1)</f>
        <v>=DISPIMG("ID_93437D28A39249CA97B174572C132695",1)</v>
      </c>
      <c r="D413" s="16" t="s">
        <v>753</v>
      </c>
      <c r="E413" s="19" t="s">
        <v>13</v>
      </c>
      <c r="F413" s="19">
        <v>1</v>
      </c>
    </row>
    <row r="414" ht="50.1" spans="1:6">
      <c r="A414" s="12">
        <v>37</v>
      </c>
      <c r="B414" s="16" t="s">
        <v>754</v>
      </c>
      <c r="C414" s="19" t="str">
        <f>_xlfn.DISPIMG("ID_E524D22F15664E6EBE82518405069867",1)</f>
        <v>=DISPIMG("ID_E524D22F15664E6EBE82518405069867",1)</v>
      </c>
      <c r="D414" s="16" t="s">
        <v>755</v>
      </c>
      <c r="E414" s="19" t="s">
        <v>13</v>
      </c>
      <c r="F414" s="19">
        <v>1</v>
      </c>
    </row>
    <row r="415" ht="87.9" spans="1:6">
      <c r="A415" s="12">
        <v>38</v>
      </c>
      <c r="B415" s="32" t="s">
        <v>756</v>
      </c>
      <c r="C415" s="19" t="str">
        <f>_xlfn.DISPIMG("ID_0636A1B6D3A347439FCAC24D5829C88C",1)</f>
        <v>=DISPIMG("ID_0636A1B6D3A347439FCAC24D5829C88C",1)</v>
      </c>
      <c r="D415" s="16" t="s">
        <v>757</v>
      </c>
      <c r="E415" s="19" t="s">
        <v>16</v>
      </c>
      <c r="F415" s="19">
        <v>1</v>
      </c>
    </row>
    <row r="416" s="1" customFormat="1" ht="16.5" spans="1:6">
      <c r="A416" s="12">
        <v>39</v>
      </c>
      <c r="B416" s="16" t="s">
        <v>758</v>
      </c>
      <c r="C416" s="16"/>
      <c r="D416" s="16" t="s">
        <v>759</v>
      </c>
      <c r="E416" s="19" t="s">
        <v>760</v>
      </c>
      <c r="F416" s="19">
        <v>50</v>
      </c>
    </row>
    <row r="417" s="1" customFormat="1" ht="33" spans="1:6">
      <c r="A417" s="12">
        <v>40</v>
      </c>
      <c r="B417" s="16" t="s">
        <v>761</v>
      </c>
      <c r="C417" s="16"/>
      <c r="D417" s="16" t="s">
        <v>762</v>
      </c>
      <c r="E417" s="19" t="s">
        <v>34</v>
      </c>
      <c r="F417" s="19">
        <v>1</v>
      </c>
    </row>
    <row r="418" ht="49.5" spans="1:6">
      <c r="A418" s="12">
        <v>41</v>
      </c>
      <c r="B418" s="16" t="s">
        <v>763</v>
      </c>
      <c r="C418" s="16" t="str">
        <f>_xlfn.DISPIMG("ID_BE99A847E6634EB39B7295D7A207F640",1)</f>
        <v>=DISPIMG("ID_BE99A847E6634EB39B7295D7A207F640",1)</v>
      </c>
      <c r="D418" s="16" t="s">
        <v>764</v>
      </c>
      <c r="E418" s="19" t="s">
        <v>145</v>
      </c>
      <c r="F418" s="19">
        <v>100</v>
      </c>
    </row>
    <row r="419" ht="174" spans="1:6">
      <c r="A419" s="12">
        <v>42</v>
      </c>
      <c r="B419" s="16" t="s">
        <v>765</v>
      </c>
      <c r="C419" s="17" t="str">
        <f>_xlfn.DISPIMG("ID_1AABDD01D3E748499D318CEA9024F0B0",1)</f>
        <v>=DISPIMG("ID_1AABDD01D3E748499D318CEA9024F0B0",1)</v>
      </c>
      <c r="D419" s="18" t="s">
        <v>766</v>
      </c>
      <c r="E419" s="19" t="s">
        <v>16</v>
      </c>
      <c r="F419" s="19">
        <v>1</v>
      </c>
    </row>
    <row r="420" s="1" customFormat="1" ht="60" customHeight="1" spans="1:6">
      <c r="A420" s="12">
        <v>43</v>
      </c>
      <c r="B420" s="16" t="s">
        <v>767</v>
      </c>
      <c r="C420" s="17"/>
      <c r="D420" s="18" t="s">
        <v>768</v>
      </c>
      <c r="E420" s="19" t="s">
        <v>34</v>
      </c>
      <c r="F420" s="19">
        <v>1</v>
      </c>
    </row>
    <row r="421" ht="72.5" spans="1:6">
      <c r="A421" s="12">
        <v>44</v>
      </c>
      <c r="B421" s="16" t="s">
        <v>769</v>
      </c>
      <c r="C421" s="17" t="str">
        <f>_xlfn.DISPIMG("ID_BE2C1953CFE14EDC97EF8772296D3653",1)</f>
        <v>=DISPIMG("ID_BE2C1953CFE14EDC97EF8772296D3653",1)</v>
      </c>
      <c r="D421" s="18" t="s">
        <v>770</v>
      </c>
      <c r="E421" s="19" t="s">
        <v>13</v>
      </c>
      <c r="F421" s="19">
        <v>1</v>
      </c>
    </row>
    <row r="422" s="1" customFormat="1" ht="26" customHeight="1" spans="1:6">
      <c r="A422" s="12">
        <v>45</v>
      </c>
      <c r="B422" s="16" t="s">
        <v>771</v>
      </c>
      <c r="C422" s="17"/>
      <c r="D422" s="18"/>
      <c r="E422" s="19" t="s">
        <v>34</v>
      </c>
      <c r="F422" s="19">
        <v>1</v>
      </c>
    </row>
    <row r="423" ht="15" spans="1:6">
      <c r="A423" s="41"/>
      <c r="B423" s="41"/>
      <c r="C423" s="42"/>
      <c r="D423" s="14"/>
      <c r="E423" s="41"/>
      <c r="F423" s="41"/>
    </row>
    <row r="424" ht="16.5" spans="1:6">
      <c r="A424" s="12"/>
      <c r="B424" s="32"/>
      <c r="C424" s="42"/>
      <c r="D424" s="14"/>
      <c r="E424" s="41"/>
      <c r="F424" s="41"/>
    </row>
    <row r="425" ht="15" spans="1:6">
      <c r="A425" s="41"/>
      <c r="B425" s="41"/>
      <c r="C425" s="42"/>
      <c r="D425" s="14"/>
      <c r="E425" s="41"/>
      <c r="F425" s="41"/>
    </row>
  </sheetData>
  <autoFilter xmlns:etc="http://www.wps.cn/officeDocument/2017/etCustomData" ref="A2:F423" etc:filterBottomFollowUsedRange="0">
    <extLst/>
  </autoFilter>
  <mergeCells count="21">
    <mergeCell ref="A1:F1"/>
    <mergeCell ref="A3:F3"/>
    <mergeCell ref="A19:F19"/>
    <mergeCell ref="A50:F50"/>
    <mergeCell ref="A99:F99"/>
    <mergeCell ref="A137:F137"/>
    <mergeCell ref="A306:F306"/>
    <mergeCell ref="A324:F324"/>
    <mergeCell ref="A337:F337"/>
    <mergeCell ref="A347:F347"/>
    <mergeCell ref="A351:F351"/>
    <mergeCell ref="A367:F367"/>
    <mergeCell ref="B69:B70"/>
    <mergeCell ref="C69:C70"/>
    <mergeCell ref="C110:C113"/>
    <mergeCell ref="C114:C117"/>
    <mergeCell ref="C118:C120"/>
    <mergeCell ref="C182:C183"/>
    <mergeCell ref="C188:C189"/>
    <mergeCell ref="C193:C194"/>
    <mergeCell ref="C195:C196"/>
  </mergeCells>
  <pageMargins left="0.550694444444444" right="0.432638888888889" top="0.550694444444444" bottom="0.472222222222222" header="0.393055555555556" footer="0.236111111111111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李兔兔</dc:creator>
  <cp:lastModifiedBy>古月胡</cp:lastModifiedBy>
  <dcterms:created xsi:type="dcterms:W3CDTF">2025-07-14T15:48:00Z</dcterms:created>
  <dcterms:modified xsi:type="dcterms:W3CDTF">2025-07-28T09:57:31Z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ED2DEE1CE6DD4CC3B2BF383047A84421_13</vt:lpwstr>
  </property>
  <property fmtid="{D5CDD505-2E9C-101B-9397-08002B2CF9AE}" pid="3" name="KSOProductBuildVer">
    <vt:lpwstr>2052-12.1.0.21915</vt:lpwstr>
  </property>
</Properties>
</file>