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738"/>
  </bookViews>
  <sheets>
    <sheet name="城区道路保洁" sheetId="13" r:id="rId1"/>
    <sheet name="村道" sheetId="22" r:id="rId2"/>
    <sheet name="垃圾清运（生活垃圾分类收集）" sheetId="2" r:id="rId3"/>
    <sheet name="公厕保洁" sheetId="10" r:id="rId4"/>
    <sheet name="抑尘车费用" sheetId="30" r:id="rId5"/>
    <sheet name="东北塘“三乱”保洁" sheetId="29" r:id="rId6"/>
    <sheet name="3.28调整道路保洁 (车辆)" sheetId="15" state="hidden" r:id="rId7"/>
    <sheet name="3.28调整道路保洁 (人员)" sheetId="16" state="hidden" r:id="rId8"/>
    <sheet name="抑尘车线路" sheetId="14" state="hidden" r:id="rId9"/>
    <sheet name="人工清扫" sheetId="20" state="hidden" r:id="rId10"/>
    <sheet name="人工保洁" sheetId="21" state="hidden" r:id="rId11"/>
    <sheet name="2022" sheetId="18" state="hidden" r:id="rId12"/>
    <sheet name="2020" sheetId="19" state="hidden" r:id="rId13"/>
    <sheet name="洗扫车" sheetId="23" state="hidden" r:id="rId14"/>
    <sheet name="清洗车高压冲洗" sheetId="24" state="hidden" r:id="rId15"/>
    <sheet name="清洗车洒水" sheetId="25" state="hidden" r:id="rId16"/>
    <sheet name="小型洗扫车" sheetId="26" state="hidden" r:id="rId17"/>
    <sheet name="小型清洗车" sheetId="27" state="hidden" r:id="rId18"/>
    <sheet name="人工保洁 (不要求社保)" sheetId="28" state="hidden" r:id="rId19"/>
  </sheets>
  <definedNames>
    <definedName name="_xlnm._FilterDatabase" localSheetId="0" hidden="1">城区道路保洁!$A$5:$BW$222</definedName>
    <definedName name="_xlnm.Print_Area" localSheetId="0">城区道路保洁!$A$1:$BJ$222</definedName>
    <definedName name="_xlnm.Print_Titles" localSheetId="0">城区道路保洁!$1:$5</definedName>
    <definedName name="_xlnm.Print_Titles" localSheetId="1">村道!$1:$2</definedName>
    <definedName name="_xlnm.Print_Titles" localSheetId="4">抑尘车费用!$1:$2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<sst xmlns="http://schemas.openxmlformats.org/spreadsheetml/2006/main" count="4461" uniqueCount="834">
  <si>
    <t>东北塘任务量费用测算（镇级道路）</t>
  </si>
  <si>
    <t>序号</t>
  </si>
  <si>
    <t>ID</t>
  </si>
  <si>
    <t>道路名</t>
  </si>
  <si>
    <t>起点</t>
  </si>
  <si>
    <t xml:space="preserve">终点 </t>
  </si>
  <si>
    <t>道路长度</t>
  </si>
  <si>
    <t>道路总宽度（米）</t>
  </si>
  <si>
    <t>保洁总面积
（㎡）</t>
  </si>
  <si>
    <t xml:space="preserve">道路作业类别
</t>
  </si>
  <si>
    <t>道路实扫面积
小计（㎡）</t>
  </si>
  <si>
    <t>道路清扫实扫面积（㎡）</t>
  </si>
  <si>
    <t>道路保洁
长度（㎡）</t>
  </si>
  <si>
    <t>机扫里程（公里）</t>
  </si>
  <si>
    <t>机扫车额定配置</t>
  </si>
  <si>
    <t>洗地里程
(公里）</t>
  </si>
  <si>
    <t>洗扫车额定配置</t>
  </si>
  <si>
    <t>冲洒水里程
（公里）</t>
  </si>
  <si>
    <t>清洗车额定配置</t>
  </si>
  <si>
    <t>小扫里程（公里）</t>
  </si>
  <si>
    <t>果壳箱
（只）</t>
  </si>
  <si>
    <t>夜保洁</t>
  </si>
  <si>
    <t>机械清扫经费
（万元/年）</t>
  </si>
  <si>
    <t>人工清扫经费
（万元/年）</t>
  </si>
  <si>
    <t>小扫经费（万元/年）</t>
  </si>
  <si>
    <t>人工保洁经费（万元/年）</t>
  </si>
  <si>
    <t>夜保洁经费（万元/年）</t>
  </si>
  <si>
    <t>洗地经费（万元/年）</t>
  </si>
  <si>
    <t>冲水经费（万元/年）</t>
  </si>
  <si>
    <t>广场、人行道板冲水经费（万元/年）（1、2类道路道板须冲水）</t>
  </si>
  <si>
    <t>护栏机械（万元/年）</t>
  </si>
  <si>
    <t>护栏人工（万元/年）</t>
  </si>
  <si>
    <t>废物箱（万元/年）</t>
  </si>
  <si>
    <t>游园、小广场保洁费用（万元/年）</t>
  </si>
  <si>
    <t>绿化带（万元/年）</t>
  </si>
  <si>
    <t>经费合计（万元/年）</t>
  </si>
  <si>
    <t>备注</t>
  </si>
  <si>
    <t>人工实扫面积小计
（㎡）</t>
  </si>
  <si>
    <t>机动车道</t>
  </si>
  <si>
    <t>人工清扫面积
小计（㎡）</t>
  </si>
  <si>
    <t>非机动车道</t>
  </si>
  <si>
    <t>人行道</t>
  </si>
  <si>
    <t>机动车护栏</t>
  </si>
  <si>
    <t>其他护栏</t>
  </si>
  <si>
    <t>人行道护栏</t>
  </si>
  <si>
    <t>非机动车道护栏</t>
  </si>
  <si>
    <t>天桥护栏</t>
  </si>
  <si>
    <t>绿化护栏</t>
  </si>
  <si>
    <t>辅助清扫面积（㎡）</t>
  </si>
  <si>
    <t>绿化带清扫面积（㎡）</t>
  </si>
  <si>
    <t>绿化带</t>
  </si>
  <si>
    <t>机动车道侧
石边脚</t>
  </si>
  <si>
    <t>机扫长度</t>
  </si>
  <si>
    <t>面积</t>
  </si>
  <si>
    <t>宽</t>
  </si>
  <si>
    <t>人工清扫面积</t>
  </si>
  <si>
    <t>非机动车道面积</t>
  </si>
  <si>
    <t>非机动车道
侧石边脚</t>
  </si>
  <si>
    <t>机动车护栏
长度</t>
  </si>
  <si>
    <t>清扫
面积（㎡）</t>
  </si>
  <si>
    <t>长度</t>
  </si>
  <si>
    <t>人行道护栏
长度</t>
  </si>
  <si>
    <t>非机动车护栏
长度</t>
  </si>
  <si>
    <t>天桥护栏长度</t>
  </si>
  <si>
    <t>绿化护栏
长度</t>
  </si>
  <si>
    <t>店面门前
面积（㎡）</t>
  </si>
  <si>
    <t>开放式广场
面积（㎡）</t>
  </si>
  <si>
    <t>机动车道中间隔离绿化面积
（㎡）</t>
  </si>
  <si>
    <t>机非隔离
绿化带面积
（㎡）</t>
  </si>
  <si>
    <t>道路两侧
绿化带面积（㎡）</t>
  </si>
  <si>
    <t>```</t>
  </si>
  <si>
    <t>总面积</t>
  </si>
  <si>
    <t>机扫</t>
  </si>
  <si>
    <t>人工</t>
  </si>
  <si>
    <t>丁缪路</t>
  </si>
  <si>
    <t>丁巷支路1</t>
  </si>
  <si>
    <t>农新路支路1</t>
  </si>
  <si>
    <t>农新路支路2</t>
  </si>
  <si>
    <t>七河浜公墓支路1</t>
  </si>
  <si>
    <t>七河浜公墓</t>
  </si>
  <si>
    <t>石新路</t>
  </si>
  <si>
    <t>下旺支路1</t>
  </si>
  <si>
    <t>下旺</t>
  </si>
  <si>
    <t>锡宁路</t>
  </si>
  <si>
    <t>下旺支路2</t>
  </si>
  <si>
    <t>中元路</t>
  </si>
  <si>
    <t>东亭北路</t>
  </si>
  <si>
    <t>芙蓉三路</t>
  </si>
  <si>
    <t>芙蓉四路</t>
  </si>
  <si>
    <t>有</t>
  </si>
  <si>
    <t>艳阳路</t>
  </si>
  <si>
    <t>锦阳路</t>
  </si>
  <si>
    <t>锡港路</t>
  </si>
  <si>
    <t>芙蓉五路</t>
  </si>
  <si>
    <t>东亭路支路</t>
  </si>
  <si>
    <t>无锡市青少年业余体育学校</t>
  </si>
  <si>
    <t>东园新居支路1</t>
  </si>
  <si>
    <t>茅梓桥路</t>
  </si>
  <si>
    <t>东园新居</t>
  </si>
  <si>
    <t>东园新居支路2</t>
  </si>
  <si>
    <t>东园新居支路3</t>
  </si>
  <si>
    <t>东园新村支路1</t>
  </si>
  <si>
    <t>英才路</t>
  </si>
  <si>
    <t>东园新村支路2</t>
  </si>
  <si>
    <t>东园新村</t>
  </si>
  <si>
    <t>东园新村支路3</t>
  </si>
  <si>
    <t>东园新村支路4</t>
  </si>
  <si>
    <t>东园新村支路5</t>
  </si>
  <si>
    <t>东园新村支路6</t>
  </si>
  <si>
    <t>东园新村支路7</t>
  </si>
  <si>
    <t>东园新村支路8</t>
  </si>
  <si>
    <t>东政路</t>
  </si>
  <si>
    <t>锦旺路</t>
  </si>
  <si>
    <t>春塘路</t>
  </si>
  <si>
    <t>承塘路</t>
  </si>
  <si>
    <t>东方钢材城支路1</t>
  </si>
  <si>
    <t>东方西路</t>
  </si>
  <si>
    <t>锡沙路</t>
  </si>
  <si>
    <t>东旺新村支路1</t>
  </si>
  <si>
    <t>东旺路</t>
  </si>
  <si>
    <t>东旺新村支路2</t>
  </si>
  <si>
    <t>东旺新村</t>
  </si>
  <si>
    <t>东旺新村支路3</t>
  </si>
  <si>
    <t>东旺新村支路4</t>
  </si>
  <si>
    <t>东旺新村支路5</t>
  </si>
  <si>
    <t>东旺新村支路6</t>
  </si>
  <si>
    <t>东旺新村支路7</t>
  </si>
  <si>
    <t>东贸二街</t>
  </si>
  <si>
    <t>东贸新村支路1</t>
  </si>
  <si>
    <t>东贸新村支路2</t>
  </si>
  <si>
    <t>东贸新村支路3</t>
  </si>
  <si>
    <t>东贸新村支路4</t>
  </si>
  <si>
    <t>东贸新村</t>
  </si>
  <si>
    <t>东贸街</t>
  </si>
  <si>
    <t>东鹏路</t>
  </si>
  <si>
    <t>农新河路</t>
  </si>
  <si>
    <t>严埭中路</t>
  </si>
  <si>
    <t>通江南路</t>
  </si>
  <si>
    <t>西新路</t>
  </si>
  <si>
    <t>北环路</t>
  </si>
  <si>
    <t>天奇路</t>
  </si>
  <si>
    <t>中元路-天奇路路口</t>
  </si>
  <si>
    <t>蓉强路</t>
  </si>
  <si>
    <t>农石路</t>
  </si>
  <si>
    <t>蓉新路</t>
  </si>
  <si>
    <t>农新河路-蓉强路路口</t>
  </si>
  <si>
    <t>农新河路-锦阳路路口</t>
  </si>
  <si>
    <t>农新河路-蓉新路路口</t>
  </si>
  <si>
    <t>农新路</t>
  </si>
  <si>
    <t>锡北运河</t>
  </si>
  <si>
    <t>农新路-农石路路口</t>
  </si>
  <si>
    <t>缪巷支路1</t>
  </si>
  <si>
    <t>农新路支路5</t>
  </si>
  <si>
    <t>云芳里支路1</t>
  </si>
  <si>
    <t>农新路支路6</t>
  </si>
  <si>
    <t>小徐巷支路1</t>
  </si>
  <si>
    <t>农新路支路7</t>
  </si>
  <si>
    <t>农石路-农新河路路口</t>
  </si>
  <si>
    <t>农石路支路1</t>
  </si>
  <si>
    <t>北环路高架</t>
  </si>
  <si>
    <t>寺头港桥</t>
  </si>
  <si>
    <t>北环路支路1</t>
  </si>
  <si>
    <t>锡通苑支路1</t>
  </si>
  <si>
    <t>北环路支路2</t>
  </si>
  <si>
    <t>起坡点</t>
  </si>
  <si>
    <t>后庄路</t>
  </si>
  <si>
    <t>大下冯支路3</t>
  </si>
  <si>
    <t>大下冯</t>
  </si>
  <si>
    <t>小下冯支路1</t>
  </si>
  <si>
    <t>石新路支路1</t>
  </si>
  <si>
    <t>通江大道</t>
  </si>
  <si>
    <t>天池巷东路</t>
  </si>
  <si>
    <t>黄泥绛路</t>
  </si>
  <si>
    <t>天池巷支路5</t>
  </si>
  <si>
    <t>天池巷西路</t>
  </si>
  <si>
    <t>天池路</t>
  </si>
  <si>
    <t>大下冯支路1</t>
  </si>
  <si>
    <t>朱巷上支路9</t>
  </si>
  <si>
    <t>小下冯</t>
  </si>
  <si>
    <t>广桐路</t>
  </si>
  <si>
    <t>广瑞路</t>
  </si>
  <si>
    <t>华西岸大桥</t>
  </si>
  <si>
    <t>广南路</t>
  </si>
  <si>
    <t>广瑞路-广桐路路口</t>
  </si>
  <si>
    <t/>
  </si>
  <si>
    <t>方渔路</t>
  </si>
  <si>
    <t>春塘路-东政路路口</t>
  </si>
  <si>
    <t>春塘路-方渔路路口</t>
  </si>
  <si>
    <t>春塘路-承塘路路口</t>
  </si>
  <si>
    <t>春塘路-芙蓉五路路口</t>
  </si>
  <si>
    <t>望江立交匝道10</t>
  </si>
  <si>
    <t>望江立交匝道1</t>
  </si>
  <si>
    <t>望江立交匝道11</t>
  </si>
  <si>
    <t>望江立交匝道4</t>
  </si>
  <si>
    <t>望江立交匝道12</t>
  </si>
  <si>
    <t>望江立交匝道5</t>
  </si>
  <si>
    <t>望江立交匝道9</t>
  </si>
  <si>
    <t>望江立交匝道8</t>
  </si>
  <si>
    <t>望江立交桥支路1</t>
  </si>
  <si>
    <t>望江立交桥支路2</t>
  </si>
  <si>
    <t>朱巷上支路8</t>
  </si>
  <si>
    <t>厂房</t>
  </si>
  <si>
    <t>石新路支路3</t>
  </si>
  <si>
    <t>欣隆路</t>
  </si>
  <si>
    <t>黄兴路</t>
  </si>
  <si>
    <t>中惠大道</t>
  </si>
  <si>
    <t>石新路匝道</t>
  </si>
  <si>
    <t>石新路支路2</t>
  </si>
  <si>
    <t>章顾巷路</t>
  </si>
  <si>
    <t>红胜造船厂支路1</t>
  </si>
  <si>
    <t>红胜造船厂</t>
  </si>
  <si>
    <t>缪巷</t>
  </si>
  <si>
    <t>老徐巷支路1</t>
  </si>
  <si>
    <t>老徐巷村</t>
  </si>
  <si>
    <t>艳阳路-承塘路路口</t>
  </si>
  <si>
    <t>农里支路1</t>
  </si>
  <si>
    <t>芙蓉三路-东亭北路路口</t>
  </si>
  <si>
    <t>华章路</t>
  </si>
  <si>
    <t>芙蓉三路支路100</t>
  </si>
  <si>
    <t>芙蓉二路</t>
  </si>
  <si>
    <t>友谊北路</t>
  </si>
  <si>
    <t>苏巷路</t>
  </si>
  <si>
    <t>天丰路</t>
  </si>
  <si>
    <t>诚毅路</t>
  </si>
  <si>
    <t>蓉裕路</t>
  </si>
  <si>
    <t>裕巷新村支路1</t>
  </si>
  <si>
    <t>裕蓉路</t>
  </si>
  <si>
    <t>裕巷新村</t>
  </si>
  <si>
    <t>裕旺路</t>
  </si>
  <si>
    <t>西园新村支路1</t>
  </si>
  <si>
    <t>西新路支路1</t>
  </si>
  <si>
    <t>殷巷新村</t>
  </si>
  <si>
    <t>西新路支路3</t>
  </si>
  <si>
    <t>钱巷</t>
  </si>
  <si>
    <t>西新路支路2</t>
  </si>
  <si>
    <t>西新路支路4</t>
  </si>
  <si>
    <t>西新路支路5</t>
  </si>
  <si>
    <t>西新路支路6</t>
  </si>
  <si>
    <t>西北塘</t>
  </si>
  <si>
    <t>西新路支路7</t>
  </si>
  <si>
    <t>无锡华众玻璃公司</t>
  </si>
  <si>
    <t>诚毅路-英才路路口</t>
  </si>
  <si>
    <t>通江北路</t>
  </si>
  <si>
    <t>孟巷支路1</t>
  </si>
  <si>
    <t>通江北路支路1</t>
  </si>
  <si>
    <t>房子</t>
  </si>
  <si>
    <t>通江北路支路2</t>
  </si>
  <si>
    <t>安福桥</t>
  </si>
  <si>
    <t>望江立交</t>
  </si>
  <si>
    <t>金中桥路</t>
  </si>
  <si>
    <t>浒塘桥</t>
  </si>
  <si>
    <t>渔韵路</t>
  </si>
  <si>
    <t>金瑚公园支路</t>
  </si>
  <si>
    <t>渔新桥</t>
  </si>
  <si>
    <t>金鹰工业园支路1</t>
  </si>
  <si>
    <t>金鹰工业园</t>
  </si>
  <si>
    <t>北兴塘河</t>
  </si>
  <si>
    <t>锡宁路-中元路路口</t>
  </si>
  <si>
    <t>寺头港</t>
  </si>
  <si>
    <t>锡宁路匝道</t>
  </si>
  <si>
    <t>锡宁路高架</t>
  </si>
  <si>
    <t>锡澄路</t>
  </si>
  <si>
    <t>锡港路-农新路路口</t>
  </si>
  <si>
    <t>友谊路口</t>
  </si>
  <si>
    <t>友谊路</t>
  </si>
  <si>
    <t>白屈港</t>
  </si>
  <si>
    <t>锡通苑支路2</t>
  </si>
  <si>
    <t>锡通苑支路3</t>
  </si>
  <si>
    <t>锦旺路-东政路路口</t>
  </si>
  <si>
    <t>锦旺路-诚毅路路口</t>
  </si>
  <si>
    <t>锦旺路-芙蓉四路路口</t>
  </si>
  <si>
    <t>锦阳路-承塘路路口</t>
  </si>
  <si>
    <t>锦阳路-东亭北路路口</t>
  </si>
  <si>
    <t>锦阳路支路1</t>
  </si>
  <si>
    <t>黄兴桥</t>
  </si>
  <si>
    <t>黄兴路-西新路路口</t>
  </si>
  <si>
    <t>黄兴路-锦阳路路口</t>
  </si>
  <si>
    <t>黄泥绛路-天池巷西路路口</t>
  </si>
  <si>
    <t>黄泥绛路-天池巷东路路口</t>
  </si>
  <si>
    <t>黄泥绛路支路1</t>
  </si>
  <si>
    <t>旱地</t>
  </si>
  <si>
    <t>东昌路</t>
  </si>
  <si>
    <t>东跃路</t>
  </si>
  <si>
    <t>伯勤路</t>
  </si>
  <si>
    <t>中专</t>
  </si>
  <si>
    <t>收费站</t>
  </si>
  <si>
    <t>东腾路</t>
  </si>
  <si>
    <t>合计</t>
  </si>
  <si>
    <t>背街小巷任务量费用测算表</t>
  </si>
  <si>
    <t>id</t>
  </si>
  <si>
    <t>止点</t>
  </si>
  <si>
    <t>路宽</t>
  </si>
  <si>
    <t>机动车道面积</t>
  </si>
  <si>
    <t>机动车道侧石边脚</t>
  </si>
  <si>
    <t>机动车辅道面积</t>
  </si>
  <si>
    <t>机动车辅道侧石边脚</t>
  </si>
  <si>
    <t>非机动车道侧石边脚</t>
  </si>
  <si>
    <t>人行道面积</t>
  </si>
  <si>
    <t>机动车道中间隔离绿化面积</t>
  </si>
  <si>
    <t>机非隔离绿化带面积</t>
  </si>
  <si>
    <t>道路两侧绿化带面积</t>
  </si>
  <si>
    <t>店面门前面积</t>
  </si>
  <si>
    <t>开放式广场面积</t>
  </si>
  <si>
    <t>人行道护栏长度</t>
  </si>
  <si>
    <t>机动车护栏长度</t>
  </si>
  <si>
    <t>非机动车道护栏长度</t>
  </si>
  <si>
    <t>绿化护栏长度</t>
  </si>
  <si>
    <t>果壳箱个数</t>
  </si>
  <si>
    <t>人工清扫面积小计(米2）</t>
  </si>
  <si>
    <t>道路保洁长度（米）</t>
  </si>
  <si>
    <t>护栏保洁小计(米2）</t>
  </si>
  <si>
    <t>绿化带面积小计(米2）</t>
  </si>
  <si>
    <t>人工清扫经费（万元/年）</t>
  </si>
  <si>
    <t>作业类别</t>
  </si>
  <si>
    <t>三类（人工）</t>
  </si>
  <si>
    <t>丁巷支路2</t>
  </si>
  <si>
    <t>丁巷支路3</t>
  </si>
  <si>
    <t>丁巷村</t>
  </si>
  <si>
    <t>丁巷支路4</t>
  </si>
  <si>
    <t>下旺支路10</t>
  </si>
  <si>
    <t>下旺支路8</t>
  </si>
  <si>
    <t>下旺支路11</t>
  </si>
  <si>
    <t>下旺支路12</t>
  </si>
  <si>
    <t>下旺支路13</t>
  </si>
  <si>
    <t>下旺支路9</t>
  </si>
  <si>
    <t>东北塘供电所支路1</t>
  </si>
  <si>
    <t>东北塘新村支路1</t>
  </si>
  <si>
    <t>俞坎巷</t>
  </si>
  <si>
    <t>东北塘新村支路2</t>
  </si>
  <si>
    <t>东北塘新村支路3</t>
  </si>
  <si>
    <t>东北塘新村支路4</t>
  </si>
  <si>
    <t>东政路-英才路路口</t>
  </si>
  <si>
    <t>东政路-承塘路路口</t>
  </si>
  <si>
    <t>东政路支路1</t>
  </si>
  <si>
    <t>东贸街支路1</t>
  </si>
  <si>
    <t>东鹏路支路1</t>
  </si>
  <si>
    <t>田</t>
  </si>
  <si>
    <t>云芳里支路2</t>
  </si>
  <si>
    <t>云芳里支路3</t>
  </si>
  <si>
    <t>云芳里支路4</t>
  </si>
  <si>
    <t>农坝新村支路1</t>
  </si>
  <si>
    <t>老徐巷支路2</t>
  </si>
  <si>
    <t>农坝新村支路10</t>
  </si>
  <si>
    <t>农坝新村支路9</t>
  </si>
  <si>
    <t>农坝新村支路8</t>
  </si>
  <si>
    <t>农坝新村支路3</t>
  </si>
  <si>
    <t>农坝新村支路2</t>
  </si>
  <si>
    <t>农坝新村支路4</t>
  </si>
  <si>
    <t>农坝新村支路5</t>
  </si>
  <si>
    <t>农坝新村支路6</t>
  </si>
  <si>
    <t>农坝新村支路7</t>
  </si>
  <si>
    <t>南水渠支路1</t>
  </si>
  <si>
    <t>南水渠支路2</t>
  </si>
  <si>
    <t>南水渠支路3</t>
  </si>
  <si>
    <t>南苑新村支路1</t>
  </si>
  <si>
    <t>南苑新村</t>
  </si>
  <si>
    <t>南苑新村支路2</t>
  </si>
  <si>
    <t>后庄支路1</t>
  </si>
  <si>
    <t>后庄支路10</t>
  </si>
  <si>
    <t>后庄支路9</t>
  </si>
  <si>
    <t>后庄支路11</t>
  </si>
  <si>
    <t>后庄</t>
  </si>
  <si>
    <t>后庄支路2</t>
  </si>
  <si>
    <t>后庄村</t>
  </si>
  <si>
    <t>后庄支路3</t>
  </si>
  <si>
    <t>后庄支路4</t>
  </si>
  <si>
    <t>后庄支路5</t>
  </si>
  <si>
    <t>后庄支路6</t>
  </si>
  <si>
    <t>后庄支路7</t>
  </si>
  <si>
    <t>后庄支路8</t>
  </si>
  <si>
    <t>塘新路</t>
  </si>
  <si>
    <t>大下冯支路2</t>
  </si>
  <si>
    <t>大下冯支路4</t>
  </si>
  <si>
    <t>大下冯支路5</t>
  </si>
  <si>
    <t>大下冯支路6</t>
  </si>
  <si>
    <t>大李巷支路1</t>
  </si>
  <si>
    <t>谢巷</t>
  </si>
  <si>
    <t>大李巷</t>
  </si>
  <si>
    <t>大李巷支路2</t>
  </si>
  <si>
    <t>大李巷支路3</t>
  </si>
  <si>
    <t>大李巷支路4</t>
  </si>
  <si>
    <t>大李巷支路5</t>
  </si>
  <si>
    <t>工厂</t>
  </si>
  <si>
    <t>孙孟巷支路1</t>
  </si>
  <si>
    <t>孙孟巷</t>
  </si>
  <si>
    <t>孙孟巷支路2</t>
  </si>
  <si>
    <t>孙孟巷支路3</t>
  </si>
  <si>
    <t>冷水湾桥</t>
  </si>
  <si>
    <t>孟巷支路10</t>
  </si>
  <si>
    <t>孟巷支路7</t>
  </si>
  <si>
    <t>孟巷支路9</t>
  </si>
  <si>
    <t>孟巷支路2</t>
  </si>
  <si>
    <t>孟巷</t>
  </si>
  <si>
    <t>孟巷支路3</t>
  </si>
  <si>
    <t>孟巷支路4</t>
  </si>
  <si>
    <t>孟巷支路5</t>
  </si>
  <si>
    <t>孟巷支路6</t>
  </si>
  <si>
    <t>孟巷支路8</t>
  </si>
  <si>
    <t>富村里支路1</t>
  </si>
  <si>
    <t>富村里支路2</t>
  </si>
  <si>
    <t>富村里支路10</t>
  </si>
  <si>
    <t>富村里支路3</t>
  </si>
  <si>
    <t>富村里支路11</t>
  </si>
  <si>
    <t>兴塘公园</t>
  </si>
  <si>
    <t>富村里支路4</t>
  </si>
  <si>
    <t>富村里支路5</t>
  </si>
  <si>
    <t>富村里</t>
  </si>
  <si>
    <t>富村里支路6</t>
  </si>
  <si>
    <t>富村里支路7</t>
  </si>
  <si>
    <t>富村里支路8</t>
  </si>
  <si>
    <t>富村里支路9</t>
  </si>
  <si>
    <t>小下冯支路2</t>
  </si>
  <si>
    <t>小下冯支路6</t>
  </si>
  <si>
    <t>小下冯支路3</t>
  </si>
  <si>
    <t>小下冯支路4</t>
  </si>
  <si>
    <t>小下冯支路5</t>
  </si>
  <si>
    <t>小徐巷支路2</t>
  </si>
  <si>
    <t>房</t>
  </si>
  <si>
    <t>小桥头支路1</t>
  </si>
  <si>
    <t>小桥头</t>
  </si>
  <si>
    <t>小陈巷支路1</t>
  </si>
  <si>
    <t>小陈巷</t>
  </si>
  <si>
    <t>尤巷支路1</t>
  </si>
  <si>
    <t>尤巷支路2</t>
  </si>
  <si>
    <t>尤巷</t>
  </si>
  <si>
    <t>广桐路支路1</t>
  </si>
  <si>
    <t>徐巷支路1</t>
  </si>
  <si>
    <t>徐巷支路6</t>
  </si>
  <si>
    <t>徐巷支路2</t>
  </si>
  <si>
    <t>徐巷支路4</t>
  </si>
  <si>
    <t>徐巷支路3</t>
  </si>
  <si>
    <t>徐巷支路5</t>
  </si>
  <si>
    <t>徐巷</t>
  </si>
  <si>
    <t>徐巷支路7</t>
  </si>
  <si>
    <t>徐巷支路8</t>
  </si>
  <si>
    <t>新塘支路1</t>
  </si>
  <si>
    <t>新塘村</t>
  </si>
  <si>
    <t>新塘支路2</t>
  </si>
  <si>
    <t>春塘路支路1</t>
  </si>
  <si>
    <t>朱巷</t>
  </si>
  <si>
    <t>朱巷上支路1</t>
  </si>
  <si>
    <t>朱巷上</t>
  </si>
  <si>
    <t>朱巷上支路2</t>
  </si>
  <si>
    <t>朱巷上支路3</t>
  </si>
  <si>
    <t>朱巷上支路4</t>
  </si>
  <si>
    <t>朱巷上支路5</t>
  </si>
  <si>
    <t>朱巷上支路6</t>
  </si>
  <si>
    <t>石新路支路4</t>
  </si>
  <si>
    <t>朱巷上支路7</t>
  </si>
  <si>
    <t>朱巷支路1</t>
  </si>
  <si>
    <t>朱巷支路2</t>
  </si>
  <si>
    <t>朱巷支路3</t>
  </si>
  <si>
    <t>朱巷村</t>
  </si>
  <si>
    <t>朱巷新村支路1</t>
  </si>
  <si>
    <t>朱巷新村</t>
  </si>
  <si>
    <t>朱巷新村支路2</t>
  </si>
  <si>
    <t>朱巷新村支路3</t>
  </si>
  <si>
    <t>朱巷新村支路4</t>
  </si>
  <si>
    <t>李巷支路1</t>
  </si>
  <si>
    <t>李巷支路2</t>
  </si>
  <si>
    <t>李巷</t>
  </si>
  <si>
    <t>李巷支路3</t>
  </si>
  <si>
    <t>李巷支路4</t>
  </si>
  <si>
    <t>梓旺新村支路1</t>
  </si>
  <si>
    <t>梓旺新村</t>
  </si>
  <si>
    <t>殷巷新村支路1</t>
  </si>
  <si>
    <t>殷巷新村支路10</t>
  </si>
  <si>
    <t>殷巷新村支路5</t>
  </si>
  <si>
    <t>殷巷新村支路11</t>
  </si>
  <si>
    <t>殷巷新村支路2</t>
  </si>
  <si>
    <t>殷巷新村支路3</t>
  </si>
  <si>
    <t>殷巷新村支路4</t>
  </si>
  <si>
    <t>殷巷新村支路6</t>
  </si>
  <si>
    <t>殷巷新村支路7</t>
  </si>
  <si>
    <t>殷巷新村支路8</t>
  </si>
  <si>
    <t>殷巷新村支路9</t>
  </si>
  <si>
    <t>汇坚路</t>
  </si>
  <si>
    <t>东方钢材城</t>
  </si>
  <si>
    <t>河西新村支路1</t>
  </si>
  <si>
    <t>河西新村</t>
  </si>
  <si>
    <t>河西新村支路2</t>
  </si>
  <si>
    <t>白屈港支路1</t>
  </si>
  <si>
    <t>西新路支路8</t>
  </si>
  <si>
    <t>章里支路1</t>
  </si>
  <si>
    <t>章里村</t>
  </si>
  <si>
    <t>章里支路2</t>
  </si>
  <si>
    <t>章里支路3</t>
  </si>
  <si>
    <t>章里支路4</t>
  </si>
  <si>
    <t>章里支路5</t>
  </si>
  <si>
    <t>缪巷支路3</t>
  </si>
  <si>
    <t>缪巷支路2</t>
  </si>
  <si>
    <t>老街东支路1</t>
  </si>
  <si>
    <t>苏巷路支路1</t>
  </si>
  <si>
    <t>裕旺村支路1</t>
  </si>
  <si>
    <t>裕旺村</t>
  </si>
  <si>
    <t>西北塘支路1</t>
  </si>
  <si>
    <t>黄兴路支路1</t>
  </si>
  <si>
    <t>西北塘支路2</t>
  </si>
  <si>
    <t>西园新村支路2</t>
  </si>
  <si>
    <t>西园新村支路3</t>
  </si>
  <si>
    <t>西园新村支路4</t>
  </si>
  <si>
    <t>西园新村支路5</t>
  </si>
  <si>
    <t>西园新村支路6</t>
  </si>
  <si>
    <t>西园新村支路7</t>
  </si>
  <si>
    <t>西浜支路1</t>
  </si>
  <si>
    <t>西浜村</t>
  </si>
  <si>
    <t>西浜支路2</t>
  </si>
  <si>
    <t>西浜支路3</t>
  </si>
  <si>
    <t>西浜支路4</t>
  </si>
  <si>
    <t>西浜支路5</t>
  </si>
  <si>
    <t>西浜支路6</t>
  </si>
  <si>
    <t>西浜支路8</t>
  </si>
  <si>
    <t>西浜支路7</t>
  </si>
  <si>
    <t>西浜支路9</t>
  </si>
  <si>
    <t>谢巷支路1</t>
  </si>
  <si>
    <t>谢巷支路2</t>
  </si>
  <si>
    <t>钟巷支路1</t>
  </si>
  <si>
    <t>钟一桥</t>
  </si>
  <si>
    <t>钟巷支路2</t>
  </si>
  <si>
    <t>钟巷支路3</t>
  </si>
  <si>
    <t>钟巷</t>
  </si>
  <si>
    <t>钱巷支路1</t>
  </si>
  <si>
    <t>钱巷支路2</t>
  </si>
  <si>
    <t>钱巷支路3</t>
  </si>
  <si>
    <t>钱巷支路4</t>
  </si>
  <si>
    <t>钱巷支路5</t>
  </si>
  <si>
    <t>钱巷支路6</t>
  </si>
  <si>
    <t>锡港路支路1</t>
  </si>
  <si>
    <t>锡港路支路2</t>
  </si>
  <si>
    <t>锡港路支路3</t>
  </si>
  <si>
    <t>锡港路支路4</t>
  </si>
  <si>
    <t>高巷新村支路1</t>
  </si>
  <si>
    <t>高巷新村支路2</t>
  </si>
  <si>
    <t>高巷新村支路3</t>
  </si>
  <si>
    <t>高巷新村支路4</t>
  </si>
  <si>
    <t>黄兴路支路2</t>
  </si>
  <si>
    <t>无锡华众玻璃公司华众二厂</t>
  </si>
  <si>
    <t>总计</t>
  </si>
  <si>
    <t>生活垃圾分类收集测算表（其他垃圾、厨余垃圾）</t>
  </si>
  <si>
    <t>项目</t>
  </si>
  <si>
    <t>数量（吨/天）</t>
  </si>
  <si>
    <t>数量（吨/年）</t>
  </si>
  <si>
    <t>单价（元/吨）</t>
  </si>
  <si>
    <t>合价（万元/年）</t>
  </si>
  <si>
    <t>其他生活垃圾</t>
  </si>
  <si>
    <t>厨余垃圾</t>
  </si>
  <si>
    <t>公厕保洁</t>
  </si>
  <si>
    <t>名称</t>
  </si>
  <si>
    <t>地址</t>
  </si>
  <si>
    <t>类型</t>
  </si>
  <si>
    <t>数量（座）</t>
  </si>
  <si>
    <t>单价（万元）</t>
  </si>
  <si>
    <t>合价（万元）</t>
  </si>
  <si>
    <t>精品公厕</t>
  </si>
  <si>
    <t>东亭北路诚毅路口</t>
  </si>
  <si>
    <t>智能厕所（双人）</t>
  </si>
  <si>
    <t>工作时间6:00-22:00</t>
  </si>
  <si>
    <t>公厕</t>
  </si>
  <si>
    <t>东政路，邮政对面公厕</t>
  </si>
  <si>
    <t>常规专用公厕（1人）</t>
  </si>
  <si>
    <t>敬老院旁公厕</t>
  </si>
  <si>
    <t>农贸市场西侧公厕</t>
  </si>
  <si>
    <t>承塘路北段，正阳公厕</t>
  </si>
  <si>
    <t>东旺路公厕</t>
  </si>
  <si>
    <t>欣隆路，老街公厕</t>
  </si>
  <si>
    <t xml:space="preserve">    抑尘车辆运行成本测算表</t>
  </si>
  <si>
    <t>数量</t>
  </si>
  <si>
    <t>单价（元/年）</t>
  </si>
  <si>
    <t>合价（元/年）</t>
  </si>
  <si>
    <t>驾驶员工资</t>
  </si>
  <si>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00元/月/人*12个月</t>
    </r>
  </si>
  <si>
    <t>缴纳社保</t>
  </si>
  <si>
    <t>符合无锡市社保缴纳标准</t>
  </si>
  <si>
    <t>加班费</t>
  </si>
  <si>
    <r>
      <rPr>
        <sz val="11"/>
        <color rgb="FF000000"/>
        <rFont val="宋体"/>
        <charset val="134"/>
      </rPr>
      <t>法定节假日、周末加班</t>
    </r>
    <r>
      <rPr>
        <sz val="11"/>
        <color rgb="FFFF0000"/>
        <rFont val="宋体"/>
        <charset val="134"/>
      </rPr>
      <t>（365天扣除雨天）</t>
    </r>
  </si>
  <si>
    <t>人身意外险</t>
  </si>
  <si>
    <t>保额:100万元/人/年</t>
  </si>
  <si>
    <t>高温费</t>
  </si>
  <si>
    <t>300元/月×4个月</t>
  </si>
  <si>
    <t>人员福利费</t>
  </si>
  <si>
    <t>80元/人/月</t>
  </si>
  <si>
    <t>车辆折旧</t>
  </si>
  <si>
    <r>
      <rPr>
        <sz val="11"/>
        <color rgb="FF000000"/>
        <rFont val="宋体"/>
        <charset val="134"/>
      </rPr>
      <t>按照车价：70万元÷</t>
    </r>
    <r>
      <rPr>
        <sz val="11"/>
        <color rgb="FFFF0000"/>
        <rFont val="宋体"/>
        <charset val="134"/>
      </rPr>
      <t>8年</t>
    </r>
  </si>
  <si>
    <t>车辆油费</t>
  </si>
  <si>
    <r>
      <rPr>
        <sz val="11"/>
        <color rgb="FF000000"/>
        <rFont val="宋体"/>
        <charset val="134"/>
      </rPr>
      <t xml:space="preserve">  抑尘车工作2</t>
    </r>
    <r>
      <rPr>
        <sz val="11"/>
        <color rgb="FF000000"/>
        <rFont val="宋体"/>
        <charset val="134"/>
      </rPr>
      <t>次/日</t>
    </r>
  </si>
  <si>
    <t>路程或定范围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</si>
  <si>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0----4</t>
    </r>
  </si>
  <si>
    <t>车辆保险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</si>
  <si>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000元/辆</t>
    </r>
  </si>
  <si>
    <t>车辆维修、保养</t>
  </si>
  <si>
    <t>10000元/辆</t>
  </si>
  <si>
    <t>车辆GPS、监控费用</t>
  </si>
  <si>
    <t>5000元/年</t>
  </si>
  <si>
    <t>车辆取水费</t>
  </si>
  <si>
    <t>2次/日</t>
  </si>
  <si>
    <r>
      <rPr>
        <sz val="11"/>
        <color rgb="FF000000"/>
        <rFont val="宋体"/>
        <charset val="134"/>
      </rPr>
      <t>4</t>
    </r>
    <r>
      <rPr>
        <sz val="11"/>
        <color rgb="FF000000"/>
        <rFont val="宋体"/>
        <charset val="134"/>
      </rPr>
      <t>.41/吨</t>
    </r>
  </si>
  <si>
    <t>车辆轮胎（每年一套）</t>
  </si>
  <si>
    <r>
      <rPr>
        <sz val="11"/>
        <color rgb="FFFF0000"/>
        <rFont val="宋体"/>
        <charset val="134"/>
      </rPr>
      <t>800元/只</t>
    </r>
    <r>
      <rPr>
        <sz val="11"/>
        <color rgb="FF000000"/>
        <rFont val="宋体"/>
        <charset val="134"/>
      </rPr>
      <t>*10只/辆/年*1辆</t>
    </r>
  </si>
  <si>
    <t>换内胎、补胎、打黄油</t>
  </si>
  <si>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50</t>
    </r>
    <r>
      <rPr>
        <sz val="11"/>
        <color rgb="FF000000"/>
        <rFont val="宋体"/>
        <charset val="134"/>
      </rPr>
      <t>元/月*12*1辆</t>
    </r>
  </si>
  <si>
    <t>小计</t>
  </si>
  <si>
    <t>（1）+~+（14）</t>
  </si>
  <si>
    <t>管理费（2%）</t>
  </si>
  <si>
    <t>（15）*2%</t>
  </si>
  <si>
    <t>利润（3%）</t>
  </si>
  <si>
    <t>（15）*3%</t>
  </si>
  <si>
    <t>税金（6%）</t>
  </si>
  <si>
    <t>{（15）+（16）+（17）}*6%</t>
  </si>
  <si>
    <t>（15）+（16）+（17）+（18）</t>
  </si>
  <si>
    <t>东北塘街道2025-2026年城市道路“三乱”保洁道路明细</t>
  </si>
  <si>
    <t>路名</t>
  </si>
  <si>
    <t>终点</t>
  </si>
  <si>
    <r>
      <rPr>
        <sz val="14"/>
        <rFont val="仿宋_GB2312"/>
        <charset val="134"/>
      </rPr>
      <t>长度</t>
    </r>
    <r>
      <rPr>
        <sz val="10"/>
        <rFont val="仿宋_GB2312"/>
        <charset val="134"/>
      </rPr>
      <t>（公里）</t>
    </r>
  </si>
  <si>
    <t>道路等级</t>
  </si>
  <si>
    <r>
      <rPr>
        <sz val="14"/>
        <rFont val="仿宋_GB2312"/>
        <charset val="134"/>
      </rPr>
      <t>单价</t>
    </r>
    <r>
      <rPr>
        <sz val="10"/>
        <rFont val="仿宋_GB2312"/>
        <charset val="134"/>
      </rPr>
      <t>（元/公里）</t>
    </r>
  </si>
  <si>
    <t>合计(元）</t>
  </si>
  <si>
    <t>A</t>
  </si>
  <si>
    <t>B</t>
  </si>
  <si>
    <t>C</t>
  </si>
  <si>
    <t>东亭路</t>
  </si>
  <si>
    <t>ü</t>
  </si>
  <si>
    <t>育才路</t>
  </si>
  <si>
    <t>茅梓桥</t>
  </si>
  <si>
    <t>诚毅路西</t>
  </si>
  <si>
    <t>农里</t>
  </si>
  <si>
    <t>老街路</t>
  </si>
  <si>
    <t>兴隆桥</t>
  </si>
  <si>
    <t>东风桥</t>
  </si>
  <si>
    <t>周巷</t>
  </si>
  <si>
    <t>芙蓉六路</t>
  </si>
  <si>
    <t>诚毅路东</t>
  </si>
  <si>
    <t>东北塘任务量费用测算</t>
  </si>
  <si>
    <t>道路总面积
（㎡）</t>
  </si>
  <si>
    <t xml:space="preserve">道路作业类别（实际）
</t>
  </si>
  <si>
    <t xml:space="preserve">道路作业类别（测算）
</t>
  </si>
  <si>
    <t>机扫
里程</t>
  </si>
  <si>
    <t>清扫车(辆)</t>
  </si>
  <si>
    <t>洗扫车(辆)</t>
  </si>
  <si>
    <t>日常冲洒水里程
（公里）</t>
  </si>
  <si>
    <t>冲水车(辆)</t>
  </si>
  <si>
    <t>护栏清洗车(辆)</t>
  </si>
  <si>
    <t>小型洗扫车(辆)</t>
  </si>
  <si>
    <t>小型冲洗设备(辆)</t>
  </si>
  <si>
    <t>机动车辅道
面积（㎡）</t>
  </si>
  <si>
    <t>机动车辅道
侧石
边脚</t>
  </si>
  <si>
    <t>天桥、地下通道面积（㎡）</t>
  </si>
  <si>
    <r>
      <rPr>
        <sz val="11"/>
        <color rgb="FF000000"/>
        <rFont val="宋体"/>
        <charset val="134"/>
      </rPr>
      <t>`</t>
    </r>
    <r>
      <rPr>
        <sz val="11"/>
        <color rgb="FF000000"/>
        <rFont val="宋体"/>
        <charset val="134"/>
      </rPr>
      <t>``</t>
    </r>
  </si>
  <si>
    <t>施工,</t>
  </si>
  <si>
    <t>惠山大道</t>
  </si>
  <si>
    <t>施工</t>
  </si>
  <si>
    <t>蓉辉路</t>
  </si>
  <si>
    <t>光大南路</t>
  </si>
  <si>
    <t>光明路</t>
  </si>
  <si>
    <t>浦巷路</t>
  </si>
  <si>
    <t>道路总面积</t>
  </si>
  <si>
    <t>绿化带总面积</t>
  </si>
  <si>
    <t>护栏</t>
  </si>
  <si>
    <t>.</t>
  </si>
  <si>
    <t>道路</t>
  </si>
  <si>
    <t>绿化</t>
  </si>
  <si>
    <t>S总保洁</t>
  </si>
  <si>
    <r>
      <rPr>
        <b/>
        <sz val="11"/>
        <color rgb="FF000000"/>
        <rFont val="宋体"/>
        <charset val="134"/>
      </rPr>
      <t>道路保洁
长度（</t>
    </r>
    <r>
      <rPr>
        <sz val="11"/>
        <color rgb="FF000000"/>
        <rFont val="宋体"/>
        <charset val="134"/>
      </rPr>
      <t>m</t>
    </r>
    <r>
      <rPr>
        <b/>
        <sz val="11"/>
        <color rgb="FF000000"/>
        <rFont val="宋体"/>
        <charset val="134"/>
      </rPr>
      <t>）</t>
    </r>
  </si>
  <si>
    <t>人工清扫人员（工）</t>
  </si>
  <si>
    <t>人工综合保洁人员（工）</t>
  </si>
  <si>
    <t>夜保洁人员（工）</t>
  </si>
  <si>
    <t>废物箱人员(工)</t>
  </si>
  <si>
    <t>绿化带人员</t>
  </si>
  <si>
    <t>人员</t>
  </si>
  <si>
    <t>23条路</t>
  </si>
  <si>
    <t>东北塘抑尘车线路图</t>
  </si>
  <si>
    <t>东亭北路（芙蓉六路）起	   -  东政路（芙蓉三路）  -  	春塘路
	-芙蓉五路  -	  锦旺路	    -    芙蓉四路  	-  诚毅路-	
英才路	    -   承塘路</t>
  </si>
  <si>
    <t>共计约：13公里</t>
  </si>
  <si>
    <t>抑尘车：2次/日</t>
  </si>
  <si>
    <t>人工清扫费用组成明细</t>
  </si>
  <si>
    <t>内容</t>
  </si>
  <si>
    <t>费用 元/年</t>
  </si>
  <si>
    <t>人员费用</t>
  </si>
  <si>
    <t>工资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</si>
  <si>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280</t>
    </r>
    <r>
      <rPr>
        <sz val="11"/>
        <color rgb="FF000000"/>
        <rFont val="宋体"/>
        <charset val="134"/>
      </rPr>
      <t>元/月</t>
    </r>
  </si>
  <si>
    <t>社保</t>
  </si>
  <si>
    <t>暂不要求</t>
  </si>
  <si>
    <r>
      <rPr>
        <sz val="11"/>
        <color rgb="FF000000"/>
        <rFont val="宋体"/>
        <charset val="134"/>
      </rPr>
      <t>2280</t>
    </r>
    <r>
      <rPr>
        <sz val="11"/>
        <color rgb="FF000000"/>
        <rFont val="宋体"/>
        <charset val="134"/>
      </rPr>
      <t>元/月/人÷21.75天×11天/年×3</t>
    </r>
  </si>
  <si>
    <t>11天国假</t>
  </si>
  <si>
    <t>2280元/月/人÷21.75天×104天</t>
  </si>
  <si>
    <t>服装</t>
  </si>
  <si>
    <t>500元/年</t>
  </si>
  <si>
    <t>1200元/年</t>
  </si>
  <si>
    <t>福利</t>
  </si>
  <si>
    <t>600元/年</t>
  </si>
  <si>
    <t>餐费</t>
  </si>
  <si>
    <t>8元/人/天</t>
  </si>
  <si>
    <t>劳保用品</t>
  </si>
  <si>
    <t>50元/人/月</t>
  </si>
  <si>
    <t>意外伤害险</t>
  </si>
  <si>
    <t>人身30万+医疗2万</t>
  </si>
  <si>
    <t>机械费用</t>
  </si>
  <si>
    <r>
      <rPr>
        <sz val="11"/>
        <color rgb="FF000000"/>
        <rFont val="宋体"/>
        <charset val="134"/>
      </rPr>
      <t>3800元/车÷</t>
    </r>
    <r>
      <rPr>
        <sz val="12"/>
        <color rgb="FFFF0000"/>
        <rFont val="宋体"/>
        <charset val="134"/>
      </rPr>
      <t>3</t>
    </r>
    <r>
      <rPr>
        <sz val="11"/>
        <color rgb="FF000000"/>
        <rFont val="宋体"/>
        <charset val="134"/>
      </rPr>
      <t>年</t>
    </r>
  </si>
  <si>
    <r>
      <rPr>
        <sz val="12"/>
        <color rgb="FFFF0000"/>
        <rFont val="宋体"/>
        <charset val="134"/>
      </rPr>
      <t>电动3</t>
    </r>
    <r>
      <rPr>
        <sz val="11"/>
        <color rgb="FF000000"/>
        <rFont val="宋体"/>
        <charset val="134"/>
      </rPr>
      <t>轮车带桶</t>
    </r>
  </si>
  <si>
    <t>车辆损耗</t>
  </si>
  <si>
    <t>车辆维修、养护等</t>
  </si>
  <si>
    <t>工具费</t>
  </si>
  <si>
    <t>50元/月</t>
  </si>
  <si>
    <t>扫帚、耙子等</t>
  </si>
  <si>
    <t>智能运行监管仪</t>
  </si>
  <si>
    <t>定位人员工牌安装服务费≥600元/车</t>
  </si>
  <si>
    <t>折旧2年</t>
  </si>
  <si>
    <t>管理费及利润</t>
  </si>
  <si>
    <t>通讯费、培训费、办公费等</t>
  </si>
  <si>
    <t>税费</t>
  </si>
  <si>
    <t>元/人/年</t>
  </si>
  <si>
    <t>人工综合保洁费用组成明细</t>
  </si>
  <si>
    <t>2280元/月</t>
  </si>
  <si>
    <t>2280元/月/人÷21.75天×11天/年×3</t>
  </si>
  <si>
    <t>2280元/月/人÷21.75天×93天</t>
  </si>
  <si>
    <t>双休日轮替</t>
  </si>
  <si>
    <t>1500元/车÷3年</t>
  </si>
  <si>
    <t>普通3轮车带斗</t>
  </si>
  <si>
    <t>100元/月</t>
  </si>
  <si>
    <t>扫帚、火钳、铲子、垃圾桶、抹布等</t>
  </si>
  <si>
    <t>东北塘城区道路保洁测算方案对比表</t>
  </si>
  <si>
    <t>作业内容</t>
  </si>
  <si>
    <t>城市环境卫生</t>
  </si>
  <si>
    <t>昆山</t>
  </si>
  <si>
    <t>常州</t>
  </si>
  <si>
    <t>清扫</t>
  </si>
  <si>
    <t>车辆折旧7年；车速8-12km/h；60km/班
一级道路：0次/天；
二级道路：0次/天；
三级道路：2次/天；
四级道路：0次/天；</t>
  </si>
  <si>
    <t>一、二级道路洗扫每日1次（7:00前完成），保洁每日不少于4次（上午1次、下午2次、晚上1次）；
三级道路每日洗扫1次（7:00前完成），保洁每日不少于3次（上午、下午、晚上各1次）</t>
  </si>
  <si>
    <t>一级道路：2次/天；
二级道路：1次/天；
三级道路：1次/天；</t>
  </si>
  <si>
    <t>洗扫</t>
  </si>
  <si>
    <r>
      <rPr>
        <sz val="11"/>
        <color rgb="FF000000"/>
        <rFont val="宋体"/>
        <charset val="134"/>
      </rPr>
      <t>车辆折旧7年；车速8-12km/h；32km/班；
一级道路：3</t>
    </r>
    <r>
      <rPr>
        <sz val="11"/>
        <color rgb="FF000000"/>
        <rFont val="宋体"/>
        <charset val="134"/>
      </rPr>
      <t>次/天；
二级道路：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次/天；
三级道路：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次/天；
四级道路：0次/天；</t>
    </r>
  </si>
  <si>
    <t>1次/2天；2次/7天；1次/14天不固定</t>
  </si>
  <si>
    <t>冲洗</t>
  </si>
  <si>
    <r>
      <rPr>
        <sz val="11"/>
        <color rgb="FF000000"/>
        <rFont val="宋体"/>
        <charset val="134"/>
      </rPr>
      <t>车辆折旧7年；车速8-12km/h；32km/班；
一级道路：4</t>
    </r>
    <r>
      <rPr>
        <sz val="11"/>
        <color rgb="FF000000"/>
        <rFont val="宋体"/>
        <charset val="134"/>
      </rPr>
      <t>次/天；
二级道路：</t>
    </r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次/天；
三级道路：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次/天；
四级道路：0次/天；</t>
    </r>
  </si>
  <si>
    <t>一级道路每日5次；
二、三级道路每日不少于3次（气温高于30度，每日不少于4次）
注：有特殊规定按照甲方要求</t>
  </si>
  <si>
    <t>1次/天</t>
  </si>
  <si>
    <t>洒水</t>
  </si>
  <si>
    <t>&gt;30℃；车辆折旧7年；车速车速&lt;25km/h，48km/班
一级道路：4次/天×300天；
二级道路：3次/天×300天；
三级道路：2次/天×300天；</t>
  </si>
  <si>
    <t>道路冲洒水全年核定310天
一级道路：3次/天；
二级道路：2次/天；
三级道路：1次/天；</t>
  </si>
  <si>
    <t>车辆折旧7年；车速&lt;12km/h，30km/班；
不少于2次/天</t>
  </si>
  <si>
    <t>汇总为管理面积，未拆分细化，应参照主路面</t>
  </si>
  <si>
    <t>拆分机动车道、非机动车道、人行道，绿化带等，但在明细中未体现作业要求</t>
  </si>
  <si>
    <t>人行道以及墙到墙</t>
  </si>
  <si>
    <t>人工清扫</t>
  </si>
  <si>
    <t>2次/天；
一级4750平方米/人/班；
二级5750平方米/人/班；
三级6750平方米/人/班；
四级7750平方米/人/班；</t>
  </si>
  <si>
    <r>
      <rPr>
        <sz val="11"/>
        <color rgb="FF000000"/>
        <rFont val="宋体"/>
        <charset val="134"/>
      </rPr>
      <t>一级5</t>
    </r>
    <r>
      <rPr>
        <sz val="11"/>
        <color rgb="FF000000"/>
        <rFont val="宋体"/>
        <charset val="134"/>
      </rPr>
      <t>50</t>
    </r>
    <r>
      <rPr>
        <sz val="11"/>
        <color rgb="FF000000"/>
        <rFont val="宋体"/>
        <charset val="134"/>
      </rPr>
      <t>0平方米/人/班；
二级</t>
    </r>
    <r>
      <rPr>
        <sz val="11"/>
        <color rgb="FF000000"/>
        <rFont val="宋体"/>
        <charset val="134"/>
      </rPr>
      <t>650</t>
    </r>
    <r>
      <rPr>
        <sz val="11"/>
        <color rgb="FF000000"/>
        <rFont val="宋体"/>
        <charset val="134"/>
      </rPr>
      <t>0平方米/人/班；
三级</t>
    </r>
    <r>
      <rPr>
        <sz val="11"/>
        <color rgb="FF000000"/>
        <rFont val="宋体"/>
        <charset val="134"/>
      </rPr>
      <t>750</t>
    </r>
    <r>
      <rPr>
        <sz val="11"/>
        <color rgb="FF000000"/>
        <rFont val="宋体"/>
        <charset val="134"/>
      </rPr>
      <t>0平方米/人/班；
四级</t>
    </r>
    <r>
      <rPr>
        <sz val="11"/>
        <color rgb="FF000000"/>
        <rFont val="宋体"/>
        <charset val="134"/>
      </rPr>
      <t>850</t>
    </r>
    <r>
      <rPr>
        <sz val="11"/>
        <color rgb="FF000000"/>
        <rFont val="宋体"/>
        <charset val="134"/>
      </rPr>
      <t>0平方米/人/班；</t>
    </r>
  </si>
  <si>
    <t xml:space="preserve">7+10.0小时/人/班；
7+5.3小时/人/班；
10小时/人/班；
</t>
  </si>
  <si>
    <t>综合保洁</t>
  </si>
  <si>
    <t xml:space="preserve">
一级350米/人/班；
二级500米/人/班；
三级700米/人/班；
四级0米/人/班；</t>
  </si>
  <si>
    <t>小型电瓶高压冲洗车</t>
  </si>
  <si>
    <t>未要求</t>
  </si>
  <si>
    <t>安镇镇区道路保洁测算方案对比表</t>
  </si>
  <si>
    <t>无锡市城市环境卫生</t>
  </si>
  <si>
    <t>商务区环境卫生作业标准(拟定)</t>
  </si>
  <si>
    <t>车辆折旧7年；车速8-12km/h；72km/班
一级道路：1次/天；
二级道路：1次/天；
三级道路：2次/天；
四级道路：1次/天；</t>
  </si>
  <si>
    <t>无</t>
  </si>
  <si>
    <t>车辆折旧7年；车速8-12km/h；32km/班；
一级道路：1次/天；
二级道路：1次/天；
三级道路：0次/天；
四级道路：0次/天；</t>
  </si>
  <si>
    <r>
      <rPr>
        <sz val="12"/>
        <color rgb="FF000000"/>
        <rFont val="宋体"/>
        <charset val="134"/>
      </rPr>
      <t xml:space="preserve">车辆折旧10年；车速8-12km/h；50km/班；
</t>
    </r>
    <r>
      <rPr>
        <sz val="12"/>
        <color rgb="FF000000"/>
        <rFont val="宋体"/>
        <charset val="134"/>
      </rPr>
      <t>特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 xml:space="preserve">次/天；
</t>
    </r>
    <r>
      <rPr>
        <sz val="12"/>
        <color rgb="FF000000"/>
        <rFont val="宋体"/>
        <charset val="134"/>
      </rPr>
      <t>一</t>
    </r>
    <r>
      <rPr>
        <sz val="11"/>
        <color rgb="FF000000"/>
        <rFont val="宋体"/>
        <charset val="134"/>
      </rPr>
      <t xml:space="preserve">级道路：2次/天；
</t>
    </r>
    <r>
      <rPr>
        <sz val="12"/>
        <color rgb="FF000000"/>
        <rFont val="宋体"/>
        <charset val="134"/>
      </rPr>
      <t>二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 xml:space="preserve">次/天；
</t>
    </r>
    <r>
      <rPr>
        <sz val="12"/>
        <color rgb="FF000000"/>
        <rFont val="宋体"/>
        <charset val="134"/>
      </rPr>
      <t>三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次/天；</t>
    </r>
  </si>
  <si>
    <r>
      <rPr>
        <sz val="11"/>
        <color rgb="FF000000"/>
        <rFont val="宋体"/>
        <charset val="134"/>
      </rPr>
      <t>车辆折旧10年；车速</t>
    </r>
    <r>
      <rPr>
        <sz val="11"/>
        <color rgb="FF000000"/>
        <rFont val="宋体"/>
        <charset val="134"/>
      </rPr>
      <t>&lt;</t>
    </r>
    <r>
      <rPr>
        <sz val="12"/>
        <color rgb="FF000000"/>
        <rFont val="宋体"/>
        <charset val="134"/>
      </rPr>
      <t>25km/h；80km/班；
特</t>
    </r>
    <r>
      <rPr>
        <sz val="11"/>
        <color rgb="FF000000"/>
        <rFont val="宋体"/>
        <charset val="134"/>
      </rPr>
      <t xml:space="preserve">级道路：3次/天；
</t>
    </r>
    <r>
      <rPr>
        <sz val="12"/>
        <color rgb="FF000000"/>
        <rFont val="宋体"/>
        <charset val="134"/>
      </rPr>
      <t>一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 xml:space="preserve">次/天；
</t>
    </r>
    <r>
      <rPr>
        <sz val="12"/>
        <color rgb="FF000000"/>
        <rFont val="宋体"/>
        <charset val="134"/>
      </rPr>
      <t>二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 xml:space="preserve">次/天；
</t>
    </r>
    <r>
      <rPr>
        <sz val="12"/>
        <color rgb="FF000000"/>
        <rFont val="宋体"/>
        <charset val="134"/>
      </rPr>
      <t>三</t>
    </r>
    <r>
      <rPr>
        <sz val="11"/>
        <color rgb="FF000000"/>
        <rFont val="宋体"/>
        <charset val="134"/>
      </rPr>
      <t>级道路：</t>
    </r>
    <r>
      <rPr>
        <sz val="12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次/天；</t>
    </r>
  </si>
  <si>
    <t>&gt;30℃；车辆折旧7年；车速车速&lt;25km/h，60km/班
一级道路：2次/天×90天；
二级道路：2次/天×90天；
三级道路：1次/天×90天；</t>
  </si>
  <si>
    <r>
      <rPr>
        <sz val="11"/>
        <color rgb="FF000000"/>
        <rFont val="宋体"/>
        <charset val="134"/>
      </rPr>
      <t>&gt;30℃；车辆折旧</t>
    </r>
    <r>
      <rPr>
        <sz val="11"/>
        <color rgb="FF000000"/>
        <rFont val="宋体"/>
        <charset val="134"/>
      </rPr>
      <t>10</t>
    </r>
    <r>
      <rPr>
        <sz val="12"/>
        <color rgb="FF000000"/>
        <rFont val="宋体"/>
        <charset val="134"/>
      </rPr>
      <t>年；车速车速&lt;25km/h，8</t>
    </r>
    <r>
      <rPr>
        <sz val="11"/>
        <color rgb="FF000000"/>
        <rFont val="宋体"/>
        <charset val="134"/>
      </rPr>
      <t xml:space="preserve">0km/班
</t>
    </r>
    <r>
      <rPr>
        <sz val="12"/>
        <color rgb="FF000000"/>
        <rFont val="宋体"/>
        <charset val="134"/>
      </rPr>
      <t>特级道路：2次/天×120天；
一级道路：2次/天×120天；
二级道路：1次/天×120天；
三级道路：1次/天×120天；</t>
    </r>
  </si>
  <si>
    <t>车辆折旧7年；车速&lt;12km/h，42km/班；
不少于2次/天</t>
  </si>
  <si>
    <r>
      <rPr>
        <sz val="11"/>
        <color rgb="FF000000"/>
        <rFont val="宋体"/>
        <charset val="134"/>
      </rPr>
      <t>车辆折旧10年；车速&lt;12km/h，42km/1班，不少于</t>
    </r>
    <r>
      <rPr>
        <sz val="12"/>
        <color rgb="FFFF0000"/>
        <rFont val="宋体"/>
        <charset val="134"/>
      </rPr>
      <t>1</t>
    </r>
    <r>
      <rPr>
        <sz val="11"/>
        <color rgb="FF000000"/>
        <rFont val="宋体"/>
        <charset val="134"/>
      </rPr>
      <t>次/天</t>
    </r>
  </si>
  <si>
    <r>
      <rPr>
        <sz val="11"/>
        <color rgb="FF000000"/>
        <rFont val="宋体"/>
        <charset val="134"/>
      </rPr>
      <t>2次/天；
一级4</t>
    </r>
    <r>
      <rPr>
        <sz val="11"/>
        <color rgb="FF000000"/>
        <rFont val="宋体"/>
        <charset val="134"/>
      </rPr>
      <t>75</t>
    </r>
    <r>
      <rPr>
        <sz val="11"/>
        <color rgb="FF000000"/>
        <rFont val="宋体"/>
        <charset val="134"/>
      </rPr>
      <t>0平方米/人/班；
二级5</t>
    </r>
    <r>
      <rPr>
        <sz val="11"/>
        <color rgb="FF000000"/>
        <rFont val="宋体"/>
        <charset val="134"/>
      </rPr>
      <t>75</t>
    </r>
    <r>
      <rPr>
        <sz val="11"/>
        <color rgb="FF000000"/>
        <rFont val="宋体"/>
        <charset val="134"/>
      </rPr>
      <t>0平方米/人/班；
三级6</t>
    </r>
    <r>
      <rPr>
        <sz val="11"/>
        <color rgb="FF000000"/>
        <rFont val="宋体"/>
        <charset val="134"/>
      </rPr>
      <t>75</t>
    </r>
    <r>
      <rPr>
        <sz val="11"/>
        <color rgb="FF000000"/>
        <rFont val="宋体"/>
        <charset val="134"/>
      </rPr>
      <t>0平方米/人/班；
四级7</t>
    </r>
    <r>
      <rPr>
        <sz val="11"/>
        <color rgb="FF000000"/>
        <rFont val="宋体"/>
        <charset val="134"/>
      </rPr>
      <t>75</t>
    </r>
    <r>
      <rPr>
        <sz val="11"/>
        <color rgb="FF000000"/>
        <rFont val="宋体"/>
        <charset val="134"/>
      </rPr>
      <t>0平方米/人/班；</t>
    </r>
  </si>
  <si>
    <r>
      <rPr>
        <sz val="12"/>
        <color rgb="FFFF0000"/>
        <rFont val="宋体"/>
        <charset val="134"/>
      </rPr>
      <t>1-2</t>
    </r>
    <r>
      <rPr>
        <sz val="11"/>
        <color rgb="FF000000"/>
        <rFont val="宋体"/>
        <charset val="134"/>
      </rPr>
      <t xml:space="preserve">次/天；
</t>
    </r>
    <r>
      <rPr>
        <sz val="12"/>
        <color rgb="FF000000"/>
        <rFont val="宋体"/>
        <charset val="134"/>
      </rPr>
      <t>特</t>
    </r>
    <r>
      <rPr>
        <sz val="11"/>
        <color rgb="FF000000"/>
        <rFont val="宋体"/>
        <charset val="134"/>
      </rPr>
      <t>级</t>
    </r>
    <r>
      <rPr>
        <sz val="12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 xml:space="preserve">750平方米/人/班；
</t>
    </r>
    <r>
      <rPr>
        <sz val="12"/>
        <color rgb="FF000000"/>
        <rFont val="宋体"/>
        <charset val="134"/>
      </rPr>
      <t>一</t>
    </r>
    <r>
      <rPr>
        <sz val="11"/>
        <color rgb="FF000000"/>
        <rFont val="宋体"/>
        <charset val="134"/>
      </rPr>
      <t>级</t>
    </r>
    <r>
      <rPr>
        <sz val="12"/>
        <color rgb="FF000000"/>
        <rFont val="宋体"/>
        <charset val="134"/>
      </rPr>
      <t>4</t>
    </r>
    <r>
      <rPr>
        <sz val="11"/>
        <color rgb="FF000000"/>
        <rFont val="宋体"/>
        <charset val="134"/>
      </rPr>
      <t xml:space="preserve">750平方米/人/班；
</t>
    </r>
    <r>
      <rPr>
        <sz val="12"/>
        <color rgb="FF000000"/>
        <rFont val="宋体"/>
        <charset val="134"/>
      </rPr>
      <t>二</t>
    </r>
    <r>
      <rPr>
        <sz val="11"/>
        <color rgb="FF000000"/>
        <rFont val="宋体"/>
        <charset val="134"/>
      </rPr>
      <t>级</t>
    </r>
    <r>
      <rPr>
        <sz val="12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 xml:space="preserve">750平方米/人/班；
</t>
    </r>
    <r>
      <rPr>
        <sz val="12"/>
        <color rgb="FF000000"/>
        <rFont val="宋体"/>
        <charset val="134"/>
      </rPr>
      <t>三</t>
    </r>
    <r>
      <rPr>
        <sz val="11"/>
        <color rgb="FF000000"/>
        <rFont val="宋体"/>
        <charset val="134"/>
      </rPr>
      <t>级</t>
    </r>
    <r>
      <rPr>
        <sz val="12"/>
        <color rgb="FF000000"/>
        <rFont val="宋体"/>
        <charset val="134"/>
      </rPr>
      <t>675</t>
    </r>
    <r>
      <rPr>
        <sz val="11"/>
        <color rgb="FF000000"/>
        <rFont val="宋体"/>
        <charset val="134"/>
      </rPr>
      <t>0平方米/人/班；</t>
    </r>
  </si>
  <si>
    <t>6辆/1标段</t>
  </si>
  <si>
    <t>道路洗扫车费用组成明细</t>
  </si>
  <si>
    <t>3500元/月×1人</t>
  </si>
  <si>
    <t>工资不低于4000元/月</t>
  </si>
  <si>
    <t>最低社保基数3800元/月/人×25.5%×1人</t>
  </si>
  <si>
    <t>2280元/月/人÷21.75天×11天/年×3倍×1人</t>
  </si>
  <si>
    <t>2280元/月/人÷21.75天×104天×1人×2倍</t>
  </si>
  <si>
    <t>104天双休</t>
  </si>
  <si>
    <t>500元/年×1人</t>
  </si>
  <si>
    <t>1200元/年×1人</t>
  </si>
  <si>
    <t>1000元/年×1人</t>
  </si>
  <si>
    <t>8元/人/天×1人</t>
  </si>
  <si>
    <t>50元/人/月×1人</t>
  </si>
  <si>
    <t>(人身30万+医疗2万)×1人</t>
  </si>
  <si>
    <r>
      <rPr>
        <sz val="12"/>
        <rFont val="宋体"/>
        <charset val="134"/>
      </rPr>
      <t>56</t>
    </r>
    <r>
      <rPr>
        <sz val="11"/>
        <color rgb="FF000000"/>
        <rFont val="宋体"/>
        <charset val="134"/>
      </rPr>
      <t>万元/车÷</t>
    </r>
    <r>
      <rPr>
        <sz val="12"/>
        <color indexed="10"/>
        <rFont val="宋体"/>
        <charset val="134"/>
      </rPr>
      <t>10</t>
    </r>
    <r>
      <rPr>
        <sz val="11"/>
        <color rgb="FF000000"/>
        <rFont val="宋体"/>
        <charset val="134"/>
      </rPr>
      <t>年</t>
    </r>
  </si>
  <si>
    <t>车辆的年检、保险、维修、养护等</t>
  </si>
  <si>
    <t>油耗</t>
  </si>
  <si>
    <t>1.2升/公里×90公里/天×6.8元/升×365天</t>
  </si>
  <si>
    <t>作业50公里及空驶40公里油耗</t>
  </si>
  <si>
    <t>水费</t>
  </si>
  <si>
    <t>0.9吨/公里×4.5元/吨×（50×1）公里/天×365天</t>
  </si>
  <si>
    <t>场地费</t>
  </si>
  <si>
    <t>100元/月/车×12月</t>
  </si>
  <si>
    <t>设备购置及安装服务费≥2500元/车；</t>
  </si>
  <si>
    <t>折旧费</t>
  </si>
  <si>
    <t>GPS安装服务费≥1800元/车</t>
  </si>
  <si>
    <t>元/年/车</t>
  </si>
  <si>
    <r>
      <rPr>
        <sz val="11"/>
        <color rgb="FF000000"/>
        <rFont val="宋体"/>
        <charset val="134"/>
      </rPr>
      <t>1.洗扫作业时选用一挡，行驶速度不超过</t>
    </r>
    <r>
      <rPr>
        <sz val="12"/>
        <color indexed="10"/>
        <rFont val="宋体"/>
        <charset val="134"/>
      </rPr>
      <t>12</t>
    </r>
    <r>
      <rPr>
        <sz val="11"/>
        <color rgb="FF000000"/>
        <rFont val="宋体"/>
        <charset val="134"/>
      </rPr>
      <t>公里/小时，副机转速不超过2000转/分，作业时禁止扫刷、吸嘴不落地；
2.核计有效作业公里数为</t>
    </r>
    <r>
      <rPr>
        <sz val="12"/>
        <color indexed="10"/>
        <rFont val="宋体"/>
        <charset val="134"/>
      </rPr>
      <t>50公里/班</t>
    </r>
    <r>
      <rPr>
        <sz val="11"/>
        <color rgb="FF000000"/>
        <rFont val="宋体"/>
        <charset val="134"/>
      </rPr>
      <t>。</t>
    </r>
  </si>
  <si>
    <t>道路高压冲洗水车费用组成明细</t>
  </si>
  <si>
    <r>
      <rPr>
        <sz val="12"/>
        <color rgb="FFFF0000"/>
        <rFont val="宋体"/>
        <charset val="134"/>
      </rPr>
      <t>3</t>
    </r>
    <r>
      <rPr>
        <sz val="12"/>
        <color indexed="10"/>
        <rFont val="宋体"/>
        <charset val="134"/>
      </rPr>
      <t>5</t>
    </r>
    <r>
      <rPr>
        <sz val="12"/>
        <color indexed="10"/>
        <rFont val="宋体"/>
        <charset val="134"/>
      </rPr>
      <t>00元/月×1人</t>
    </r>
  </si>
  <si>
    <r>
      <rPr>
        <sz val="12"/>
        <rFont val="宋体"/>
        <charset val="134"/>
      </rPr>
      <t>45</t>
    </r>
    <r>
      <rPr>
        <sz val="11"/>
        <color rgb="FF000000"/>
        <rFont val="宋体"/>
        <charset val="134"/>
      </rPr>
      <t>万元/车÷</t>
    </r>
    <r>
      <rPr>
        <sz val="12"/>
        <color indexed="10"/>
        <rFont val="宋体"/>
        <charset val="134"/>
      </rPr>
      <t>10</t>
    </r>
    <r>
      <rPr>
        <sz val="11"/>
        <color rgb="FF000000"/>
        <rFont val="宋体"/>
        <charset val="134"/>
      </rPr>
      <t>年</t>
    </r>
  </si>
  <si>
    <t>1升/公里×80公里/天×6.8元/升×365天</t>
  </si>
  <si>
    <t>作业50公里及空驶30公里油耗</t>
  </si>
  <si>
    <t>1.05吨/公里×4.5元/吨×（50×1）公里/天×365天</t>
  </si>
  <si>
    <r>
      <rPr>
        <sz val="11"/>
        <color rgb="FF000000"/>
        <rFont val="宋体"/>
        <charset val="134"/>
      </rPr>
      <t>1.冲洗作业时控制车速为</t>
    </r>
    <r>
      <rPr>
        <sz val="12"/>
        <color indexed="10"/>
        <rFont val="宋体"/>
        <charset val="134"/>
      </rPr>
      <t>12</t>
    </r>
    <r>
      <rPr>
        <sz val="11"/>
        <color rgb="FF000000"/>
        <rFont val="宋体"/>
        <charset val="134"/>
      </rPr>
      <t>公里/小时，冲洗压力≥300千帕，洒水量0.2～2.0升/平方米，喷水口喷水有力，不得出现断续喷水的现象
2.核计有效作业公里数为</t>
    </r>
    <r>
      <rPr>
        <sz val="12"/>
        <color indexed="10"/>
        <rFont val="宋体"/>
        <charset val="134"/>
      </rPr>
      <t>50公里/</t>
    </r>
    <r>
      <rPr>
        <sz val="11"/>
        <color rgb="FF000000"/>
        <rFont val="宋体"/>
        <charset val="134"/>
      </rPr>
      <t>班。</t>
    </r>
  </si>
  <si>
    <t>道路洒水车费用组成明细</t>
  </si>
  <si>
    <t>4000元/月×1人</t>
  </si>
  <si>
    <r>
      <rPr>
        <sz val="11"/>
        <color rgb="FF000000"/>
        <rFont val="宋体"/>
        <charset val="134"/>
      </rPr>
      <t>30万元/车÷</t>
    </r>
    <r>
      <rPr>
        <sz val="12"/>
        <color indexed="10"/>
        <rFont val="宋体"/>
        <charset val="134"/>
      </rPr>
      <t>10</t>
    </r>
    <r>
      <rPr>
        <sz val="11"/>
        <color rgb="FF000000"/>
        <rFont val="宋体"/>
        <charset val="134"/>
      </rPr>
      <t>年</t>
    </r>
  </si>
  <si>
    <t>0.5升/公里×6.8元/升×120公里/天×365天</t>
  </si>
  <si>
    <t>作业80公里及空驶40公里油耗</t>
  </si>
  <si>
    <t>1.05吨/公里×4.5元/吨×（80×1）公里/天×365天</t>
  </si>
  <si>
    <t>折旧5年</t>
  </si>
  <si>
    <r>
      <rPr>
        <sz val="11"/>
        <color rgb="FF000000"/>
        <rFont val="宋体"/>
        <charset val="134"/>
      </rPr>
      <t>1.洒水作业时控制车速为</t>
    </r>
    <r>
      <rPr>
        <sz val="12"/>
        <color indexed="10"/>
        <rFont val="宋体"/>
        <charset val="134"/>
      </rPr>
      <t>25</t>
    </r>
    <r>
      <rPr>
        <sz val="11"/>
        <color rgb="FF000000"/>
        <rFont val="宋体"/>
        <charset val="134"/>
      </rPr>
      <t>公里/小时，压力≥30千帕，洒水量0.2～2.0升/平方米，不得出现断续喷水的现象
2.核计有效作业公里数为</t>
    </r>
    <r>
      <rPr>
        <sz val="12"/>
        <color indexed="10"/>
        <rFont val="宋体"/>
        <charset val="134"/>
      </rPr>
      <t>80公里</t>
    </r>
    <r>
      <rPr>
        <sz val="11"/>
        <color rgb="FF000000"/>
        <rFont val="宋体"/>
        <charset val="134"/>
      </rPr>
      <t>/班。</t>
    </r>
  </si>
  <si>
    <t>道路洗扫车费用组成明细(小型)</t>
  </si>
  <si>
    <t>3800元/月×1人</t>
  </si>
  <si>
    <t>工资不低于3800元/月</t>
  </si>
  <si>
    <t>折旧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</si>
  <si>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万元/车÷10年</t>
    </r>
  </si>
  <si>
    <t>1升/公里×6.8元/升×72公里/天×365天</t>
  </si>
  <si>
    <t>作业42公里空驶30公里</t>
  </si>
  <si>
    <t>0.4吨/公里×4.5元/吨×（42×1）公里/天×365天</t>
  </si>
  <si>
    <r>
      <rPr>
        <sz val="11"/>
        <color rgb="FF000000"/>
        <rFont val="宋体"/>
        <charset val="134"/>
      </rPr>
      <t>1.清扫作业时选用一挡，行驶速度不超过</t>
    </r>
    <r>
      <rPr>
        <sz val="12"/>
        <color indexed="10"/>
        <rFont val="宋体"/>
        <charset val="134"/>
      </rPr>
      <t>12</t>
    </r>
    <r>
      <rPr>
        <sz val="11"/>
        <color rgb="FF000000"/>
        <rFont val="宋体"/>
        <charset val="134"/>
      </rPr>
      <t>公里/小时，副机转速不超过2000转/分，作业时禁止扫刷、吸嘴不落地；
2.核计有效作业公里数为</t>
    </r>
    <r>
      <rPr>
        <sz val="12"/>
        <color indexed="10"/>
        <rFont val="宋体"/>
        <charset val="134"/>
      </rPr>
      <t>42</t>
    </r>
    <r>
      <rPr>
        <sz val="11"/>
        <color rgb="FF000000"/>
        <rFont val="宋体"/>
        <charset val="134"/>
      </rPr>
      <t>公里/班。</t>
    </r>
  </si>
  <si>
    <t>小型多功能高压冲洗车费用组成明细</t>
  </si>
  <si>
    <t>3500元/月/人×1人</t>
  </si>
  <si>
    <t>工资不低于3500元/月</t>
  </si>
  <si>
    <t>2280元/月/人÷21.75天×11天/年×3×1人</t>
  </si>
  <si>
    <t>（人身30万+医疗2万)×1人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</si>
  <si>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</t>
    </r>
    <r>
      <rPr>
        <sz val="11"/>
        <color rgb="FF000000"/>
        <rFont val="宋体"/>
        <charset val="134"/>
      </rPr>
      <t>万元/车÷6年</t>
    </r>
  </si>
  <si>
    <t>车辆维保</t>
  </si>
  <si>
    <t>保养、电瓶等维修更换以及清洗剂等易耗品</t>
  </si>
  <si>
    <t>电费</t>
  </si>
  <si>
    <t>50kW·h/天×0.87元/(kW·h）×365天</t>
  </si>
  <si>
    <t>4.5元/吨×4吨/天×365天</t>
  </si>
  <si>
    <t>人工费用组成明细</t>
  </si>
  <si>
    <t>最低工资</t>
  </si>
  <si>
    <t>2280元/月/人÷21.75天×104天×2</t>
  </si>
  <si>
    <t>双休日加班</t>
  </si>
  <si>
    <t>1000元/年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</si>
  <si>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5</t>
    </r>
    <r>
      <rPr>
        <sz val="11"/>
        <color rgb="FF000000"/>
        <rFont val="宋体"/>
        <charset val="134"/>
      </rPr>
      <t>00元/车÷</t>
    </r>
    <r>
      <rPr>
        <sz val="12"/>
        <color indexed="10"/>
        <rFont val="宋体"/>
        <charset val="134"/>
      </rPr>
      <t>3</t>
    </r>
    <r>
      <rPr>
        <sz val="11"/>
        <color rgb="FF000000"/>
        <rFont val="宋体"/>
        <charset val="134"/>
      </rPr>
      <t>年</t>
    </r>
  </si>
  <si>
    <t>定位人员工牌安装服务费≥600元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</si>
</sst>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00_ "/>
    <numFmt numFmtId="180" formatCode="0_);[Red]\(0\)"/>
  </numFmts>
  <fonts count="50">
    <font>
      <sz val="11"/>
      <color rgb="FF000000"/>
      <name val="宋体"/>
      <charset val="134"/>
    </font>
    <font>
      <sz val="18"/>
      <name val="宋体"/>
      <charset val="134"/>
    </font>
    <font>
      <sz val="12"/>
      <color theme="5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sz val="11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Wingdings"/>
      <charset val="2"/>
    </font>
    <font>
      <sz val="14"/>
      <color theme="1"/>
      <name val="仿宋_GB2312"/>
      <charset val="134"/>
    </font>
    <font>
      <sz val="14"/>
      <color theme="1"/>
      <name val="Wingdings"/>
      <charset val="2"/>
    </font>
    <font>
      <sz val="14"/>
      <name val="宋体"/>
      <charset val="134"/>
    </font>
    <font>
      <b/>
      <sz val="14"/>
      <color rgb="FF000000"/>
      <name val="宋体"/>
      <charset val="134"/>
    </font>
    <font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6" borderId="2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30" applyNumberFormat="0" applyAlignment="0" applyProtection="0">
      <alignment vertical="center"/>
    </xf>
    <xf numFmtId="0" fontId="38" fillId="8" borderId="31" applyNumberFormat="0" applyAlignment="0" applyProtection="0">
      <alignment vertical="center"/>
    </xf>
    <xf numFmtId="0" fontId="39" fillId="8" borderId="30" applyNumberFormat="0" applyAlignment="0" applyProtection="0">
      <alignment vertical="center"/>
    </xf>
    <xf numFmtId="0" fontId="40" fillId="9" borderId="32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3" fillId="0" borderId="0"/>
    <xf numFmtId="0" fontId="48" fillId="0" borderId="0"/>
    <xf numFmtId="0" fontId="3" fillId="0" borderId="0">
      <alignment vertical="center"/>
    </xf>
  </cellStyleXfs>
  <cellXfs count="25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77" fontId="0" fillId="0" borderId="15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4" borderId="0" xfId="0" applyFill="1"/>
    <xf numFmtId="178" fontId="0" fillId="4" borderId="0" xfId="0" applyNumberFormat="1" applyFill="1"/>
    <xf numFmtId="0" fontId="0" fillId="3" borderId="0" xfId="0" applyFill="1"/>
    <xf numFmtId="179" fontId="0" fillId="0" borderId="0" xfId="0" applyNumberFormat="1"/>
    <xf numFmtId="0" fontId="9" fillId="4" borderId="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 wrapText="1"/>
    </xf>
    <xf numFmtId="176" fontId="10" fillId="4" borderId="17" xfId="0" applyNumberFormat="1" applyFont="1" applyFill="1" applyBorder="1" applyAlignment="1">
      <alignment horizontal="center" vertical="center"/>
    </xf>
    <xf numFmtId="176" fontId="10" fillId="4" borderId="17" xfId="0" applyNumberFormat="1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49" applyFont="1" applyFill="1" applyBorder="1" applyAlignment="1">
      <alignment wrapText="1"/>
    </xf>
    <xf numFmtId="176" fontId="0" fillId="4" borderId="1" xfId="49" applyNumberFormat="1" applyFont="1" applyFill="1" applyBorder="1" applyAlignment="1">
      <alignment horizontal="right" wrapText="1"/>
    </xf>
    <xf numFmtId="176" fontId="0" fillId="4" borderId="1" xfId="0" applyNumberForma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8" fillId="4" borderId="1" xfId="49" applyFont="1" applyFill="1" applyBorder="1" applyAlignment="1">
      <alignment wrapText="1"/>
    </xf>
    <xf numFmtId="176" fontId="8" fillId="4" borderId="1" xfId="49" applyNumberFormat="1" applyFont="1" applyFill="1" applyBorder="1" applyAlignment="1">
      <alignment horizontal="right" wrapText="1"/>
    </xf>
    <xf numFmtId="176" fontId="8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7" xfId="0" applyNumberFormat="1" applyFont="1" applyFill="1" applyBorder="1" applyAlignment="1">
      <alignment horizontal="center" vertical="center"/>
    </xf>
    <xf numFmtId="176" fontId="10" fillId="4" borderId="24" xfId="0" applyNumberFormat="1" applyFont="1" applyFill="1" applyBorder="1" applyAlignment="1">
      <alignment horizontal="center" vertical="center"/>
    </xf>
    <xf numFmtId="0" fontId="0" fillId="4" borderId="1" xfId="49" applyFont="1" applyFill="1" applyBorder="1" applyAlignment="1">
      <alignment horizontal="center" wrapText="1"/>
    </xf>
    <xf numFmtId="176" fontId="0" fillId="4" borderId="1" xfId="0" applyNumberFormat="1" applyFill="1" applyBorder="1" applyAlignment="1">
      <alignment vertical="center"/>
    </xf>
    <xf numFmtId="176" fontId="0" fillId="4" borderId="1" xfId="49" applyNumberFormat="1" applyFont="1" applyFill="1" applyBorder="1" applyAlignment="1">
      <alignment horizontal="center" wrapText="1"/>
    </xf>
    <xf numFmtId="0" fontId="8" fillId="4" borderId="1" xfId="49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vertical="center"/>
    </xf>
    <xf numFmtId="176" fontId="8" fillId="4" borderId="1" xfId="49" applyNumberFormat="1" applyFont="1" applyFill="1" applyBorder="1" applyAlignment="1">
      <alignment horizontal="center" wrapText="1"/>
    </xf>
    <xf numFmtId="176" fontId="10" fillId="4" borderId="4" xfId="0" applyNumberFormat="1" applyFont="1" applyFill="1" applyBorder="1" applyAlignment="1">
      <alignment horizontal="center" vertical="center"/>
    </xf>
    <xf numFmtId="176" fontId="0" fillId="4" borderId="25" xfId="49" applyNumberFormat="1" applyFont="1" applyFill="1" applyBorder="1" applyAlignment="1">
      <alignment horizontal="center" wrapText="1"/>
    </xf>
    <xf numFmtId="176" fontId="8" fillId="4" borderId="25" xfId="49" applyNumberFormat="1" applyFont="1" applyFill="1" applyBorder="1" applyAlignment="1">
      <alignment horizontal="center" wrapText="1"/>
    </xf>
    <xf numFmtId="178" fontId="10" fillId="4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178" fontId="10" fillId="4" borderId="17" xfId="0" applyNumberFormat="1" applyFont="1" applyFill="1" applyBorder="1" applyAlignment="1">
      <alignment horizontal="center" vertical="center" wrapText="1"/>
    </xf>
    <xf numFmtId="176" fontId="10" fillId="3" borderId="17" xfId="0" applyNumberFormat="1" applyFont="1" applyFill="1" applyBorder="1" applyAlignment="1">
      <alignment horizontal="center" vertical="center" wrapText="1"/>
    </xf>
    <xf numFmtId="178" fontId="10" fillId="4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8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horizontal="center" vertical="center"/>
    </xf>
    <xf numFmtId="176" fontId="8" fillId="4" borderId="17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179" fontId="8" fillId="0" borderId="0" xfId="0" applyNumberFormat="1" applyFont="1"/>
    <xf numFmtId="176" fontId="8" fillId="4" borderId="7" xfId="0" applyNumberFormat="1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179" fontId="0" fillId="4" borderId="0" xfId="0" applyNumberFormat="1" applyFill="1"/>
    <xf numFmtId="176" fontId="1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176" fontId="0" fillId="4" borderId="17" xfId="0" applyNumberFormat="1" applyFill="1" applyBorder="1" applyAlignment="1">
      <alignment vertical="center"/>
    </xf>
    <xf numFmtId="176" fontId="0" fillId="4" borderId="1" xfId="49" applyNumberFormat="1" applyFont="1" applyFill="1" applyBorder="1" applyAlignment="1">
      <alignment horizontal="center" vertical="center" wrapText="1"/>
    </xf>
    <xf numFmtId="176" fontId="0" fillId="4" borderId="0" xfId="49" applyNumberFormat="1" applyFont="1" applyFill="1" applyAlignment="1">
      <alignment horizontal="center" vertical="center" wrapText="1"/>
    </xf>
    <xf numFmtId="176" fontId="0" fillId="4" borderId="0" xfId="0" applyNumberFormat="1" applyFill="1"/>
    <xf numFmtId="0" fontId="0" fillId="4" borderId="1" xfId="49" applyFont="1" applyFill="1" applyBorder="1" applyAlignment="1">
      <alignment horizontal="center" vertical="center" wrapText="1"/>
    </xf>
    <xf numFmtId="177" fontId="0" fillId="4" borderId="0" xfId="0" applyNumberFormat="1" applyFill="1" applyAlignment="1">
      <alignment horizontal="center" vertical="center"/>
    </xf>
    <xf numFmtId="176" fontId="0" fillId="0" borderId="0" xfId="0" applyNumberFormat="1"/>
    <xf numFmtId="0" fontId="0" fillId="4" borderId="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80" fontId="0" fillId="4" borderId="0" xfId="0" applyNumberFormat="1" applyFill="1" applyAlignment="1">
      <alignment horizontal="center" vertical="center"/>
    </xf>
    <xf numFmtId="49" fontId="13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51" applyFont="1" applyAlignment="1">
      <alignment horizontal="center" vertical="center"/>
    </xf>
    <xf numFmtId="0" fontId="15" fillId="0" borderId="0" xfId="51" applyFont="1" applyAlignment="1">
      <alignment horizontal="center" vertical="center" wrapText="1"/>
    </xf>
    <xf numFmtId="49" fontId="15" fillId="0" borderId="1" xfId="51" applyNumberFormat="1" applyFont="1" applyBorder="1" applyAlignment="1">
      <alignment horizontal="center" vertical="center" wrapText="1"/>
    </xf>
    <xf numFmtId="0" fontId="15" fillId="0" borderId="1" xfId="51" applyFont="1" applyBorder="1" applyAlignment="1">
      <alignment horizont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/>
    </xf>
    <xf numFmtId="0" fontId="16" fillId="0" borderId="1" xfId="51" applyFont="1" applyBorder="1" applyAlignment="1">
      <alignment horizontal="center" vertical="center"/>
    </xf>
    <xf numFmtId="0" fontId="15" fillId="0" borderId="2" xfId="51" applyFont="1" applyBorder="1" applyAlignment="1">
      <alignment horizontal="center" wrapText="1"/>
    </xf>
    <xf numFmtId="0" fontId="15" fillId="0" borderId="2" xfId="51" applyFont="1" applyBorder="1" applyAlignment="1">
      <alignment horizontal="center" vertical="center" wrapText="1"/>
    </xf>
    <xf numFmtId="0" fontId="15" fillId="0" borderId="2" xfId="5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7" fillId="0" borderId="2" xfId="51" applyFont="1" applyBorder="1" applyAlignment="1">
      <alignment horizontal="center" vertical="center" wrapText="1"/>
    </xf>
    <xf numFmtId="0" fontId="17" fillId="0" borderId="1" xfId="51" applyFont="1" applyBorder="1" applyAlignment="1">
      <alignment horizontal="center" vertical="center" wrapText="1"/>
    </xf>
    <xf numFmtId="0" fontId="17" fillId="0" borderId="2" xfId="51" applyFont="1" applyBorder="1" applyAlignment="1">
      <alignment horizontal="center" vertical="center"/>
    </xf>
    <xf numFmtId="0" fontId="18" fillId="0" borderId="1" xfId="51" applyFont="1" applyBorder="1" applyAlignment="1">
      <alignment horizontal="center" vertical="center"/>
    </xf>
    <xf numFmtId="0" fontId="17" fillId="0" borderId="1" xfId="51" applyFont="1" applyBorder="1" applyAlignment="1">
      <alignment horizontal="center" wrapText="1"/>
    </xf>
    <xf numFmtId="0" fontId="19" fillId="0" borderId="0" xfId="51" applyFont="1" applyAlignment="1">
      <alignment horizontal="center" vertical="center"/>
    </xf>
    <xf numFmtId="177" fontId="15" fillId="0" borderId="1" xfId="51" applyNumberFormat="1" applyFont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24" fillId="5" borderId="1" xfId="49" applyFont="1" applyFill="1" applyBorder="1" applyAlignment="1">
      <alignment horizontal="center" vertical="center" wrapText="1"/>
    </xf>
    <xf numFmtId="176" fontId="24" fillId="5" borderId="1" xfId="49" applyNumberFormat="1" applyFont="1" applyFill="1" applyBorder="1" applyAlignment="1">
      <alignment horizontal="center" vertical="center" wrapText="1"/>
    </xf>
    <xf numFmtId="0" fontId="24" fillId="0" borderId="1" xfId="49" applyFont="1" applyBorder="1" applyAlignment="1">
      <alignment horizontal="center" vertical="center" wrapText="1"/>
    </xf>
    <xf numFmtId="176" fontId="24" fillId="0" borderId="1" xfId="49" applyNumberFormat="1" applyFont="1" applyBorder="1" applyAlignment="1">
      <alignment horizontal="center" vertical="center" wrapText="1"/>
    </xf>
    <xf numFmtId="0" fontId="25" fillId="0" borderId="1" xfId="49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24" fillId="0" borderId="1" xfId="49" applyNumberFormat="1" applyFont="1" applyFill="1" applyBorder="1" applyAlignment="1">
      <alignment horizontal="center" vertical="center" wrapText="1"/>
    </xf>
    <xf numFmtId="176" fontId="25" fillId="0" borderId="1" xfId="49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/>
    <xf numFmtId="178" fontId="24" fillId="0" borderId="0" xfId="0" applyNumberFormat="1" applyFont="1" applyFill="1"/>
    <xf numFmtId="179" fontId="24" fillId="0" borderId="0" xfId="0" applyNumberFormat="1" applyFont="1" applyFill="1"/>
    <xf numFmtId="0" fontId="25" fillId="0" borderId="7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 wrapText="1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 wrapText="1"/>
    </xf>
    <xf numFmtId="176" fontId="24" fillId="0" borderId="1" xfId="49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 wrapText="1"/>
    </xf>
    <xf numFmtId="176" fontId="24" fillId="0" borderId="1" xfId="49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horizontal="center" vertical="center" wrapText="1"/>
    </xf>
    <xf numFmtId="176" fontId="26" fillId="0" borderId="1" xfId="49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horizontal="center" vertical="center" wrapText="1"/>
    </xf>
    <xf numFmtId="176" fontId="26" fillId="0" borderId="1" xfId="49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5" fillId="0" borderId="7" xfId="0" applyNumberFormat="1" applyFont="1" applyFill="1" applyBorder="1" applyAlignment="1">
      <alignment horizontal="center" vertical="center"/>
    </xf>
    <xf numFmtId="176" fontId="25" fillId="0" borderId="24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center" vertical="center"/>
    </xf>
    <xf numFmtId="0" fontId="27" fillId="0" borderId="1" xfId="49" applyFont="1" applyFill="1" applyBorder="1" applyAlignment="1">
      <alignment horizontal="center" vertical="center" wrapText="1"/>
    </xf>
    <xf numFmtId="0" fontId="27" fillId="0" borderId="1" xfId="49" applyFont="1" applyFill="1" applyBorder="1" applyAlignment="1">
      <alignment horizontal="center" vertical="center" wrapText="1"/>
    </xf>
    <xf numFmtId="176" fontId="24" fillId="0" borderId="7" xfId="49" applyNumberFormat="1" applyFont="1" applyFill="1" applyBorder="1" applyAlignment="1">
      <alignment horizontal="center" vertical="center" wrapText="1"/>
    </xf>
    <xf numFmtId="176" fontId="24" fillId="0" borderId="4" xfId="49" applyNumberFormat="1" applyFont="1" applyFill="1" applyBorder="1" applyAlignment="1">
      <alignment horizontal="center" vertical="center" wrapText="1"/>
    </xf>
    <xf numFmtId="176" fontId="26" fillId="0" borderId="7" xfId="49" applyNumberFormat="1" applyFont="1" applyFill="1" applyBorder="1" applyAlignment="1">
      <alignment horizontal="center" vertical="center" wrapText="1"/>
    </xf>
    <xf numFmtId="176" fontId="26" fillId="0" borderId="4" xfId="49" applyNumberFormat="1" applyFont="1" applyFill="1" applyBorder="1" applyAlignment="1">
      <alignment horizontal="center" vertical="center" wrapText="1"/>
    </xf>
    <xf numFmtId="178" fontId="25" fillId="0" borderId="2" xfId="0" applyNumberFormat="1" applyFont="1" applyFill="1" applyBorder="1" applyAlignment="1">
      <alignment horizontal="center" vertical="center" wrapText="1"/>
    </xf>
    <xf numFmtId="178" fontId="25" fillId="0" borderId="17" xfId="0" applyNumberFormat="1" applyFont="1" applyFill="1" applyBorder="1" applyAlignment="1">
      <alignment horizontal="center" vertical="center" wrapText="1"/>
    </xf>
    <xf numFmtId="178" fontId="25" fillId="0" borderId="3" xfId="0" applyNumberFormat="1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79" fontId="24" fillId="0" borderId="0" xfId="0" applyNumberFormat="1" applyFont="1" applyFill="1" applyAlignment="1">
      <alignment horizontal="center" vertical="center"/>
    </xf>
    <xf numFmtId="179" fontId="24" fillId="0" borderId="0" xfId="0" applyNumberFormat="1" applyFont="1" applyFill="1" applyAlignment="1">
      <alignment horizontal="center" vertical="center"/>
    </xf>
    <xf numFmtId="179" fontId="26" fillId="0" borderId="0" xfId="0" applyNumberFormat="1" applyFont="1" applyFill="1" applyAlignment="1">
      <alignment horizontal="center" vertical="center"/>
    </xf>
    <xf numFmtId="179" fontId="26" fillId="0" borderId="0" xfId="0" applyNumberFormat="1" applyFont="1" applyFill="1" applyAlignment="1">
      <alignment horizontal="center" vertical="center"/>
    </xf>
    <xf numFmtId="0" fontId="28" fillId="0" borderId="1" xfId="50" applyFont="1" applyFill="1" applyBorder="1" applyAlignment="1">
      <alignment horizontal="center" vertical="center" wrapText="1"/>
    </xf>
    <xf numFmtId="179" fontId="27" fillId="0" borderId="0" xfId="0" applyNumberFormat="1" applyFont="1" applyFill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176" fontId="27" fillId="0" borderId="1" xfId="49" applyNumberFormat="1" applyFont="1" applyFill="1" applyBorder="1" applyAlignment="1">
      <alignment horizontal="center" vertical="center" wrapText="1"/>
    </xf>
    <xf numFmtId="176" fontId="27" fillId="0" borderId="1" xfId="49" applyNumberFormat="1" applyFont="1" applyFill="1" applyBorder="1" applyAlignment="1">
      <alignment horizontal="center" vertical="center" wrapText="1"/>
    </xf>
    <xf numFmtId="176" fontId="27" fillId="0" borderId="7" xfId="49" applyNumberFormat="1" applyFont="1" applyFill="1" applyBorder="1" applyAlignment="1">
      <alignment horizontal="center" vertical="center" wrapText="1"/>
    </xf>
    <xf numFmtId="176" fontId="27" fillId="0" borderId="4" xfId="49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24" fillId="0" borderId="7" xfId="49" applyNumberFormat="1" applyFont="1" applyFill="1" applyBorder="1" applyAlignment="1">
      <alignment horizontal="center" vertical="center" wrapText="1"/>
    </xf>
    <xf numFmtId="176" fontId="24" fillId="0" borderId="4" xfId="49" applyNumberFormat="1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道路" xfId="50"/>
    <cellStyle name="常规 2" xfId="5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www.wps.cn/officeDocument/2023/relationships/customStorage" Target="customStorage/customStorage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W245"/>
  <sheetViews>
    <sheetView tabSelected="1" topLeftCell="AL1" workbookViewId="0">
      <pane ySplit="7" topLeftCell="A8" activePane="bottomLeft" state="frozen"/>
      <selection/>
      <selection pane="bottomLeft" activeCell="A1" sqref="$A1:$XFD1048576"/>
    </sheetView>
  </sheetViews>
  <sheetFormatPr defaultColWidth="9" defaultRowHeight="10.8"/>
  <cols>
    <col min="1" max="1" width="7" style="195" customWidth="1"/>
    <col min="2" max="2" width="14" style="195" hidden="1" customWidth="1"/>
    <col min="3" max="3" width="17.5" style="195" customWidth="1"/>
    <col min="4" max="4" width="10.5" style="195" customWidth="1"/>
    <col min="5" max="6" width="10.8796296296296" style="195" customWidth="1"/>
    <col min="7" max="7" width="10.2592592592593" style="195" customWidth="1"/>
    <col min="8" max="8" width="11.5" style="195" customWidth="1"/>
    <col min="9" max="9" width="6.75925925925926" style="195" customWidth="1"/>
    <col min="10" max="10" width="13.1296296296296" style="195" customWidth="1"/>
    <col min="11" max="11" width="11" style="195" customWidth="1"/>
    <col min="12" max="12" width="6.87962962962963" style="195" hidden="1" customWidth="1"/>
    <col min="13" max="13" width="11.2592592592593" style="195" customWidth="1"/>
    <col min="14" max="14" width="10.6296296296296" style="195" customWidth="1"/>
    <col min="15" max="15" width="10" style="195" customWidth="1"/>
    <col min="16" max="16" width="8.12962962962963" style="195" customWidth="1"/>
    <col min="17" max="17" width="9.75925925925926" style="195" customWidth="1"/>
    <col min="18" max="18" width="7.25925925925926" style="195" customWidth="1"/>
    <col min="19" max="19" width="7.87962962962963" style="195" customWidth="1"/>
    <col min="20" max="20" width="9.62962962962963" style="195" customWidth="1"/>
    <col min="21" max="21" width="8" style="195" customWidth="1"/>
    <col min="22" max="22" width="5.12962962962963" style="195" customWidth="1"/>
    <col min="23" max="23" width="9.5" style="195" customWidth="1"/>
    <col min="24" max="24" width="8.37962962962963" style="195" customWidth="1"/>
    <col min="25" max="25" width="11.1296296296296" style="195" customWidth="1"/>
    <col min="26" max="26" width="8.37962962962963" style="195" customWidth="1"/>
    <col min="27" max="27" width="10.3796296296296" style="195" hidden="1" customWidth="1"/>
    <col min="28" max="28" width="10.6296296296296" style="195" hidden="1" customWidth="1"/>
    <col min="29" max="29" width="9.62962962962963" style="195" hidden="1" customWidth="1"/>
    <col min="30" max="30" width="9.75925925925926" style="195" hidden="1" customWidth="1"/>
    <col min="31" max="31" width="9.62962962962963" style="195" customWidth="1"/>
    <col min="32" max="32" width="9.75925925925926" style="195" customWidth="1"/>
    <col min="33" max="33" width="10.3796296296296" style="195" customWidth="1"/>
    <col min="34" max="34" width="11.8796296296296" style="195" customWidth="1"/>
    <col min="35" max="35" width="10.8796296296296" style="195" customWidth="1"/>
    <col min="36" max="36" width="11.2592592592593" style="195" customWidth="1"/>
    <col min="37" max="37" width="9.5" style="195" customWidth="1"/>
    <col min="38" max="38" width="11.6296296296296" style="195" customWidth="1"/>
    <col min="39" max="39" width="9.25925925925926" style="196" hidden="1" customWidth="1"/>
    <col min="40" max="40" width="9" style="196" hidden="1" customWidth="1"/>
    <col min="41" max="41" width="8.12962962962963" style="195" customWidth="1"/>
    <col min="42" max="42" width="9.12962962962963" style="195" hidden="1" customWidth="1"/>
    <col min="43" max="43" width="9" style="195"/>
    <col min="44" max="44" width="9" style="195" hidden="1" customWidth="1"/>
    <col min="45" max="45" width="9" style="195"/>
    <col min="46" max="47" width="10.5" style="195" customWidth="1"/>
    <col min="48" max="48" width="10.5" style="195" hidden="1" customWidth="1"/>
    <col min="49" max="50" width="9.5" style="195" customWidth="1"/>
    <col min="51" max="51" width="10.5" style="195" customWidth="1"/>
    <col min="52" max="53" width="9.5" style="195" customWidth="1"/>
    <col min="54" max="57" width="9" style="195" customWidth="1"/>
    <col min="58" max="59" width="9.5" style="195" customWidth="1"/>
    <col min="60" max="60" width="9" style="195" customWidth="1"/>
    <col min="61" max="61" width="8.5" style="195" customWidth="1"/>
    <col min="62" max="62" width="5.75925925925926" style="195" customWidth="1"/>
    <col min="63" max="63" width="9" style="195"/>
    <col min="64" max="64" width="15.5" style="195" customWidth="1"/>
    <col min="65" max="65" width="13.7592592592593" style="195" customWidth="1"/>
    <col min="66" max="66" width="13.2592592592593" style="195" customWidth="1"/>
    <col min="67" max="67" width="15.6296296296296" style="195" customWidth="1"/>
    <col min="68" max="68" width="20" style="197" customWidth="1"/>
    <col min="69" max="16384" width="9" style="195"/>
  </cols>
  <sheetData>
    <row r="1" s="189" customFormat="1" ht="24.75" customHeight="1" spans="1:68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239"/>
      <c r="BP1" s="240"/>
    </row>
    <row r="2" s="189" customFormat="1" ht="24.95" customHeight="1" spans="1:68">
      <c r="A2" s="200" t="s">
        <v>1</v>
      </c>
      <c r="B2" s="200" t="s">
        <v>2</v>
      </c>
      <c r="C2" s="200" t="s">
        <v>3</v>
      </c>
      <c r="D2" s="200" t="s">
        <v>4</v>
      </c>
      <c r="E2" s="200" t="s">
        <v>5</v>
      </c>
      <c r="F2" s="200" t="s">
        <v>6</v>
      </c>
      <c r="G2" s="201" t="s">
        <v>7</v>
      </c>
      <c r="H2" s="201" t="s">
        <v>8</v>
      </c>
      <c r="I2" s="201" t="s">
        <v>9</v>
      </c>
      <c r="J2" s="201" t="s">
        <v>10</v>
      </c>
      <c r="K2" s="222" t="s">
        <v>11</v>
      </c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01" t="s">
        <v>12</v>
      </c>
      <c r="AL2" s="201"/>
      <c r="AM2" s="232" t="s">
        <v>13</v>
      </c>
      <c r="AN2" s="232" t="s">
        <v>14</v>
      </c>
      <c r="AO2" s="201" t="s">
        <v>15</v>
      </c>
      <c r="AP2" s="201" t="s">
        <v>16</v>
      </c>
      <c r="AQ2" s="201" t="s">
        <v>17</v>
      </c>
      <c r="AR2" s="201" t="s">
        <v>18</v>
      </c>
      <c r="AS2" s="201" t="s">
        <v>19</v>
      </c>
      <c r="AT2" s="236" t="s">
        <v>20</v>
      </c>
      <c r="AU2" s="201" t="s">
        <v>21</v>
      </c>
      <c r="AV2" s="201" t="s">
        <v>22</v>
      </c>
      <c r="AW2" s="201" t="s">
        <v>23</v>
      </c>
      <c r="AX2" s="201" t="s">
        <v>24</v>
      </c>
      <c r="AY2" s="201" t="s">
        <v>25</v>
      </c>
      <c r="AZ2" s="201" t="s">
        <v>26</v>
      </c>
      <c r="BA2" s="201" t="s">
        <v>27</v>
      </c>
      <c r="BB2" s="201" t="s">
        <v>28</v>
      </c>
      <c r="BC2" s="201" t="s">
        <v>29</v>
      </c>
      <c r="BD2" s="201" t="s">
        <v>30</v>
      </c>
      <c r="BE2" s="201" t="s">
        <v>31</v>
      </c>
      <c r="BF2" s="201" t="s">
        <v>32</v>
      </c>
      <c r="BG2" s="201" t="s">
        <v>33</v>
      </c>
      <c r="BH2" s="201" t="s">
        <v>34</v>
      </c>
      <c r="BI2" s="201" t="s">
        <v>35</v>
      </c>
      <c r="BJ2" s="222" t="s">
        <v>36</v>
      </c>
      <c r="BP2" s="240"/>
    </row>
    <row r="3" s="189" customFormat="1" ht="17.1" customHeight="1" spans="1:68">
      <c r="A3" s="202"/>
      <c r="B3" s="202"/>
      <c r="C3" s="202"/>
      <c r="D3" s="202"/>
      <c r="E3" s="202"/>
      <c r="F3" s="202"/>
      <c r="G3" s="203"/>
      <c r="H3" s="203"/>
      <c r="I3" s="203"/>
      <c r="J3" s="203"/>
      <c r="K3" s="201" t="s">
        <v>37</v>
      </c>
      <c r="L3" s="223" t="s">
        <v>38</v>
      </c>
      <c r="M3" s="224"/>
      <c r="N3" s="224"/>
      <c r="O3" s="224"/>
      <c r="P3" s="225"/>
      <c r="Q3" s="201" t="s">
        <v>39</v>
      </c>
      <c r="R3" s="223" t="s">
        <v>40</v>
      </c>
      <c r="S3" s="224"/>
      <c r="T3" s="224"/>
      <c r="U3" s="225"/>
      <c r="V3" s="223" t="s">
        <v>41</v>
      </c>
      <c r="W3" s="225"/>
      <c r="X3" s="223" t="s">
        <v>42</v>
      </c>
      <c r="Y3" s="225"/>
      <c r="Z3" s="224" t="s">
        <v>43</v>
      </c>
      <c r="AA3" s="223" t="s">
        <v>44</v>
      </c>
      <c r="AB3" s="223" t="s">
        <v>45</v>
      </c>
      <c r="AC3" s="223" t="s">
        <v>46</v>
      </c>
      <c r="AD3" s="223" t="s">
        <v>47</v>
      </c>
      <c r="AE3" s="223" t="s">
        <v>48</v>
      </c>
      <c r="AF3" s="224"/>
      <c r="AG3" s="201" t="s">
        <v>49</v>
      </c>
      <c r="AH3" s="223" t="s">
        <v>50</v>
      </c>
      <c r="AI3" s="224"/>
      <c r="AJ3" s="224"/>
      <c r="AK3" s="203"/>
      <c r="AL3" s="203"/>
      <c r="AM3" s="233"/>
      <c r="AN3" s="233"/>
      <c r="AO3" s="203"/>
      <c r="AP3" s="203"/>
      <c r="AQ3" s="203"/>
      <c r="AR3" s="203"/>
      <c r="AS3" s="203"/>
      <c r="AT3" s="236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22"/>
      <c r="BP3" s="240"/>
    </row>
    <row r="4" s="189" customFormat="1" ht="15" customHeight="1" spans="1:75">
      <c r="A4" s="202"/>
      <c r="B4" s="202"/>
      <c r="C4" s="202"/>
      <c r="D4" s="202"/>
      <c r="E4" s="202"/>
      <c r="F4" s="202"/>
      <c r="G4" s="203"/>
      <c r="H4" s="203"/>
      <c r="I4" s="203"/>
      <c r="J4" s="203"/>
      <c r="K4" s="203"/>
      <c r="L4" s="201" t="s">
        <v>51</v>
      </c>
      <c r="M4" s="200" t="s">
        <v>52</v>
      </c>
      <c r="N4" s="223" t="s">
        <v>53</v>
      </c>
      <c r="O4" s="224"/>
      <c r="P4" s="225"/>
      <c r="Q4" s="203"/>
      <c r="R4" s="200" t="s">
        <v>54</v>
      </c>
      <c r="S4" s="201" t="s">
        <v>55</v>
      </c>
      <c r="T4" s="201" t="s">
        <v>56</v>
      </c>
      <c r="U4" s="201" t="s">
        <v>57</v>
      </c>
      <c r="V4" s="200" t="s">
        <v>54</v>
      </c>
      <c r="W4" s="200" t="s">
        <v>55</v>
      </c>
      <c r="X4" s="201" t="s">
        <v>58</v>
      </c>
      <c r="Y4" s="201" t="s">
        <v>59</v>
      </c>
      <c r="Z4" s="201" t="s">
        <v>60</v>
      </c>
      <c r="AA4" s="201" t="s">
        <v>61</v>
      </c>
      <c r="AB4" s="201" t="s">
        <v>62</v>
      </c>
      <c r="AC4" s="201" t="s">
        <v>63</v>
      </c>
      <c r="AD4" s="201" t="s">
        <v>64</v>
      </c>
      <c r="AE4" s="201" t="s">
        <v>65</v>
      </c>
      <c r="AF4" s="201" t="s">
        <v>66</v>
      </c>
      <c r="AG4" s="203"/>
      <c r="AH4" s="201" t="s">
        <v>67</v>
      </c>
      <c r="AI4" s="201" t="s">
        <v>68</v>
      </c>
      <c r="AJ4" s="201" t="s">
        <v>69</v>
      </c>
      <c r="AK4" s="203"/>
      <c r="AL4" s="203"/>
      <c r="AM4" s="233"/>
      <c r="AN4" s="233"/>
      <c r="AO4" s="203"/>
      <c r="AP4" s="203"/>
      <c r="AQ4" s="203"/>
      <c r="AR4" s="203"/>
      <c r="AS4" s="203"/>
      <c r="AT4" s="236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22"/>
      <c r="BP4" s="240"/>
      <c r="BW4" s="189" t="s">
        <v>70</v>
      </c>
    </row>
    <row r="5" s="189" customFormat="1" ht="18.75" customHeight="1" spans="1:68">
      <c r="A5" s="204"/>
      <c r="B5" s="204"/>
      <c r="C5" s="204"/>
      <c r="D5" s="204"/>
      <c r="E5" s="204"/>
      <c r="F5" s="204"/>
      <c r="G5" s="205"/>
      <c r="H5" s="205"/>
      <c r="I5" s="205"/>
      <c r="J5" s="205"/>
      <c r="K5" s="205"/>
      <c r="L5" s="205"/>
      <c r="M5" s="204"/>
      <c r="N5" s="222" t="s">
        <v>71</v>
      </c>
      <c r="O5" s="222" t="s">
        <v>72</v>
      </c>
      <c r="P5" s="222" t="s">
        <v>73</v>
      </c>
      <c r="Q5" s="205"/>
      <c r="R5" s="204"/>
      <c r="S5" s="205"/>
      <c r="T5" s="205"/>
      <c r="U5" s="204"/>
      <c r="V5" s="204"/>
      <c r="W5" s="204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34"/>
      <c r="AN5" s="234"/>
      <c r="AO5" s="205"/>
      <c r="AP5" s="205"/>
      <c r="AQ5" s="205"/>
      <c r="AR5" s="205"/>
      <c r="AS5" s="205"/>
      <c r="AT5" s="236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22"/>
      <c r="BP5" s="240"/>
    </row>
    <row r="6" s="189" customFormat="1" ht="15" customHeight="1" spans="1:68">
      <c r="A6" s="206">
        <v>1</v>
      </c>
      <c r="B6" s="207" t="s">
        <v>74</v>
      </c>
      <c r="C6" s="207" t="s">
        <v>75</v>
      </c>
      <c r="D6" s="207" t="s">
        <v>76</v>
      </c>
      <c r="E6" s="207" t="s">
        <v>77</v>
      </c>
      <c r="F6" s="208">
        <v>309.62</v>
      </c>
      <c r="G6" s="209">
        <f t="shared" ref="G6:G69" si="0">H6/F6</f>
        <v>8.19668468690653</v>
      </c>
      <c r="H6" s="209">
        <f>N6+T6+W6+Y6+AE6+AF6+AG6+Z6*2</f>
        <v>2537.85751276</v>
      </c>
      <c r="I6" s="207">
        <v>3</v>
      </c>
      <c r="J6" s="209">
        <f>O6+P6+T6+W6+Y6</f>
        <v>1997.387096</v>
      </c>
      <c r="K6" s="209">
        <f>P6+S6+W6+Y6</f>
        <v>139.667096</v>
      </c>
      <c r="L6" s="207">
        <v>0</v>
      </c>
      <c r="M6" s="209">
        <f t="shared" ref="M6:M69" si="1">F6*IF(L6=4,4,IF(L6=6,6,2))</f>
        <v>619.24</v>
      </c>
      <c r="N6" s="208">
        <v>1343.145307</v>
      </c>
      <c r="O6" s="209">
        <f t="shared" ref="O6:O69" si="2">M6*3</f>
        <v>1857.72</v>
      </c>
      <c r="P6" s="209">
        <v>0</v>
      </c>
      <c r="Q6" s="209">
        <f>P6+S6+W6+Y6+AE6</f>
        <v>259.51032176</v>
      </c>
      <c r="R6" s="209">
        <f t="shared" ref="R6:R69" si="3">U6*3</f>
        <v>0</v>
      </c>
      <c r="S6" s="209">
        <v>0</v>
      </c>
      <c r="T6" s="208">
        <v>0</v>
      </c>
      <c r="U6" s="207">
        <v>0</v>
      </c>
      <c r="V6" s="209"/>
      <c r="W6" s="208">
        <v>139.667096</v>
      </c>
      <c r="X6" s="208">
        <v>0</v>
      </c>
      <c r="Y6" s="209">
        <f t="shared" ref="Y6:Y69" si="4">X6*2</f>
        <v>0</v>
      </c>
      <c r="Z6" s="209">
        <f t="shared" ref="Z6:Z69" si="5">AA6+AB6+AC6+AD6</f>
        <v>0</v>
      </c>
      <c r="AA6" s="208">
        <v>0</v>
      </c>
      <c r="AB6" s="228">
        <v>0</v>
      </c>
      <c r="AC6" s="208">
        <v>0</v>
      </c>
      <c r="AD6" s="229">
        <v>0</v>
      </c>
      <c r="AE6" s="208">
        <f>J6*IF(I6=1,0.08,IF(I6=2,0.07,IF(I6=3,0.06)))</f>
        <v>119.84322576</v>
      </c>
      <c r="AF6" s="208">
        <v>0</v>
      </c>
      <c r="AG6" s="208">
        <f t="shared" ref="AG6:AG69" si="6">AH6+AI6+AJ6</f>
        <v>935.201884</v>
      </c>
      <c r="AH6" s="208">
        <v>0</v>
      </c>
      <c r="AI6" s="208">
        <v>0</v>
      </c>
      <c r="AJ6" s="208">
        <v>935.201884</v>
      </c>
      <c r="AK6" s="209">
        <f t="shared" ref="AK6:AK69" si="7">F6*2</f>
        <v>619.24</v>
      </c>
      <c r="AL6" s="206">
        <f t="shared" ref="AL6:AL69" si="8">AM6/M6*1000</f>
        <v>0</v>
      </c>
      <c r="AM6" s="235">
        <f>M6*IF(I6=1,0,IF(I6=2,0,IF(I6=3,0,IF(I6=4,0))))/1000</f>
        <v>0</v>
      </c>
      <c r="AN6" s="235">
        <f t="shared" ref="AN6:AN69" si="9">AM6/60</f>
        <v>0</v>
      </c>
      <c r="AO6" s="209">
        <f>M6*IF(I6=1,2,IF(I6=2,2,IF(I6=3,1,IF(I6=4,0))))/1000</f>
        <v>0.61924</v>
      </c>
      <c r="AP6" s="209">
        <f t="shared" ref="AP6:AP69" si="10">AO6/32</f>
        <v>0.01935125</v>
      </c>
      <c r="AQ6" s="209">
        <f>M6/1000/2*IF(I6=1,2,IF(I6=2,2,IF(I6=3,1,IF(I6=4,0))))</f>
        <v>0.30962</v>
      </c>
      <c r="AR6" s="209">
        <f t="shared" ref="AR6:AR69" si="11">AQ6/48</f>
        <v>0.00645041666666667</v>
      </c>
      <c r="AS6" s="209">
        <f>F6*U6/1000*2</f>
        <v>0</v>
      </c>
      <c r="AT6" s="207">
        <v>0</v>
      </c>
      <c r="AU6" s="207"/>
      <c r="AV6" s="237">
        <f>AM6*26.99/10000*340</f>
        <v>0</v>
      </c>
      <c r="AW6" s="209"/>
      <c r="AX6" s="209"/>
      <c r="AY6" s="237"/>
      <c r="AZ6" s="237"/>
      <c r="BA6" s="209"/>
      <c r="BB6" s="237"/>
      <c r="BC6" s="237"/>
      <c r="BD6" s="209"/>
      <c r="BE6" s="209"/>
      <c r="BF6" s="209"/>
      <c r="BG6" s="209"/>
      <c r="BH6" s="209"/>
      <c r="BI6" s="209"/>
      <c r="BJ6" s="207"/>
      <c r="BP6" s="240"/>
    </row>
    <row r="7" s="190" customFormat="1" ht="15" customHeight="1" spans="1:68">
      <c r="A7" s="210">
        <v>2</v>
      </c>
      <c r="B7" s="207" t="s">
        <v>78</v>
      </c>
      <c r="C7" s="211" t="s">
        <v>78</v>
      </c>
      <c r="D7" s="211" t="s">
        <v>79</v>
      </c>
      <c r="E7" s="211" t="s">
        <v>80</v>
      </c>
      <c r="F7" s="212">
        <v>143.8</v>
      </c>
      <c r="G7" s="213">
        <f t="shared" si="0"/>
        <v>40.3251492211405</v>
      </c>
      <c r="H7" s="213">
        <f t="shared" ref="H7:H70" si="12">N7+T7+W7+Y7+AE7+AF7+AG7+Z7*2</f>
        <v>5798.756458</v>
      </c>
      <c r="I7" s="211">
        <v>3</v>
      </c>
      <c r="J7" s="213">
        <f t="shared" ref="J7:J70" si="13">O7+P7+T7+W7+Y7</f>
        <v>862.8</v>
      </c>
      <c r="K7" s="213">
        <f t="shared" ref="K7:K70" si="14">P7+S7+W7+Y7</f>
        <v>0</v>
      </c>
      <c r="L7" s="207">
        <v>0</v>
      </c>
      <c r="M7" s="213">
        <f t="shared" si="1"/>
        <v>287.6</v>
      </c>
      <c r="N7" s="212">
        <v>867.646754</v>
      </c>
      <c r="O7" s="213">
        <f t="shared" si="2"/>
        <v>862.8</v>
      </c>
      <c r="P7" s="213">
        <v>0</v>
      </c>
      <c r="Q7" s="213">
        <f t="shared" ref="Q7:Q70" si="15">P7+S7+W7+Y7+AE7</f>
        <v>51.768</v>
      </c>
      <c r="R7" s="213">
        <f t="shared" si="3"/>
        <v>0</v>
      </c>
      <c r="S7" s="213">
        <v>0</v>
      </c>
      <c r="T7" s="212">
        <v>0</v>
      </c>
      <c r="U7" s="211">
        <v>0</v>
      </c>
      <c r="V7" s="213"/>
      <c r="W7" s="212">
        <v>0</v>
      </c>
      <c r="X7" s="212">
        <v>0</v>
      </c>
      <c r="Y7" s="213">
        <f t="shared" si="4"/>
        <v>0</v>
      </c>
      <c r="Z7" s="213">
        <f t="shared" si="5"/>
        <v>0</v>
      </c>
      <c r="AA7" s="208">
        <v>0</v>
      </c>
      <c r="AB7" s="228">
        <v>0</v>
      </c>
      <c r="AC7" s="208">
        <v>0</v>
      </c>
      <c r="AD7" s="229">
        <v>0</v>
      </c>
      <c r="AE7" s="212">
        <f t="shared" ref="AE7:AE70" si="16">J7*IF(I7=1,0.08,IF(I7=2,0.07,IF(I7=3,0.06)))</f>
        <v>51.768</v>
      </c>
      <c r="AF7" s="212">
        <v>0</v>
      </c>
      <c r="AG7" s="212">
        <f t="shared" si="6"/>
        <v>4879.341704</v>
      </c>
      <c r="AH7" s="212">
        <v>0</v>
      </c>
      <c r="AI7" s="212">
        <v>0</v>
      </c>
      <c r="AJ7" s="212">
        <v>4879.341704</v>
      </c>
      <c r="AK7" s="213">
        <f t="shared" si="7"/>
        <v>287.6</v>
      </c>
      <c r="AL7" s="210">
        <f t="shared" si="8"/>
        <v>0</v>
      </c>
      <c r="AM7" s="235">
        <f t="shared" ref="AM7:AM70" si="17">M7*IF(I7=1,0,IF(I7=2,0,IF(I7=3,0,IF(I7=4,0))))/1000</f>
        <v>0</v>
      </c>
      <c r="AN7" s="235">
        <f t="shared" si="9"/>
        <v>0</v>
      </c>
      <c r="AO7" s="213">
        <f t="shared" ref="AO7:AO70" si="18">M7*IF(I7=1,2,IF(I7=2,2,IF(I7=3,1,IF(I7=4,0))))/1000</f>
        <v>0.2876</v>
      </c>
      <c r="AP7" s="209">
        <f t="shared" si="10"/>
        <v>0.0089875</v>
      </c>
      <c r="AQ7" s="213">
        <f t="shared" ref="AQ7:AQ70" si="19">M7/1000/2*IF(I7=1,2,IF(I7=2,2,IF(I7=3,1,IF(I7=4,0))))</f>
        <v>0.1438</v>
      </c>
      <c r="AR7" s="209">
        <f t="shared" si="11"/>
        <v>0.00299583333333333</v>
      </c>
      <c r="AS7" s="213">
        <f t="shared" ref="AS7:AS70" si="20">F7*U7/1000*2</f>
        <v>0</v>
      </c>
      <c r="AT7" s="211">
        <v>0</v>
      </c>
      <c r="AU7" s="211"/>
      <c r="AV7" s="237">
        <f t="shared" ref="AV7:AV70" si="21">AM7*26.99/10000*340</f>
        <v>0</v>
      </c>
      <c r="AW7" s="213"/>
      <c r="AX7" s="213"/>
      <c r="AY7" s="238"/>
      <c r="AZ7" s="238"/>
      <c r="BA7" s="213"/>
      <c r="BB7" s="238"/>
      <c r="BC7" s="238"/>
      <c r="BD7" s="213"/>
      <c r="BE7" s="213"/>
      <c r="BF7" s="213"/>
      <c r="BG7" s="213"/>
      <c r="BH7" s="213"/>
      <c r="BI7" s="213"/>
      <c r="BJ7" s="211"/>
      <c r="BP7" s="241"/>
    </row>
    <row r="8" s="190" customFormat="1" ht="15" customHeight="1" spans="1:68">
      <c r="A8" s="210">
        <v>3</v>
      </c>
      <c r="B8" s="207" t="s">
        <v>81</v>
      </c>
      <c r="C8" s="211" t="s">
        <v>81</v>
      </c>
      <c r="D8" s="211" t="s">
        <v>82</v>
      </c>
      <c r="E8" s="211" t="s">
        <v>83</v>
      </c>
      <c r="F8" s="212">
        <v>586.77</v>
      </c>
      <c r="G8" s="213">
        <f t="shared" si="0"/>
        <v>17.4883722148372</v>
      </c>
      <c r="H8" s="213">
        <f t="shared" si="12"/>
        <v>10261.6521645</v>
      </c>
      <c r="I8" s="211">
        <v>3</v>
      </c>
      <c r="J8" s="213">
        <f t="shared" si="13"/>
        <v>8306.769775</v>
      </c>
      <c r="K8" s="213">
        <f t="shared" si="14"/>
        <v>4786.149775</v>
      </c>
      <c r="L8" s="207">
        <v>0</v>
      </c>
      <c r="M8" s="213">
        <f t="shared" si="1"/>
        <v>1173.54</v>
      </c>
      <c r="N8" s="212">
        <v>4899.830475</v>
      </c>
      <c r="O8" s="213">
        <f t="shared" si="2"/>
        <v>3520.62</v>
      </c>
      <c r="P8" s="213">
        <v>0</v>
      </c>
      <c r="Q8" s="213">
        <f t="shared" si="15"/>
        <v>5284.5559615</v>
      </c>
      <c r="R8" s="213">
        <f t="shared" si="3"/>
        <v>0</v>
      </c>
      <c r="S8" s="213">
        <v>0</v>
      </c>
      <c r="T8" s="212">
        <v>0</v>
      </c>
      <c r="U8" s="211">
        <v>0</v>
      </c>
      <c r="V8" s="213"/>
      <c r="W8" s="212">
        <v>4786.149775</v>
      </c>
      <c r="X8" s="212">
        <v>0</v>
      </c>
      <c r="Y8" s="213">
        <f t="shared" si="4"/>
        <v>0</v>
      </c>
      <c r="Z8" s="213">
        <f t="shared" si="5"/>
        <v>0</v>
      </c>
      <c r="AA8" s="208">
        <v>0</v>
      </c>
      <c r="AB8" s="228">
        <v>0</v>
      </c>
      <c r="AC8" s="208">
        <v>0</v>
      </c>
      <c r="AD8" s="229">
        <v>0</v>
      </c>
      <c r="AE8" s="212">
        <f t="shared" si="16"/>
        <v>498.4061865</v>
      </c>
      <c r="AF8" s="212">
        <v>0</v>
      </c>
      <c r="AG8" s="212">
        <f t="shared" si="6"/>
        <v>77.265728</v>
      </c>
      <c r="AH8" s="212">
        <v>0</v>
      </c>
      <c r="AI8" s="212">
        <v>0</v>
      </c>
      <c r="AJ8" s="212">
        <v>77.265728</v>
      </c>
      <c r="AK8" s="213">
        <f t="shared" si="7"/>
        <v>1173.54</v>
      </c>
      <c r="AL8" s="210">
        <f t="shared" si="8"/>
        <v>0</v>
      </c>
      <c r="AM8" s="235">
        <f t="shared" si="17"/>
        <v>0</v>
      </c>
      <c r="AN8" s="235">
        <f t="shared" si="9"/>
        <v>0</v>
      </c>
      <c r="AO8" s="213">
        <f t="shared" si="18"/>
        <v>1.17354</v>
      </c>
      <c r="AP8" s="209">
        <f t="shared" si="10"/>
        <v>0.036673125</v>
      </c>
      <c r="AQ8" s="213">
        <f t="shared" si="19"/>
        <v>0.58677</v>
      </c>
      <c r="AR8" s="209">
        <f t="shared" si="11"/>
        <v>0.012224375</v>
      </c>
      <c r="AS8" s="213">
        <f t="shared" si="20"/>
        <v>0</v>
      </c>
      <c r="AT8" s="211">
        <v>0</v>
      </c>
      <c r="AU8" s="211"/>
      <c r="AV8" s="237">
        <f t="shared" si="21"/>
        <v>0</v>
      </c>
      <c r="AW8" s="213"/>
      <c r="AX8" s="213"/>
      <c r="AY8" s="238"/>
      <c r="AZ8" s="238"/>
      <c r="BA8" s="213"/>
      <c r="BB8" s="238"/>
      <c r="BC8" s="238"/>
      <c r="BD8" s="213"/>
      <c r="BE8" s="213"/>
      <c r="BF8" s="213"/>
      <c r="BG8" s="213"/>
      <c r="BH8" s="213"/>
      <c r="BI8" s="213"/>
      <c r="BJ8" s="211"/>
      <c r="BP8" s="241"/>
    </row>
    <row r="9" s="190" customFormat="1" ht="15" customHeight="1" spans="1:68">
      <c r="A9" s="210">
        <v>4</v>
      </c>
      <c r="B9" s="207" t="s">
        <v>84</v>
      </c>
      <c r="C9" s="211" t="s">
        <v>84</v>
      </c>
      <c r="D9" s="211" t="s">
        <v>85</v>
      </c>
      <c r="E9" s="211" t="s">
        <v>81</v>
      </c>
      <c r="F9" s="212">
        <v>299.42</v>
      </c>
      <c r="G9" s="213">
        <f t="shared" si="0"/>
        <v>11.0404155801216</v>
      </c>
      <c r="H9" s="213">
        <f t="shared" si="12"/>
        <v>3305.721233</v>
      </c>
      <c r="I9" s="211">
        <v>3</v>
      </c>
      <c r="J9" s="213">
        <f t="shared" si="13"/>
        <v>3688.5716</v>
      </c>
      <c r="K9" s="213">
        <f t="shared" si="14"/>
        <v>1892.0516</v>
      </c>
      <c r="L9" s="207">
        <v>0</v>
      </c>
      <c r="M9" s="213">
        <f t="shared" si="1"/>
        <v>598.84</v>
      </c>
      <c r="N9" s="212">
        <v>1192.355337</v>
      </c>
      <c r="O9" s="213">
        <f t="shared" si="2"/>
        <v>1796.52</v>
      </c>
      <c r="P9" s="213">
        <v>0</v>
      </c>
      <c r="Q9" s="213">
        <f t="shared" si="15"/>
        <v>2113.365896</v>
      </c>
      <c r="R9" s="213">
        <f t="shared" si="3"/>
        <v>0</v>
      </c>
      <c r="S9" s="213">
        <v>0</v>
      </c>
      <c r="T9" s="212">
        <v>0</v>
      </c>
      <c r="U9" s="211">
        <v>0</v>
      </c>
      <c r="V9" s="213"/>
      <c r="W9" s="212">
        <v>1892.0516</v>
      </c>
      <c r="X9" s="212">
        <v>0</v>
      </c>
      <c r="Y9" s="213">
        <f t="shared" si="4"/>
        <v>0</v>
      </c>
      <c r="Z9" s="213">
        <f t="shared" si="5"/>
        <v>0</v>
      </c>
      <c r="AA9" s="208">
        <v>0</v>
      </c>
      <c r="AB9" s="228">
        <v>0</v>
      </c>
      <c r="AC9" s="208">
        <v>0</v>
      </c>
      <c r="AD9" s="229">
        <v>0</v>
      </c>
      <c r="AE9" s="212">
        <f t="shared" si="16"/>
        <v>221.314296</v>
      </c>
      <c r="AF9" s="212">
        <v>0</v>
      </c>
      <c r="AG9" s="212">
        <f t="shared" si="6"/>
        <v>0</v>
      </c>
      <c r="AH9" s="212">
        <v>0</v>
      </c>
      <c r="AI9" s="212">
        <v>0</v>
      </c>
      <c r="AJ9" s="212">
        <v>0</v>
      </c>
      <c r="AK9" s="213">
        <f t="shared" si="7"/>
        <v>598.84</v>
      </c>
      <c r="AL9" s="210">
        <f t="shared" si="8"/>
        <v>0</v>
      </c>
      <c r="AM9" s="235">
        <f t="shared" si="17"/>
        <v>0</v>
      </c>
      <c r="AN9" s="235">
        <f t="shared" si="9"/>
        <v>0</v>
      </c>
      <c r="AO9" s="213">
        <f t="shared" si="18"/>
        <v>0.59884</v>
      </c>
      <c r="AP9" s="209">
        <f t="shared" si="10"/>
        <v>0.01871375</v>
      </c>
      <c r="AQ9" s="213">
        <f t="shared" si="19"/>
        <v>0.29942</v>
      </c>
      <c r="AR9" s="209">
        <f t="shared" si="11"/>
        <v>0.00623791666666667</v>
      </c>
      <c r="AS9" s="213">
        <f t="shared" si="20"/>
        <v>0</v>
      </c>
      <c r="AT9" s="211">
        <v>0</v>
      </c>
      <c r="AU9" s="211"/>
      <c r="AV9" s="237">
        <f t="shared" si="21"/>
        <v>0</v>
      </c>
      <c r="AW9" s="213"/>
      <c r="AX9" s="213"/>
      <c r="AY9" s="238"/>
      <c r="AZ9" s="238"/>
      <c r="BA9" s="213"/>
      <c r="BB9" s="238"/>
      <c r="BC9" s="238"/>
      <c r="BD9" s="213"/>
      <c r="BE9" s="213"/>
      <c r="BF9" s="213"/>
      <c r="BG9" s="213"/>
      <c r="BH9" s="213"/>
      <c r="BI9" s="213"/>
      <c r="BJ9" s="211"/>
      <c r="BP9" s="241"/>
    </row>
    <row r="10" s="191" customFormat="1" ht="15" customHeight="1" spans="1:68">
      <c r="A10" s="214">
        <v>5</v>
      </c>
      <c r="B10" s="215" t="s">
        <v>86</v>
      </c>
      <c r="C10" s="215" t="s">
        <v>86</v>
      </c>
      <c r="D10" s="215" t="s">
        <v>87</v>
      </c>
      <c r="E10" s="215" t="s">
        <v>88</v>
      </c>
      <c r="F10" s="216">
        <v>564.23</v>
      </c>
      <c r="G10" s="217">
        <f t="shared" si="0"/>
        <v>50.598496250607</v>
      </c>
      <c r="H10" s="209">
        <f t="shared" si="12"/>
        <v>28549.18953948</v>
      </c>
      <c r="I10" s="226">
        <v>2</v>
      </c>
      <c r="J10" s="209">
        <f t="shared" si="13"/>
        <v>7521.661664</v>
      </c>
      <c r="K10" s="209">
        <f t="shared" si="14"/>
        <v>4136.281664</v>
      </c>
      <c r="L10" s="215">
        <v>2</v>
      </c>
      <c r="M10" s="209">
        <f t="shared" si="1"/>
        <v>1128.46</v>
      </c>
      <c r="N10" s="216">
        <v>11269.850107</v>
      </c>
      <c r="O10" s="217">
        <f t="shared" si="2"/>
        <v>3385.38</v>
      </c>
      <c r="P10" s="217">
        <v>0</v>
      </c>
      <c r="Q10" s="209">
        <f t="shared" si="15"/>
        <v>4662.79798048</v>
      </c>
      <c r="R10" s="209">
        <f t="shared" si="3"/>
        <v>0</v>
      </c>
      <c r="S10" s="209">
        <v>0</v>
      </c>
      <c r="T10" s="216">
        <v>0</v>
      </c>
      <c r="U10" s="215">
        <v>0</v>
      </c>
      <c r="V10" s="217"/>
      <c r="W10" s="216">
        <v>4136.281664</v>
      </c>
      <c r="X10" s="216">
        <v>0</v>
      </c>
      <c r="Y10" s="217">
        <f t="shared" si="4"/>
        <v>0</v>
      </c>
      <c r="Z10" s="209">
        <f t="shared" si="5"/>
        <v>29.878034</v>
      </c>
      <c r="AA10" s="216">
        <v>29.878034</v>
      </c>
      <c r="AB10" s="230">
        <v>0</v>
      </c>
      <c r="AC10" s="216">
        <v>0</v>
      </c>
      <c r="AD10" s="231">
        <v>0</v>
      </c>
      <c r="AE10" s="208">
        <f t="shared" si="16"/>
        <v>526.51631648</v>
      </c>
      <c r="AF10" s="216">
        <v>0</v>
      </c>
      <c r="AG10" s="208">
        <f t="shared" si="6"/>
        <v>12556.785384</v>
      </c>
      <c r="AH10" s="216">
        <v>0</v>
      </c>
      <c r="AI10" s="216">
        <v>0</v>
      </c>
      <c r="AJ10" s="216">
        <v>12556.785384</v>
      </c>
      <c r="AK10" s="217">
        <f t="shared" si="7"/>
        <v>1128.46</v>
      </c>
      <c r="AL10" s="206">
        <f t="shared" si="8"/>
        <v>0</v>
      </c>
      <c r="AM10" s="235">
        <f t="shared" si="17"/>
        <v>0</v>
      </c>
      <c r="AN10" s="235">
        <f t="shared" si="9"/>
        <v>0</v>
      </c>
      <c r="AO10" s="209">
        <f t="shared" si="18"/>
        <v>2.25692</v>
      </c>
      <c r="AP10" s="209">
        <f t="shared" si="10"/>
        <v>0.07052875</v>
      </c>
      <c r="AQ10" s="209">
        <f t="shared" si="19"/>
        <v>1.12846</v>
      </c>
      <c r="AR10" s="209">
        <f t="shared" si="11"/>
        <v>0.0235095833333333</v>
      </c>
      <c r="AS10" s="209">
        <f t="shared" si="20"/>
        <v>0</v>
      </c>
      <c r="AT10" s="215">
        <v>8</v>
      </c>
      <c r="AU10" s="215" t="s">
        <v>89</v>
      </c>
      <c r="AV10" s="237">
        <f t="shared" si="21"/>
        <v>0</v>
      </c>
      <c r="AW10" s="209"/>
      <c r="AX10" s="209"/>
      <c r="AY10" s="237"/>
      <c r="AZ10" s="217"/>
      <c r="BA10" s="209"/>
      <c r="BB10" s="237"/>
      <c r="BC10" s="237"/>
      <c r="BD10" s="217"/>
      <c r="BE10" s="209"/>
      <c r="BF10" s="217"/>
      <c r="BG10" s="209"/>
      <c r="BH10" s="209"/>
      <c r="BI10" s="209"/>
      <c r="BJ10" s="215"/>
      <c r="BP10" s="242"/>
    </row>
    <row r="11" s="191" customFormat="1" ht="15" customHeight="1" spans="1:68">
      <c r="A11" s="214">
        <v>6</v>
      </c>
      <c r="B11" s="215" t="s">
        <v>86</v>
      </c>
      <c r="C11" s="215" t="s">
        <v>86</v>
      </c>
      <c r="D11" s="215" t="s">
        <v>90</v>
      </c>
      <c r="E11" s="215" t="s">
        <v>91</v>
      </c>
      <c r="F11" s="216">
        <v>209.42</v>
      </c>
      <c r="G11" s="217">
        <f t="shared" si="0"/>
        <v>58.1543908614746</v>
      </c>
      <c r="H11" s="209">
        <f t="shared" si="12"/>
        <v>12178.69253421</v>
      </c>
      <c r="I11" s="226">
        <v>2</v>
      </c>
      <c r="J11" s="209">
        <f t="shared" si="13"/>
        <v>2111.177403</v>
      </c>
      <c r="K11" s="209">
        <f t="shared" si="14"/>
        <v>854.657403</v>
      </c>
      <c r="L11" s="215">
        <v>2</v>
      </c>
      <c r="M11" s="209">
        <f t="shared" si="1"/>
        <v>418.84</v>
      </c>
      <c r="N11" s="216">
        <v>5228.628429</v>
      </c>
      <c r="O11" s="217">
        <f t="shared" si="2"/>
        <v>1256.52</v>
      </c>
      <c r="P11" s="217">
        <v>0</v>
      </c>
      <c r="Q11" s="209">
        <f t="shared" si="15"/>
        <v>1002.43982121</v>
      </c>
      <c r="R11" s="209">
        <f t="shared" si="3"/>
        <v>0</v>
      </c>
      <c r="S11" s="209">
        <v>0</v>
      </c>
      <c r="T11" s="216">
        <v>0</v>
      </c>
      <c r="U11" s="215">
        <v>0</v>
      </c>
      <c r="V11" s="217"/>
      <c r="W11" s="216">
        <v>854.657403</v>
      </c>
      <c r="X11" s="216">
        <v>0</v>
      </c>
      <c r="Y11" s="217">
        <f t="shared" si="4"/>
        <v>0</v>
      </c>
      <c r="Z11" s="209">
        <f t="shared" si="5"/>
        <v>0</v>
      </c>
      <c r="AA11" s="216">
        <v>0</v>
      </c>
      <c r="AB11" s="230">
        <v>0</v>
      </c>
      <c r="AC11" s="216">
        <v>0</v>
      </c>
      <c r="AD11" s="231">
        <v>0</v>
      </c>
      <c r="AE11" s="208">
        <f t="shared" si="16"/>
        <v>147.78241821</v>
      </c>
      <c r="AF11" s="216">
        <v>0</v>
      </c>
      <c r="AG11" s="208">
        <f t="shared" si="6"/>
        <v>5947.624284</v>
      </c>
      <c r="AH11" s="216">
        <v>284.704979</v>
      </c>
      <c r="AI11" s="216">
        <v>0</v>
      </c>
      <c r="AJ11" s="216">
        <v>5662.919305</v>
      </c>
      <c r="AK11" s="217">
        <f t="shared" si="7"/>
        <v>418.84</v>
      </c>
      <c r="AL11" s="206">
        <f t="shared" si="8"/>
        <v>0</v>
      </c>
      <c r="AM11" s="235">
        <f t="shared" si="17"/>
        <v>0</v>
      </c>
      <c r="AN11" s="235">
        <f t="shared" si="9"/>
        <v>0</v>
      </c>
      <c r="AO11" s="209">
        <f t="shared" si="18"/>
        <v>0.83768</v>
      </c>
      <c r="AP11" s="209">
        <f t="shared" si="10"/>
        <v>0.0261775</v>
      </c>
      <c r="AQ11" s="209">
        <f t="shared" si="19"/>
        <v>0.41884</v>
      </c>
      <c r="AR11" s="209">
        <f t="shared" si="11"/>
        <v>0.00872583333333333</v>
      </c>
      <c r="AS11" s="209">
        <f t="shared" si="20"/>
        <v>0</v>
      </c>
      <c r="AT11" s="215">
        <v>2</v>
      </c>
      <c r="AU11" s="215" t="s">
        <v>89</v>
      </c>
      <c r="AV11" s="237">
        <f t="shared" si="21"/>
        <v>0</v>
      </c>
      <c r="AW11" s="209"/>
      <c r="AX11" s="209"/>
      <c r="AY11" s="237"/>
      <c r="AZ11" s="217"/>
      <c r="BA11" s="209"/>
      <c r="BB11" s="237"/>
      <c r="BC11" s="237"/>
      <c r="BD11" s="217"/>
      <c r="BE11" s="209"/>
      <c r="BF11" s="217"/>
      <c r="BG11" s="209"/>
      <c r="BH11" s="209"/>
      <c r="BI11" s="209"/>
      <c r="BJ11" s="215"/>
      <c r="BP11" s="242"/>
    </row>
    <row r="12" s="191" customFormat="1" ht="15" customHeight="1" spans="1:68">
      <c r="A12" s="214">
        <v>7</v>
      </c>
      <c r="B12" s="215" t="s">
        <v>86</v>
      </c>
      <c r="C12" s="215" t="s">
        <v>86</v>
      </c>
      <c r="D12" s="215" t="s">
        <v>92</v>
      </c>
      <c r="E12" s="215" t="s">
        <v>87</v>
      </c>
      <c r="F12" s="216">
        <v>201.7</v>
      </c>
      <c r="G12" s="217">
        <f t="shared" si="0"/>
        <v>44.9283215179475</v>
      </c>
      <c r="H12" s="209">
        <f t="shared" si="12"/>
        <v>9062.04245017</v>
      </c>
      <c r="I12" s="226">
        <v>2</v>
      </c>
      <c r="J12" s="209">
        <f t="shared" si="13"/>
        <v>2962.522031</v>
      </c>
      <c r="K12" s="209">
        <f t="shared" si="14"/>
        <v>1022.553767</v>
      </c>
      <c r="L12" s="215">
        <v>2</v>
      </c>
      <c r="M12" s="209">
        <f t="shared" si="1"/>
        <v>403.4</v>
      </c>
      <c r="N12" s="216">
        <v>3317.975494</v>
      </c>
      <c r="O12" s="217">
        <f t="shared" si="2"/>
        <v>1210.2</v>
      </c>
      <c r="P12" s="217">
        <v>0</v>
      </c>
      <c r="Q12" s="209">
        <f t="shared" si="15"/>
        <v>1229.93030917</v>
      </c>
      <c r="R12" s="209">
        <f t="shared" si="3"/>
        <v>3</v>
      </c>
      <c r="S12" s="209">
        <v>0</v>
      </c>
      <c r="T12" s="216">
        <v>729.768264</v>
      </c>
      <c r="U12" s="215">
        <v>1</v>
      </c>
      <c r="V12" s="217"/>
      <c r="W12" s="216">
        <v>1022.553767</v>
      </c>
      <c r="X12" s="216">
        <v>0</v>
      </c>
      <c r="Y12" s="217">
        <f t="shared" si="4"/>
        <v>0</v>
      </c>
      <c r="Z12" s="209">
        <f t="shared" si="5"/>
        <v>289.578325</v>
      </c>
      <c r="AA12" s="216">
        <v>0</v>
      </c>
      <c r="AB12" s="230">
        <v>289.578325</v>
      </c>
      <c r="AC12" s="216">
        <v>0</v>
      </c>
      <c r="AD12" s="231">
        <v>0</v>
      </c>
      <c r="AE12" s="208">
        <f t="shared" si="16"/>
        <v>207.37654217</v>
      </c>
      <c r="AF12" s="216">
        <v>0</v>
      </c>
      <c r="AG12" s="208">
        <f t="shared" si="6"/>
        <v>3205.211733</v>
      </c>
      <c r="AH12" s="216">
        <v>0</v>
      </c>
      <c r="AI12" s="216">
        <v>0</v>
      </c>
      <c r="AJ12" s="216">
        <v>3205.211733</v>
      </c>
      <c r="AK12" s="217">
        <f t="shared" si="7"/>
        <v>403.4</v>
      </c>
      <c r="AL12" s="206">
        <f t="shared" si="8"/>
        <v>0</v>
      </c>
      <c r="AM12" s="235">
        <f t="shared" si="17"/>
        <v>0</v>
      </c>
      <c r="AN12" s="235">
        <f t="shared" si="9"/>
        <v>0</v>
      </c>
      <c r="AO12" s="209">
        <f t="shared" si="18"/>
        <v>0.8068</v>
      </c>
      <c r="AP12" s="209">
        <f t="shared" si="10"/>
        <v>0.0252125</v>
      </c>
      <c r="AQ12" s="209">
        <f t="shared" si="19"/>
        <v>0.4034</v>
      </c>
      <c r="AR12" s="209">
        <f t="shared" si="11"/>
        <v>0.00840416666666667</v>
      </c>
      <c r="AS12" s="209">
        <f t="shared" si="20"/>
        <v>0.4034</v>
      </c>
      <c r="AT12" s="215">
        <v>6</v>
      </c>
      <c r="AU12" s="215" t="s">
        <v>89</v>
      </c>
      <c r="AV12" s="237">
        <f t="shared" si="21"/>
        <v>0</v>
      </c>
      <c r="AW12" s="209"/>
      <c r="AX12" s="209"/>
      <c r="AY12" s="237"/>
      <c r="AZ12" s="217"/>
      <c r="BA12" s="209"/>
      <c r="BB12" s="237"/>
      <c r="BC12" s="237"/>
      <c r="BD12" s="217"/>
      <c r="BE12" s="209"/>
      <c r="BF12" s="217"/>
      <c r="BG12" s="209"/>
      <c r="BH12" s="209"/>
      <c r="BI12" s="209"/>
      <c r="BJ12" s="215"/>
      <c r="BP12" s="242"/>
    </row>
    <row r="13" s="191" customFormat="1" ht="15" customHeight="1" spans="1:68">
      <c r="A13" s="214">
        <v>8</v>
      </c>
      <c r="B13" s="215" t="s">
        <v>86</v>
      </c>
      <c r="C13" s="215" t="s">
        <v>86</v>
      </c>
      <c r="D13" s="215" t="s">
        <v>91</v>
      </c>
      <c r="E13" s="215" t="s">
        <v>92</v>
      </c>
      <c r="F13" s="216">
        <v>382.58</v>
      </c>
      <c r="G13" s="217">
        <f t="shared" si="0"/>
        <v>47.2530581189032</v>
      </c>
      <c r="H13" s="209">
        <f t="shared" si="12"/>
        <v>18078.07497513</v>
      </c>
      <c r="I13" s="226">
        <v>2</v>
      </c>
      <c r="J13" s="209">
        <f t="shared" si="13"/>
        <v>5062.197959</v>
      </c>
      <c r="K13" s="209">
        <f t="shared" si="14"/>
        <v>2255.759209</v>
      </c>
      <c r="L13" s="215">
        <v>2</v>
      </c>
      <c r="M13" s="209">
        <f t="shared" si="1"/>
        <v>765.16</v>
      </c>
      <c r="N13" s="216">
        <v>8582.799474</v>
      </c>
      <c r="O13" s="217">
        <f t="shared" si="2"/>
        <v>2295.48</v>
      </c>
      <c r="P13" s="217">
        <v>0</v>
      </c>
      <c r="Q13" s="209">
        <f t="shared" si="15"/>
        <v>2610.11306613</v>
      </c>
      <c r="R13" s="209">
        <f t="shared" si="3"/>
        <v>3</v>
      </c>
      <c r="S13" s="209">
        <v>0</v>
      </c>
      <c r="T13" s="216">
        <v>510.95875</v>
      </c>
      <c r="U13" s="215">
        <v>1</v>
      </c>
      <c r="V13" s="217"/>
      <c r="W13" s="216">
        <v>2255.759209</v>
      </c>
      <c r="X13" s="216">
        <v>0</v>
      </c>
      <c r="Y13" s="217">
        <f t="shared" si="4"/>
        <v>0</v>
      </c>
      <c r="Z13" s="209">
        <f t="shared" si="5"/>
        <v>167.747201</v>
      </c>
      <c r="AA13" s="216">
        <v>0</v>
      </c>
      <c r="AB13" s="230">
        <v>167.747201</v>
      </c>
      <c r="AC13" s="216">
        <v>0</v>
      </c>
      <c r="AD13" s="231">
        <v>0</v>
      </c>
      <c r="AE13" s="208">
        <f t="shared" si="16"/>
        <v>354.35385713</v>
      </c>
      <c r="AF13" s="216">
        <v>0</v>
      </c>
      <c r="AG13" s="208">
        <f t="shared" si="6"/>
        <v>6038.709283</v>
      </c>
      <c r="AH13" s="216">
        <v>713.635261</v>
      </c>
      <c r="AI13" s="216">
        <v>0</v>
      </c>
      <c r="AJ13" s="216">
        <v>5325.074022</v>
      </c>
      <c r="AK13" s="217">
        <f t="shared" si="7"/>
        <v>765.16</v>
      </c>
      <c r="AL13" s="206">
        <f t="shared" si="8"/>
        <v>0</v>
      </c>
      <c r="AM13" s="235">
        <f t="shared" si="17"/>
        <v>0</v>
      </c>
      <c r="AN13" s="235">
        <f t="shared" si="9"/>
        <v>0</v>
      </c>
      <c r="AO13" s="209">
        <f t="shared" si="18"/>
        <v>1.53032</v>
      </c>
      <c r="AP13" s="209">
        <f t="shared" si="10"/>
        <v>0.0478225</v>
      </c>
      <c r="AQ13" s="209">
        <f t="shared" si="19"/>
        <v>0.76516</v>
      </c>
      <c r="AR13" s="209">
        <f t="shared" si="11"/>
        <v>0.0159408333333333</v>
      </c>
      <c r="AS13" s="209">
        <f t="shared" si="20"/>
        <v>0.76516</v>
      </c>
      <c r="AT13" s="215">
        <v>6</v>
      </c>
      <c r="AU13" s="215" t="s">
        <v>89</v>
      </c>
      <c r="AV13" s="237">
        <f t="shared" si="21"/>
        <v>0</v>
      </c>
      <c r="AW13" s="209"/>
      <c r="AX13" s="209"/>
      <c r="AY13" s="237"/>
      <c r="AZ13" s="217"/>
      <c r="BA13" s="209"/>
      <c r="BB13" s="237"/>
      <c r="BC13" s="237"/>
      <c r="BD13" s="217"/>
      <c r="BE13" s="209"/>
      <c r="BF13" s="217"/>
      <c r="BG13" s="209"/>
      <c r="BH13" s="209"/>
      <c r="BI13" s="209"/>
      <c r="BJ13" s="215"/>
      <c r="BP13" s="242"/>
    </row>
    <row r="14" s="191" customFormat="1" ht="15" customHeight="1" spans="1:68">
      <c r="A14" s="214">
        <v>9</v>
      </c>
      <c r="B14" s="215" t="s">
        <v>86</v>
      </c>
      <c r="C14" s="215" t="s">
        <v>86</v>
      </c>
      <c r="D14" s="215" t="s">
        <v>88</v>
      </c>
      <c r="E14" s="215" t="s">
        <v>93</v>
      </c>
      <c r="F14" s="216">
        <v>466.36</v>
      </c>
      <c r="G14" s="217">
        <f t="shared" si="0"/>
        <v>57.2857067954584</v>
      </c>
      <c r="H14" s="209">
        <f t="shared" si="12"/>
        <v>26715.76222113</v>
      </c>
      <c r="I14" s="226">
        <v>2</v>
      </c>
      <c r="J14" s="209">
        <f t="shared" si="13"/>
        <v>6411.611659</v>
      </c>
      <c r="K14" s="209">
        <f t="shared" si="14"/>
        <v>3510.077572</v>
      </c>
      <c r="L14" s="215">
        <v>2</v>
      </c>
      <c r="M14" s="209">
        <f t="shared" si="1"/>
        <v>932.72</v>
      </c>
      <c r="N14" s="216">
        <v>9914.830794</v>
      </c>
      <c r="O14" s="217">
        <f t="shared" si="2"/>
        <v>2798.16</v>
      </c>
      <c r="P14" s="217">
        <v>0</v>
      </c>
      <c r="Q14" s="209">
        <f t="shared" si="15"/>
        <v>3958.89038813</v>
      </c>
      <c r="R14" s="209">
        <f t="shared" si="3"/>
        <v>6</v>
      </c>
      <c r="S14" s="209">
        <v>0</v>
      </c>
      <c r="T14" s="216">
        <v>103.374087</v>
      </c>
      <c r="U14" s="215">
        <v>2</v>
      </c>
      <c r="V14" s="217"/>
      <c r="W14" s="216">
        <v>2826.321434</v>
      </c>
      <c r="X14" s="216">
        <v>341.878069</v>
      </c>
      <c r="Y14" s="217">
        <f t="shared" si="4"/>
        <v>683.756138</v>
      </c>
      <c r="Z14" s="209">
        <f t="shared" si="5"/>
        <v>0</v>
      </c>
      <c r="AA14" s="216">
        <v>0</v>
      </c>
      <c r="AB14" s="230">
        <v>0</v>
      </c>
      <c r="AC14" s="216">
        <v>0</v>
      </c>
      <c r="AD14" s="231">
        <v>0</v>
      </c>
      <c r="AE14" s="208">
        <f t="shared" si="16"/>
        <v>448.81281613</v>
      </c>
      <c r="AF14" s="216">
        <v>1157.399529</v>
      </c>
      <c r="AG14" s="208">
        <f t="shared" si="6"/>
        <v>11581.267423</v>
      </c>
      <c r="AH14" s="216">
        <v>0</v>
      </c>
      <c r="AI14" s="216">
        <v>51.738035</v>
      </c>
      <c r="AJ14" s="216">
        <v>11529.529388</v>
      </c>
      <c r="AK14" s="217">
        <f t="shared" si="7"/>
        <v>932.72</v>
      </c>
      <c r="AL14" s="206">
        <f t="shared" si="8"/>
        <v>0</v>
      </c>
      <c r="AM14" s="235">
        <f t="shared" si="17"/>
        <v>0</v>
      </c>
      <c r="AN14" s="235">
        <f t="shared" si="9"/>
        <v>0</v>
      </c>
      <c r="AO14" s="209">
        <f t="shared" si="18"/>
        <v>1.86544</v>
      </c>
      <c r="AP14" s="209">
        <f t="shared" si="10"/>
        <v>0.058295</v>
      </c>
      <c r="AQ14" s="209">
        <f t="shared" si="19"/>
        <v>0.93272</v>
      </c>
      <c r="AR14" s="209">
        <f t="shared" si="11"/>
        <v>0.0194316666666667</v>
      </c>
      <c r="AS14" s="209">
        <f t="shared" si="20"/>
        <v>1.86544</v>
      </c>
      <c r="AT14" s="215">
        <v>6</v>
      </c>
      <c r="AU14" s="215" t="s">
        <v>89</v>
      </c>
      <c r="AV14" s="237">
        <f t="shared" si="21"/>
        <v>0</v>
      </c>
      <c r="AW14" s="209"/>
      <c r="AX14" s="209"/>
      <c r="AY14" s="237"/>
      <c r="AZ14" s="217"/>
      <c r="BA14" s="209"/>
      <c r="BB14" s="237"/>
      <c r="BC14" s="237"/>
      <c r="BD14" s="217"/>
      <c r="BE14" s="209"/>
      <c r="BF14" s="217"/>
      <c r="BG14" s="209"/>
      <c r="BH14" s="209"/>
      <c r="BI14" s="209"/>
      <c r="BJ14" s="215"/>
      <c r="BP14" s="242"/>
    </row>
    <row r="15" s="189" customFormat="1" ht="15" customHeight="1" spans="1:68">
      <c r="A15" s="206">
        <v>10</v>
      </c>
      <c r="B15" s="207" t="s">
        <v>94</v>
      </c>
      <c r="C15" s="207" t="s">
        <v>94</v>
      </c>
      <c r="D15" s="207" t="s">
        <v>86</v>
      </c>
      <c r="E15" s="207" t="s">
        <v>95</v>
      </c>
      <c r="F15" s="208">
        <v>92.56</v>
      </c>
      <c r="G15" s="209">
        <f t="shared" si="0"/>
        <v>15.8543530898876</v>
      </c>
      <c r="H15" s="209">
        <f t="shared" si="12"/>
        <v>1467.478922</v>
      </c>
      <c r="I15" s="207">
        <v>3</v>
      </c>
      <c r="J15" s="209">
        <f t="shared" si="13"/>
        <v>844.8589</v>
      </c>
      <c r="K15" s="209">
        <f t="shared" si="14"/>
        <v>289.4989</v>
      </c>
      <c r="L15" s="207">
        <v>2</v>
      </c>
      <c r="M15" s="209">
        <f t="shared" si="1"/>
        <v>185.12</v>
      </c>
      <c r="N15" s="208">
        <v>746.214524</v>
      </c>
      <c r="O15" s="209">
        <f t="shared" si="2"/>
        <v>555.36</v>
      </c>
      <c r="P15" s="209">
        <v>0</v>
      </c>
      <c r="Q15" s="209">
        <f t="shared" si="15"/>
        <v>340.190434</v>
      </c>
      <c r="R15" s="209">
        <f t="shared" si="3"/>
        <v>0</v>
      </c>
      <c r="S15" s="209">
        <v>0</v>
      </c>
      <c r="T15" s="208">
        <v>0</v>
      </c>
      <c r="U15" s="207">
        <v>0</v>
      </c>
      <c r="V15" s="209"/>
      <c r="W15" s="208">
        <v>289.4989</v>
      </c>
      <c r="X15" s="208">
        <v>0</v>
      </c>
      <c r="Y15" s="209">
        <f t="shared" si="4"/>
        <v>0</v>
      </c>
      <c r="Z15" s="209">
        <f t="shared" si="5"/>
        <v>0</v>
      </c>
      <c r="AA15" s="208">
        <v>0</v>
      </c>
      <c r="AB15" s="228">
        <v>0</v>
      </c>
      <c r="AC15" s="208">
        <v>0</v>
      </c>
      <c r="AD15" s="229">
        <v>0</v>
      </c>
      <c r="AE15" s="208">
        <f t="shared" si="16"/>
        <v>50.691534</v>
      </c>
      <c r="AF15" s="208">
        <v>0</v>
      </c>
      <c r="AG15" s="208">
        <f t="shared" si="6"/>
        <v>381.073964</v>
      </c>
      <c r="AH15" s="208">
        <v>0</v>
      </c>
      <c r="AI15" s="208">
        <v>0</v>
      </c>
      <c r="AJ15" s="208">
        <v>381.073964</v>
      </c>
      <c r="AK15" s="209">
        <f t="shared" si="7"/>
        <v>185.12</v>
      </c>
      <c r="AL15" s="206">
        <f t="shared" si="8"/>
        <v>0</v>
      </c>
      <c r="AM15" s="235">
        <f t="shared" si="17"/>
        <v>0</v>
      </c>
      <c r="AN15" s="235">
        <f t="shared" si="9"/>
        <v>0</v>
      </c>
      <c r="AO15" s="209">
        <f t="shared" si="18"/>
        <v>0.18512</v>
      </c>
      <c r="AP15" s="209">
        <f t="shared" si="10"/>
        <v>0.005785</v>
      </c>
      <c r="AQ15" s="209">
        <f t="shared" si="19"/>
        <v>0.09256</v>
      </c>
      <c r="AR15" s="209">
        <f t="shared" si="11"/>
        <v>0.00192833333333333</v>
      </c>
      <c r="AS15" s="209">
        <f t="shared" si="20"/>
        <v>0</v>
      </c>
      <c r="AT15" s="207">
        <v>0</v>
      </c>
      <c r="AU15" s="207"/>
      <c r="AV15" s="237">
        <f t="shared" si="21"/>
        <v>0</v>
      </c>
      <c r="AW15" s="209"/>
      <c r="AX15" s="209"/>
      <c r="AY15" s="237"/>
      <c r="AZ15" s="237"/>
      <c r="BA15" s="209"/>
      <c r="BB15" s="237"/>
      <c r="BC15" s="237"/>
      <c r="BD15" s="209"/>
      <c r="BE15" s="209"/>
      <c r="BF15" s="209"/>
      <c r="BG15" s="209"/>
      <c r="BH15" s="209"/>
      <c r="BI15" s="209"/>
      <c r="BJ15" s="207"/>
      <c r="BP15" s="240"/>
    </row>
    <row r="16" s="190" customFormat="1" ht="15" customHeight="1" spans="1:68">
      <c r="A16" s="210">
        <v>11</v>
      </c>
      <c r="B16" s="207" t="s">
        <v>96</v>
      </c>
      <c r="C16" s="211" t="s">
        <v>96</v>
      </c>
      <c r="D16" s="211" t="s">
        <v>97</v>
      </c>
      <c r="E16" s="211" t="s">
        <v>98</v>
      </c>
      <c r="F16" s="212">
        <v>334.02</v>
      </c>
      <c r="G16" s="213">
        <f t="shared" si="0"/>
        <v>7.45668708221065</v>
      </c>
      <c r="H16" s="213">
        <f t="shared" si="12"/>
        <v>2490.6826192</v>
      </c>
      <c r="I16" s="211">
        <v>3</v>
      </c>
      <c r="J16" s="213">
        <f t="shared" si="13"/>
        <v>2286.86332</v>
      </c>
      <c r="K16" s="213">
        <f t="shared" si="14"/>
        <v>282.74332</v>
      </c>
      <c r="L16" s="207">
        <v>0</v>
      </c>
      <c r="M16" s="213">
        <f t="shared" si="1"/>
        <v>668.04</v>
      </c>
      <c r="N16" s="212">
        <v>1891.520006</v>
      </c>
      <c r="O16" s="213">
        <f t="shared" si="2"/>
        <v>2004.12</v>
      </c>
      <c r="P16" s="213">
        <v>0</v>
      </c>
      <c r="Q16" s="213">
        <f t="shared" si="15"/>
        <v>419.9551192</v>
      </c>
      <c r="R16" s="213">
        <f t="shared" si="3"/>
        <v>0</v>
      </c>
      <c r="S16" s="213">
        <v>0</v>
      </c>
      <c r="T16" s="212">
        <v>0</v>
      </c>
      <c r="U16" s="211">
        <v>0</v>
      </c>
      <c r="V16" s="213"/>
      <c r="W16" s="212">
        <v>282.74332</v>
      </c>
      <c r="X16" s="212">
        <v>0</v>
      </c>
      <c r="Y16" s="213">
        <f t="shared" si="4"/>
        <v>0</v>
      </c>
      <c r="Z16" s="213">
        <f t="shared" si="5"/>
        <v>0</v>
      </c>
      <c r="AA16" s="208">
        <v>0</v>
      </c>
      <c r="AB16" s="228">
        <v>0</v>
      </c>
      <c r="AC16" s="208">
        <v>0</v>
      </c>
      <c r="AD16" s="229">
        <v>0</v>
      </c>
      <c r="AE16" s="212">
        <f t="shared" si="16"/>
        <v>137.2117992</v>
      </c>
      <c r="AF16" s="212">
        <v>0</v>
      </c>
      <c r="AG16" s="212">
        <f t="shared" si="6"/>
        <v>179.207494</v>
      </c>
      <c r="AH16" s="212">
        <v>0</v>
      </c>
      <c r="AI16" s="212">
        <v>0</v>
      </c>
      <c r="AJ16" s="212">
        <v>179.207494</v>
      </c>
      <c r="AK16" s="213">
        <f t="shared" si="7"/>
        <v>668.04</v>
      </c>
      <c r="AL16" s="210">
        <f t="shared" si="8"/>
        <v>0</v>
      </c>
      <c r="AM16" s="235">
        <f t="shared" si="17"/>
        <v>0</v>
      </c>
      <c r="AN16" s="235">
        <f t="shared" si="9"/>
        <v>0</v>
      </c>
      <c r="AO16" s="213">
        <f t="shared" si="18"/>
        <v>0.66804</v>
      </c>
      <c r="AP16" s="209">
        <f t="shared" si="10"/>
        <v>0.02087625</v>
      </c>
      <c r="AQ16" s="213">
        <f t="shared" si="19"/>
        <v>0.33402</v>
      </c>
      <c r="AR16" s="209">
        <f t="shared" si="11"/>
        <v>0.00695875</v>
      </c>
      <c r="AS16" s="213">
        <f t="shared" si="20"/>
        <v>0</v>
      </c>
      <c r="AT16" s="211">
        <v>0</v>
      </c>
      <c r="AU16" s="211"/>
      <c r="AV16" s="237">
        <f t="shared" si="21"/>
        <v>0</v>
      </c>
      <c r="AW16" s="213"/>
      <c r="AX16" s="213"/>
      <c r="AY16" s="238"/>
      <c r="AZ16" s="238"/>
      <c r="BA16" s="213"/>
      <c r="BB16" s="238"/>
      <c r="BC16" s="238"/>
      <c r="BD16" s="213"/>
      <c r="BE16" s="213"/>
      <c r="BF16" s="213"/>
      <c r="BG16" s="213"/>
      <c r="BH16" s="213"/>
      <c r="BI16" s="213"/>
      <c r="BJ16" s="211"/>
      <c r="BP16" s="241"/>
    </row>
    <row r="17" s="190" customFormat="1" ht="15" customHeight="1" spans="1:68">
      <c r="A17" s="210">
        <v>12</v>
      </c>
      <c r="B17" s="207" t="s">
        <v>99</v>
      </c>
      <c r="C17" s="211" t="s">
        <v>99</v>
      </c>
      <c r="D17" s="211" t="s">
        <v>96</v>
      </c>
      <c r="E17" s="211" t="s">
        <v>98</v>
      </c>
      <c r="F17" s="212">
        <v>227.96</v>
      </c>
      <c r="G17" s="213">
        <f t="shared" si="0"/>
        <v>11.9666140150904</v>
      </c>
      <c r="H17" s="213">
        <f t="shared" si="12"/>
        <v>2727.90933088</v>
      </c>
      <c r="I17" s="211">
        <v>3</v>
      </c>
      <c r="J17" s="213">
        <f t="shared" si="13"/>
        <v>1800.352348</v>
      </c>
      <c r="K17" s="213">
        <f t="shared" si="14"/>
        <v>432.592348</v>
      </c>
      <c r="L17" s="207">
        <v>0</v>
      </c>
      <c r="M17" s="213">
        <f t="shared" si="1"/>
        <v>455.92</v>
      </c>
      <c r="N17" s="212">
        <v>1268.792536</v>
      </c>
      <c r="O17" s="213">
        <f t="shared" si="2"/>
        <v>1367.76</v>
      </c>
      <c r="P17" s="213">
        <v>0</v>
      </c>
      <c r="Q17" s="213">
        <f t="shared" si="15"/>
        <v>540.61348888</v>
      </c>
      <c r="R17" s="213">
        <f t="shared" si="3"/>
        <v>0</v>
      </c>
      <c r="S17" s="213">
        <v>0</v>
      </c>
      <c r="T17" s="212">
        <v>0</v>
      </c>
      <c r="U17" s="211">
        <v>0</v>
      </c>
      <c r="V17" s="213"/>
      <c r="W17" s="212">
        <v>432.592348</v>
      </c>
      <c r="X17" s="212">
        <v>0</v>
      </c>
      <c r="Y17" s="213">
        <f t="shared" si="4"/>
        <v>0</v>
      </c>
      <c r="Z17" s="213">
        <f t="shared" si="5"/>
        <v>0</v>
      </c>
      <c r="AA17" s="208">
        <v>0</v>
      </c>
      <c r="AB17" s="228">
        <v>0</v>
      </c>
      <c r="AC17" s="208">
        <v>0</v>
      </c>
      <c r="AD17" s="229">
        <v>0</v>
      </c>
      <c r="AE17" s="212">
        <f t="shared" si="16"/>
        <v>108.02114088</v>
      </c>
      <c r="AF17" s="212">
        <v>482.57101</v>
      </c>
      <c r="AG17" s="212">
        <f t="shared" si="6"/>
        <v>435.932296</v>
      </c>
      <c r="AH17" s="212">
        <v>0</v>
      </c>
      <c r="AI17" s="212">
        <v>0</v>
      </c>
      <c r="AJ17" s="212">
        <v>435.932296</v>
      </c>
      <c r="AK17" s="213">
        <f t="shared" si="7"/>
        <v>455.92</v>
      </c>
      <c r="AL17" s="210">
        <f t="shared" si="8"/>
        <v>0</v>
      </c>
      <c r="AM17" s="235">
        <f t="shared" si="17"/>
        <v>0</v>
      </c>
      <c r="AN17" s="235">
        <f t="shared" si="9"/>
        <v>0</v>
      </c>
      <c r="AO17" s="213">
        <f t="shared" si="18"/>
        <v>0.45592</v>
      </c>
      <c r="AP17" s="209">
        <f t="shared" si="10"/>
        <v>0.0142475</v>
      </c>
      <c r="AQ17" s="213">
        <f t="shared" si="19"/>
        <v>0.22796</v>
      </c>
      <c r="AR17" s="209">
        <f t="shared" si="11"/>
        <v>0.00474916666666667</v>
      </c>
      <c r="AS17" s="213">
        <f t="shared" si="20"/>
        <v>0</v>
      </c>
      <c r="AT17" s="211">
        <v>0</v>
      </c>
      <c r="AU17" s="211"/>
      <c r="AV17" s="237">
        <f t="shared" si="21"/>
        <v>0</v>
      </c>
      <c r="AW17" s="213"/>
      <c r="AX17" s="213"/>
      <c r="AY17" s="238"/>
      <c r="AZ17" s="238"/>
      <c r="BA17" s="213"/>
      <c r="BB17" s="238"/>
      <c r="BC17" s="238"/>
      <c r="BD17" s="213"/>
      <c r="BE17" s="213"/>
      <c r="BF17" s="213"/>
      <c r="BG17" s="213"/>
      <c r="BH17" s="213"/>
      <c r="BI17" s="213"/>
      <c r="BJ17" s="211"/>
      <c r="BP17" s="241"/>
    </row>
    <row r="18" s="190" customFormat="1" ht="15" customHeight="1" spans="1:68">
      <c r="A18" s="210">
        <v>13</v>
      </c>
      <c r="B18" s="207" t="s">
        <v>100</v>
      </c>
      <c r="C18" s="211" t="s">
        <v>100</v>
      </c>
      <c r="D18" s="211" t="s">
        <v>99</v>
      </c>
      <c r="E18" s="211" t="s">
        <v>97</v>
      </c>
      <c r="F18" s="212">
        <v>85.09</v>
      </c>
      <c r="G18" s="213">
        <f t="shared" si="0"/>
        <v>9.10534753954636</v>
      </c>
      <c r="H18" s="213">
        <f t="shared" si="12"/>
        <v>774.77402214</v>
      </c>
      <c r="I18" s="211">
        <v>3</v>
      </c>
      <c r="J18" s="213">
        <f t="shared" si="13"/>
        <v>829.881869</v>
      </c>
      <c r="K18" s="213">
        <f t="shared" si="14"/>
        <v>319.341869</v>
      </c>
      <c r="L18" s="207">
        <v>0</v>
      </c>
      <c r="M18" s="213">
        <f t="shared" si="1"/>
        <v>170.18</v>
      </c>
      <c r="N18" s="212">
        <v>405.639241</v>
      </c>
      <c r="O18" s="213">
        <f t="shared" si="2"/>
        <v>510.54</v>
      </c>
      <c r="P18" s="213">
        <v>0</v>
      </c>
      <c r="Q18" s="213">
        <f t="shared" si="15"/>
        <v>369.13478114</v>
      </c>
      <c r="R18" s="213">
        <f t="shared" si="3"/>
        <v>0</v>
      </c>
      <c r="S18" s="213">
        <v>0</v>
      </c>
      <c r="T18" s="212">
        <v>0</v>
      </c>
      <c r="U18" s="211">
        <v>0</v>
      </c>
      <c r="V18" s="213"/>
      <c r="W18" s="212">
        <v>319.341869</v>
      </c>
      <c r="X18" s="212">
        <v>0</v>
      </c>
      <c r="Y18" s="213">
        <f t="shared" si="4"/>
        <v>0</v>
      </c>
      <c r="Z18" s="213">
        <f t="shared" si="5"/>
        <v>0</v>
      </c>
      <c r="AA18" s="208">
        <v>0</v>
      </c>
      <c r="AB18" s="228">
        <v>0</v>
      </c>
      <c r="AC18" s="208">
        <v>0</v>
      </c>
      <c r="AD18" s="229">
        <v>0</v>
      </c>
      <c r="AE18" s="212">
        <f t="shared" si="16"/>
        <v>49.79291214</v>
      </c>
      <c r="AF18" s="212">
        <v>0</v>
      </c>
      <c r="AG18" s="212">
        <f t="shared" si="6"/>
        <v>0</v>
      </c>
      <c r="AH18" s="212">
        <v>0</v>
      </c>
      <c r="AI18" s="212">
        <v>0</v>
      </c>
      <c r="AJ18" s="212">
        <v>0</v>
      </c>
      <c r="AK18" s="213">
        <f t="shared" si="7"/>
        <v>170.18</v>
      </c>
      <c r="AL18" s="210">
        <f t="shared" si="8"/>
        <v>0</v>
      </c>
      <c r="AM18" s="235">
        <f t="shared" si="17"/>
        <v>0</v>
      </c>
      <c r="AN18" s="235">
        <f t="shared" si="9"/>
        <v>0</v>
      </c>
      <c r="AO18" s="213">
        <f t="shared" si="18"/>
        <v>0.17018</v>
      </c>
      <c r="AP18" s="209">
        <f t="shared" si="10"/>
        <v>0.005318125</v>
      </c>
      <c r="AQ18" s="213">
        <f t="shared" si="19"/>
        <v>0.08509</v>
      </c>
      <c r="AR18" s="209">
        <f t="shared" si="11"/>
        <v>0.00177270833333333</v>
      </c>
      <c r="AS18" s="213">
        <f t="shared" si="20"/>
        <v>0</v>
      </c>
      <c r="AT18" s="211">
        <v>0</v>
      </c>
      <c r="AU18" s="211"/>
      <c r="AV18" s="237">
        <f t="shared" si="21"/>
        <v>0</v>
      </c>
      <c r="AW18" s="213"/>
      <c r="AX18" s="213"/>
      <c r="AY18" s="238"/>
      <c r="AZ18" s="238"/>
      <c r="BA18" s="213"/>
      <c r="BB18" s="238"/>
      <c r="BC18" s="238"/>
      <c r="BD18" s="213"/>
      <c r="BE18" s="213"/>
      <c r="BF18" s="213"/>
      <c r="BG18" s="213"/>
      <c r="BH18" s="213"/>
      <c r="BI18" s="213"/>
      <c r="BJ18" s="211"/>
      <c r="BP18" s="241"/>
    </row>
    <row r="19" s="190" customFormat="1" ht="15" customHeight="1" spans="1:68">
      <c r="A19" s="210">
        <v>14</v>
      </c>
      <c r="B19" s="207" t="s">
        <v>101</v>
      </c>
      <c r="C19" s="211" t="s">
        <v>101</v>
      </c>
      <c r="D19" s="211" t="s">
        <v>102</v>
      </c>
      <c r="E19" s="211" t="s">
        <v>97</v>
      </c>
      <c r="F19" s="212">
        <v>120.58</v>
      </c>
      <c r="G19" s="213">
        <f t="shared" si="0"/>
        <v>9.79869573726986</v>
      </c>
      <c r="H19" s="213">
        <f t="shared" si="12"/>
        <v>1181.526732</v>
      </c>
      <c r="I19" s="211">
        <v>3</v>
      </c>
      <c r="J19" s="213">
        <f t="shared" si="13"/>
        <v>723.48</v>
      </c>
      <c r="K19" s="213">
        <f t="shared" si="14"/>
        <v>0</v>
      </c>
      <c r="L19" s="207">
        <v>0</v>
      </c>
      <c r="M19" s="213">
        <f t="shared" si="1"/>
        <v>241.16</v>
      </c>
      <c r="N19" s="212">
        <v>904.8165</v>
      </c>
      <c r="O19" s="213">
        <f t="shared" si="2"/>
        <v>723.48</v>
      </c>
      <c r="P19" s="213">
        <v>0</v>
      </c>
      <c r="Q19" s="213">
        <f t="shared" si="15"/>
        <v>43.4088</v>
      </c>
      <c r="R19" s="213">
        <f t="shared" si="3"/>
        <v>0</v>
      </c>
      <c r="S19" s="213">
        <v>0</v>
      </c>
      <c r="T19" s="212">
        <v>0</v>
      </c>
      <c r="U19" s="211">
        <v>0</v>
      </c>
      <c r="V19" s="213"/>
      <c r="W19" s="212">
        <v>0</v>
      </c>
      <c r="X19" s="212">
        <v>0</v>
      </c>
      <c r="Y19" s="213">
        <f t="shared" si="4"/>
        <v>0</v>
      </c>
      <c r="Z19" s="213">
        <f t="shared" si="5"/>
        <v>0</v>
      </c>
      <c r="AA19" s="208">
        <v>0</v>
      </c>
      <c r="AB19" s="228">
        <v>0</v>
      </c>
      <c r="AC19" s="208">
        <v>0</v>
      </c>
      <c r="AD19" s="229">
        <v>0</v>
      </c>
      <c r="AE19" s="212">
        <f t="shared" si="16"/>
        <v>43.4088</v>
      </c>
      <c r="AF19" s="212">
        <v>0</v>
      </c>
      <c r="AG19" s="212">
        <f t="shared" si="6"/>
        <v>233.301432</v>
      </c>
      <c r="AH19" s="212">
        <v>0</v>
      </c>
      <c r="AI19" s="212">
        <v>0</v>
      </c>
      <c r="AJ19" s="212">
        <v>233.301432</v>
      </c>
      <c r="AK19" s="213">
        <f t="shared" si="7"/>
        <v>241.16</v>
      </c>
      <c r="AL19" s="210">
        <f t="shared" si="8"/>
        <v>0</v>
      </c>
      <c r="AM19" s="235">
        <f t="shared" si="17"/>
        <v>0</v>
      </c>
      <c r="AN19" s="235">
        <f t="shared" si="9"/>
        <v>0</v>
      </c>
      <c r="AO19" s="213">
        <f t="shared" si="18"/>
        <v>0.24116</v>
      </c>
      <c r="AP19" s="209">
        <f t="shared" si="10"/>
        <v>0.00753625</v>
      </c>
      <c r="AQ19" s="213">
        <f t="shared" si="19"/>
        <v>0.12058</v>
      </c>
      <c r="AR19" s="209">
        <f t="shared" si="11"/>
        <v>0.00251208333333333</v>
      </c>
      <c r="AS19" s="213">
        <f t="shared" si="20"/>
        <v>0</v>
      </c>
      <c r="AT19" s="211">
        <v>0</v>
      </c>
      <c r="AU19" s="211"/>
      <c r="AV19" s="237">
        <f t="shared" si="21"/>
        <v>0</v>
      </c>
      <c r="AW19" s="213"/>
      <c r="AX19" s="213"/>
      <c r="AY19" s="238"/>
      <c r="AZ19" s="238"/>
      <c r="BA19" s="213"/>
      <c r="BB19" s="238"/>
      <c r="BC19" s="238"/>
      <c r="BD19" s="213"/>
      <c r="BE19" s="213"/>
      <c r="BF19" s="213"/>
      <c r="BG19" s="213"/>
      <c r="BH19" s="213"/>
      <c r="BI19" s="213"/>
      <c r="BJ19" s="211"/>
      <c r="BP19" s="241"/>
    </row>
    <row r="20" s="190" customFormat="1" ht="15" customHeight="1" spans="1:68">
      <c r="A20" s="210">
        <v>15</v>
      </c>
      <c r="B20" s="207" t="s">
        <v>103</v>
      </c>
      <c r="C20" s="211" t="s">
        <v>103</v>
      </c>
      <c r="D20" s="211" t="s">
        <v>104</v>
      </c>
      <c r="E20" s="211" t="s">
        <v>102</v>
      </c>
      <c r="F20" s="212">
        <v>53.91</v>
      </c>
      <c r="G20" s="213">
        <f t="shared" si="0"/>
        <v>7.00657842700798</v>
      </c>
      <c r="H20" s="213">
        <f t="shared" si="12"/>
        <v>377.724643</v>
      </c>
      <c r="I20" s="211">
        <v>3</v>
      </c>
      <c r="J20" s="213">
        <f t="shared" si="13"/>
        <v>323.46</v>
      </c>
      <c r="K20" s="213">
        <f t="shared" si="14"/>
        <v>0</v>
      </c>
      <c r="L20" s="207">
        <v>0</v>
      </c>
      <c r="M20" s="213">
        <f t="shared" si="1"/>
        <v>107.82</v>
      </c>
      <c r="N20" s="212">
        <v>330.052091</v>
      </c>
      <c r="O20" s="213">
        <f t="shared" si="2"/>
        <v>323.46</v>
      </c>
      <c r="P20" s="213">
        <v>0</v>
      </c>
      <c r="Q20" s="213">
        <f t="shared" si="15"/>
        <v>19.4076</v>
      </c>
      <c r="R20" s="213">
        <f t="shared" si="3"/>
        <v>0</v>
      </c>
      <c r="S20" s="213">
        <v>0</v>
      </c>
      <c r="T20" s="212">
        <v>0</v>
      </c>
      <c r="U20" s="211">
        <v>0</v>
      </c>
      <c r="V20" s="213"/>
      <c r="W20" s="212">
        <v>0</v>
      </c>
      <c r="X20" s="212">
        <v>0</v>
      </c>
      <c r="Y20" s="213">
        <f t="shared" si="4"/>
        <v>0</v>
      </c>
      <c r="Z20" s="213">
        <f t="shared" si="5"/>
        <v>0</v>
      </c>
      <c r="AA20" s="208">
        <v>0</v>
      </c>
      <c r="AB20" s="228">
        <v>0</v>
      </c>
      <c r="AC20" s="208">
        <v>0</v>
      </c>
      <c r="AD20" s="229">
        <v>0</v>
      </c>
      <c r="AE20" s="212">
        <f t="shared" si="16"/>
        <v>19.4076</v>
      </c>
      <c r="AF20" s="212">
        <v>0</v>
      </c>
      <c r="AG20" s="212">
        <f t="shared" si="6"/>
        <v>28.264952</v>
      </c>
      <c r="AH20" s="212">
        <v>0</v>
      </c>
      <c r="AI20" s="212">
        <v>0</v>
      </c>
      <c r="AJ20" s="212">
        <v>28.264952</v>
      </c>
      <c r="AK20" s="213">
        <f t="shared" si="7"/>
        <v>107.82</v>
      </c>
      <c r="AL20" s="210">
        <f t="shared" si="8"/>
        <v>0</v>
      </c>
      <c r="AM20" s="235">
        <f t="shared" si="17"/>
        <v>0</v>
      </c>
      <c r="AN20" s="235">
        <f t="shared" si="9"/>
        <v>0</v>
      </c>
      <c r="AO20" s="213">
        <f t="shared" si="18"/>
        <v>0.10782</v>
      </c>
      <c r="AP20" s="209">
        <f t="shared" si="10"/>
        <v>0.003369375</v>
      </c>
      <c r="AQ20" s="213">
        <f t="shared" si="19"/>
        <v>0.05391</v>
      </c>
      <c r="AR20" s="209">
        <f t="shared" si="11"/>
        <v>0.001123125</v>
      </c>
      <c r="AS20" s="213">
        <f t="shared" si="20"/>
        <v>0</v>
      </c>
      <c r="AT20" s="211">
        <v>0</v>
      </c>
      <c r="AU20" s="211"/>
      <c r="AV20" s="237">
        <f t="shared" si="21"/>
        <v>0</v>
      </c>
      <c r="AW20" s="213"/>
      <c r="AX20" s="213"/>
      <c r="AY20" s="238"/>
      <c r="AZ20" s="238"/>
      <c r="BA20" s="213"/>
      <c r="BB20" s="238"/>
      <c r="BC20" s="238"/>
      <c r="BD20" s="213"/>
      <c r="BE20" s="213"/>
      <c r="BF20" s="213"/>
      <c r="BG20" s="213"/>
      <c r="BH20" s="213"/>
      <c r="BI20" s="213"/>
      <c r="BJ20" s="211"/>
      <c r="BP20" s="241"/>
    </row>
    <row r="21" s="190" customFormat="1" ht="15" customHeight="1" spans="1:68">
      <c r="A21" s="210">
        <v>16</v>
      </c>
      <c r="B21" s="207" t="s">
        <v>105</v>
      </c>
      <c r="C21" s="211" t="s">
        <v>105</v>
      </c>
      <c r="D21" s="211" t="s">
        <v>104</v>
      </c>
      <c r="E21" s="211" t="s">
        <v>101</v>
      </c>
      <c r="F21" s="212">
        <v>73.34</v>
      </c>
      <c r="G21" s="213">
        <f t="shared" si="0"/>
        <v>6.95736514862285</v>
      </c>
      <c r="H21" s="213">
        <f t="shared" si="12"/>
        <v>510.25316</v>
      </c>
      <c r="I21" s="211">
        <v>3</v>
      </c>
      <c r="J21" s="213">
        <f t="shared" si="13"/>
        <v>440.04</v>
      </c>
      <c r="K21" s="213">
        <f t="shared" si="14"/>
        <v>0</v>
      </c>
      <c r="L21" s="207">
        <v>0</v>
      </c>
      <c r="M21" s="213">
        <f t="shared" si="1"/>
        <v>146.68</v>
      </c>
      <c r="N21" s="212">
        <v>451.104304</v>
      </c>
      <c r="O21" s="213">
        <f t="shared" si="2"/>
        <v>440.04</v>
      </c>
      <c r="P21" s="213">
        <v>0</v>
      </c>
      <c r="Q21" s="213">
        <f t="shared" si="15"/>
        <v>26.4024</v>
      </c>
      <c r="R21" s="213">
        <f t="shared" si="3"/>
        <v>0</v>
      </c>
      <c r="S21" s="213">
        <v>0</v>
      </c>
      <c r="T21" s="212">
        <v>0</v>
      </c>
      <c r="U21" s="211">
        <v>0</v>
      </c>
      <c r="V21" s="213"/>
      <c r="W21" s="212">
        <v>0</v>
      </c>
      <c r="X21" s="212">
        <v>0</v>
      </c>
      <c r="Y21" s="213">
        <f t="shared" si="4"/>
        <v>0</v>
      </c>
      <c r="Z21" s="213">
        <f t="shared" si="5"/>
        <v>0</v>
      </c>
      <c r="AA21" s="208">
        <v>0</v>
      </c>
      <c r="AB21" s="228">
        <v>0</v>
      </c>
      <c r="AC21" s="208">
        <v>0</v>
      </c>
      <c r="AD21" s="229">
        <v>0</v>
      </c>
      <c r="AE21" s="212">
        <f t="shared" si="16"/>
        <v>26.4024</v>
      </c>
      <c r="AF21" s="212">
        <v>0</v>
      </c>
      <c r="AG21" s="212">
        <f t="shared" si="6"/>
        <v>32.746456</v>
      </c>
      <c r="AH21" s="212">
        <v>0</v>
      </c>
      <c r="AI21" s="212">
        <v>0</v>
      </c>
      <c r="AJ21" s="212">
        <v>32.746456</v>
      </c>
      <c r="AK21" s="213">
        <f t="shared" si="7"/>
        <v>146.68</v>
      </c>
      <c r="AL21" s="210">
        <f t="shared" si="8"/>
        <v>0</v>
      </c>
      <c r="AM21" s="235">
        <f t="shared" si="17"/>
        <v>0</v>
      </c>
      <c r="AN21" s="235">
        <f t="shared" si="9"/>
        <v>0</v>
      </c>
      <c r="AO21" s="213">
        <f t="shared" si="18"/>
        <v>0.14668</v>
      </c>
      <c r="AP21" s="209">
        <f t="shared" si="10"/>
        <v>0.00458375</v>
      </c>
      <c r="AQ21" s="213">
        <f t="shared" si="19"/>
        <v>0.07334</v>
      </c>
      <c r="AR21" s="209">
        <f t="shared" si="11"/>
        <v>0.00152791666666667</v>
      </c>
      <c r="AS21" s="213">
        <f t="shared" si="20"/>
        <v>0</v>
      </c>
      <c r="AT21" s="211">
        <v>0</v>
      </c>
      <c r="AU21" s="211"/>
      <c r="AV21" s="237">
        <f t="shared" si="21"/>
        <v>0</v>
      </c>
      <c r="AW21" s="213"/>
      <c r="AX21" s="213"/>
      <c r="AY21" s="238"/>
      <c r="AZ21" s="238"/>
      <c r="BA21" s="213"/>
      <c r="BB21" s="238"/>
      <c r="BC21" s="238"/>
      <c r="BD21" s="213"/>
      <c r="BE21" s="213"/>
      <c r="BF21" s="213"/>
      <c r="BG21" s="213"/>
      <c r="BH21" s="213"/>
      <c r="BI21" s="213"/>
      <c r="BJ21" s="211"/>
      <c r="BP21" s="241"/>
    </row>
    <row r="22" s="190" customFormat="1" ht="15" customHeight="1" spans="1:68">
      <c r="A22" s="210">
        <v>17</v>
      </c>
      <c r="B22" s="207" t="s">
        <v>106</v>
      </c>
      <c r="C22" s="211" t="s">
        <v>106</v>
      </c>
      <c r="D22" s="211" t="s">
        <v>104</v>
      </c>
      <c r="E22" s="211" t="s">
        <v>101</v>
      </c>
      <c r="F22" s="212">
        <v>73.06</v>
      </c>
      <c r="G22" s="213">
        <f t="shared" si="0"/>
        <v>7.44740324390911</v>
      </c>
      <c r="H22" s="213">
        <f t="shared" si="12"/>
        <v>544.107281</v>
      </c>
      <c r="I22" s="211">
        <v>3</v>
      </c>
      <c r="J22" s="213">
        <f t="shared" si="13"/>
        <v>438.36</v>
      </c>
      <c r="K22" s="213">
        <f t="shared" si="14"/>
        <v>0</v>
      </c>
      <c r="L22" s="207">
        <v>0</v>
      </c>
      <c r="M22" s="213">
        <f t="shared" si="1"/>
        <v>146.12</v>
      </c>
      <c r="N22" s="212">
        <v>464.514824</v>
      </c>
      <c r="O22" s="213">
        <f t="shared" si="2"/>
        <v>438.36</v>
      </c>
      <c r="P22" s="213">
        <v>0</v>
      </c>
      <c r="Q22" s="213">
        <f t="shared" si="15"/>
        <v>26.3016</v>
      </c>
      <c r="R22" s="213">
        <f t="shared" si="3"/>
        <v>0</v>
      </c>
      <c r="S22" s="213">
        <v>0</v>
      </c>
      <c r="T22" s="212">
        <v>0</v>
      </c>
      <c r="U22" s="211">
        <v>0</v>
      </c>
      <c r="V22" s="213"/>
      <c r="W22" s="212">
        <v>0</v>
      </c>
      <c r="X22" s="212">
        <v>0</v>
      </c>
      <c r="Y22" s="213">
        <f t="shared" si="4"/>
        <v>0</v>
      </c>
      <c r="Z22" s="213">
        <f t="shared" si="5"/>
        <v>0</v>
      </c>
      <c r="AA22" s="208">
        <v>0</v>
      </c>
      <c r="AB22" s="228">
        <v>0</v>
      </c>
      <c r="AC22" s="208">
        <v>0</v>
      </c>
      <c r="AD22" s="229">
        <v>0</v>
      </c>
      <c r="AE22" s="212">
        <f t="shared" si="16"/>
        <v>26.3016</v>
      </c>
      <c r="AF22" s="212">
        <v>0</v>
      </c>
      <c r="AG22" s="212">
        <f t="shared" si="6"/>
        <v>53.290857</v>
      </c>
      <c r="AH22" s="212">
        <v>0</v>
      </c>
      <c r="AI22" s="212">
        <v>0</v>
      </c>
      <c r="AJ22" s="212">
        <v>53.290857</v>
      </c>
      <c r="AK22" s="213">
        <f t="shared" si="7"/>
        <v>146.12</v>
      </c>
      <c r="AL22" s="210">
        <f t="shared" si="8"/>
        <v>0</v>
      </c>
      <c r="AM22" s="235">
        <f t="shared" si="17"/>
        <v>0</v>
      </c>
      <c r="AN22" s="235">
        <f t="shared" si="9"/>
        <v>0</v>
      </c>
      <c r="AO22" s="213">
        <f t="shared" si="18"/>
        <v>0.14612</v>
      </c>
      <c r="AP22" s="209">
        <f t="shared" si="10"/>
        <v>0.00456625</v>
      </c>
      <c r="AQ22" s="213">
        <f t="shared" si="19"/>
        <v>0.07306</v>
      </c>
      <c r="AR22" s="209">
        <f t="shared" si="11"/>
        <v>0.00152208333333333</v>
      </c>
      <c r="AS22" s="213">
        <f t="shared" si="20"/>
        <v>0</v>
      </c>
      <c r="AT22" s="211">
        <v>0</v>
      </c>
      <c r="AU22" s="211"/>
      <c r="AV22" s="237">
        <f t="shared" si="21"/>
        <v>0</v>
      </c>
      <c r="AW22" s="213"/>
      <c r="AX22" s="213"/>
      <c r="AY22" s="238"/>
      <c r="AZ22" s="238"/>
      <c r="BA22" s="213"/>
      <c r="BB22" s="238"/>
      <c r="BC22" s="238"/>
      <c r="BD22" s="213"/>
      <c r="BE22" s="213"/>
      <c r="BF22" s="213"/>
      <c r="BG22" s="213"/>
      <c r="BH22" s="213"/>
      <c r="BI22" s="213"/>
      <c r="BJ22" s="211"/>
      <c r="BP22" s="241"/>
    </row>
    <row r="23" s="190" customFormat="1" ht="15" customHeight="1" spans="1:68">
      <c r="A23" s="210">
        <v>18</v>
      </c>
      <c r="B23" s="207" t="s">
        <v>107</v>
      </c>
      <c r="C23" s="211" t="s">
        <v>107</v>
      </c>
      <c r="D23" s="211" t="s">
        <v>97</v>
      </c>
      <c r="E23" s="211" t="s">
        <v>101</v>
      </c>
      <c r="F23" s="212">
        <v>66.79</v>
      </c>
      <c r="G23" s="213">
        <f t="shared" si="0"/>
        <v>7.81981500224584</v>
      </c>
      <c r="H23" s="213">
        <f t="shared" si="12"/>
        <v>522.285444</v>
      </c>
      <c r="I23" s="211">
        <v>3</v>
      </c>
      <c r="J23" s="213">
        <f t="shared" si="13"/>
        <v>400.74</v>
      </c>
      <c r="K23" s="213">
        <f t="shared" si="14"/>
        <v>0</v>
      </c>
      <c r="L23" s="207">
        <v>0</v>
      </c>
      <c r="M23" s="213">
        <f t="shared" si="1"/>
        <v>133.58</v>
      </c>
      <c r="N23" s="212">
        <v>403.120719</v>
      </c>
      <c r="O23" s="213">
        <f t="shared" si="2"/>
        <v>400.74</v>
      </c>
      <c r="P23" s="213">
        <v>0</v>
      </c>
      <c r="Q23" s="213">
        <f t="shared" si="15"/>
        <v>24.0444</v>
      </c>
      <c r="R23" s="213">
        <f t="shared" si="3"/>
        <v>0</v>
      </c>
      <c r="S23" s="213">
        <v>0</v>
      </c>
      <c r="T23" s="212">
        <v>0</v>
      </c>
      <c r="U23" s="211">
        <v>0</v>
      </c>
      <c r="V23" s="213"/>
      <c r="W23" s="212">
        <v>0</v>
      </c>
      <c r="X23" s="212">
        <v>0</v>
      </c>
      <c r="Y23" s="213">
        <f t="shared" si="4"/>
        <v>0</v>
      </c>
      <c r="Z23" s="213">
        <f t="shared" si="5"/>
        <v>0</v>
      </c>
      <c r="AA23" s="208">
        <v>0</v>
      </c>
      <c r="AB23" s="228">
        <v>0</v>
      </c>
      <c r="AC23" s="208">
        <v>0</v>
      </c>
      <c r="AD23" s="229">
        <v>0</v>
      </c>
      <c r="AE23" s="212">
        <f t="shared" si="16"/>
        <v>24.0444</v>
      </c>
      <c r="AF23" s="212">
        <v>0</v>
      </c>
      <c r="AG23" s="212">
        <f t="shared" si="6"/>
        <v>95.120325</v>
      </c>
      <c r="AH23" s="212">
        <v>0</v>
      </c>
      <c r="AI23" s="212">
        <v>0</v>
      </c>
      <c r="AJ23" s="212">
        <v>95.120325</v>
      </c>
      <c r="AK23" s="213">
        <f t="shared" si="7"/>
        <v>133.58</v>
      </c>
      <c r="AL23" s="210">
        <f t="shared" si="8"/>
        <v>0</v>
      </c>
      <c r="AM23" s="235">
        <f t="shared" si="17"/>
        <v>0</v>
      </c>
      <c r="AN23" s="235">
        <f t="shared" si="9"/>
        <v>0</v>
      </c>
      <c r="AO23" s="213">
        <f t="shared" si="18"/>
        <v>0.13358</v>
      </c>
      <c r="AP23" s="209">
        <f t="shared" si="10"/>
        <v>0.004174375</v>
      </c>
      <c r="AQ23" s="213">
        <f t="shared" si="19"/>
        <v>0.06679</v>
      </c>
      <c r="AR23" s="209">
        <f t="shared" si="11"/>
        <v>0.00139145833333333</v>
      </c>
      <c r="AS23" s="213">
        <f t="shared" si="20"/>
        <v>0</v>
      </c>
      <c r="AT23" s="211">
        <v>0</v>
      </c>
      <c r="AU23" s="211"/>
      <c r="AV23" s="237">
        <f t="shared" si="21"/>
        <v>0</v>
      </c>
      <c r="AW23" s="213"/>
      <c r="AX23" s="213"/>
      <c r="AY23" s="238"/>
      <c r="AZ23" s="238"/>
      <c r="BA23" s="213"/>
      <c r="BB23" s="238"/>
      <c r="BC23" s="238"/>
      <c r="BD23" s="213"/>
      <c r="BE23" s="213"/>
      <c r="BF23" s="213"/>
      <c r="BG23" s="213"/>
      <c r="BH23" s="213"/>
      <c r="BI23" s="213"/>
      <c r="BJ23" s="211"/>
      <c r="BP23" s="241"/>
    </row>
    <row r="24" s="190" customFormat="1" ht="15" customHeight="1" spans="1:68">
      <c r="A24" s="210">
        <v>19</v>
      </c>
      <c r="B24" s="207" t="s">
        <v>108</v>
      </c>
      <c r="C24" s="211" t="s">
        <v>108</v>
      </c>
      <c r="D24" s="211" t="s">
        <v>97</v>
      </c>
      <c r="E24" s="211" t="s">
        <v>101</v>
      </c>
      <c r="F24" s="212">
        <v>39.94</v>
      </c>
      <c r="G24" s="213">
        <f t="shared" si="0"/>
        <v>7.87297606409614</v>
      </c>
      <c r="H24" s="213">
        <f t="shared" si="12"/>
        <v>314.446664</v>
      </c>
      <c r="I24" s="211">
        <v>3</v>
      </c>
      <c r="J24" s="213">
        <f t="shared" si="13"/>
        <v>239.64</v>
      </c>
      <c r="K24" s="213">
        <f t="shared" si="14"/>
        <v>0</v>
      </c>
      <c r="L24" s="207">
        <v>0</v>
      </c>
      <c r="M24" s="213">
        <f t="shared" si="1"/>
        <v>79.88</v>
      </c>
      <c r="N24" s="212">
        <v>292.289458</v>
      </c>
      <c r="O24" s="213">
        <f t="shared" si="2"/>
        <v>239.64</v>
      </c>
      <c r="P24" s="213">
        <v>0</v>
      </c>
      <c r="Q24" s="213">
        <f t="shared" si="15"/>
        <v>14.3784</v>
      </c>
      <c r="R24" s="213">
        <f t="shared" si="3"/>
        <v>0</v>
      </c>
      <c r="S24" s="213">
        <v>0</v>
      </c>
      <c r="T24" s="212">
        <v>0</v>
      </c>
      <c r="U24" s="211">
        <v>0</v>
      </c>
      <c r="V24" s="213"/>
      <c r="W24" s="212">
        <v>0</v>
      </c>
      <c r="X24" s="212">
        <v>0</v>
      </c>
      <c r="Y24" s="213">
        <f t="shared" si="4"/>
        <v>0</v>
      </c>
      <c r="Z24" s="213">
        <f t="shared" si="5"/>
        <v>0</v>
      </c>
      <c r="AA24" s="208">
        <v>0</v>
      </c>
      <c r="AB24" s="228">
        <v>0</v>
      </c>
      <c r="AC24" s="208">
        <v>0</v>
      </c>
      <c r="AD24" s="229">
        <v>0</v>
      </c>
      <c r="AE24" s="212">
        <f t="shared" si="16"/>
        <v>14.3784</v>
      </c>
      <c r="AF24" s="212">
        <v>0</v>
      </c>
      <c r="AG24" s="212">
        <f t="shared" si="6"/>
        <v>7.778806</v>
      </c>
      <c r="AH24" s="212">
        <v>0</v>
      </c>
      <c r="AI24" s="212">
        <v>0</v>
      </c>
      <c r="AJ24" s="212">
        <v>7.778806</v>
      </c>
      <c r="AK24" s="213">
        <f t="shared" si="7"/>
        <v>79.88</v>
      </c>
      <c r="AL24" s="210">
        <f t="shared" si="8"/>
        <v>0</v>
      </c>
      <c r="AM24" s="235">
        <f t="shared" si="17"/>
        <v>0</v>
      </c>
      <c r="AN24" s="235">
        <f t="shared" si="9"/>
        <v>0</v>
      </c>
      <c r="AO24" s="213">
        <f t="shared" si="18"/>
        <v>0.07988</v>
      </c>
      <c r="AP24" s="209">
        <f t="shared" si="10"/>
        <v>0.00249625</v>
      </c>
      <c r="AQ24" s="213">
        <f t="shared" si="19"/>
        <v>0.03994</v>
      </c>
      <c r="AR24" s="209">
        <f t="shared" si="11"/>
        <v>0.000832083333333333</v>
      </c>
      <c r="AS24" s="213">
        <f t="shared" si="20"/>
        <v>0</v>
      </c>
      <c r="AT24" s="211">
        <v>0</v>
      </c>
      <c r="AU24" s="211"/>
      <c r="AV24" s="237">
        <f t="shared" si="21"/>
        <v>0</v>
      </c>
      <c r="AW24" s="213"/>
      <c r="AX24" s="213"/>
      <c r="AY24" s="238"/>
      <c r="AZ24" s="238"/>
      <c r="BA24" s="213"/>
      <c r="BB24" s="238"/>
      <c r="BC24" s="238"/>
      <c r="BD24" s="213"/>
      <c r="BE24" s="213"/>
      <c r="BF24" s="213"/>
      <c r="BG24" s="213"/>
      <c r="BH24" s="213"/>
      <c r="BI24" s="213"/>
      <c r="BJ24" s="211"/>
      <c r="BP24" s="241"/>
    </row>
    <row r="25" s="190" customFormat="1" ht="15" customHeight="1" spans="1:68">
      <c r="A25" s="210">
        <v>20</v>
      </c>
      <c r="B25" s="207" t="s">
        <v>109</v>
      </c>
      <c r="C25" s="211" t="s">
        <v>109</v>
      </c>
      <c r="D25" s="211" t="s">
        <v>101</v>
      </c>
      <c r="E25" s="211" t="s">
        <v>104</v>
      </c>
      <c r="F25" s="212">
        <v>65.66</v>
      </c>
      <c r="G25" s="213">
        <f t="shared" si="0"/>
        <v>5.75538515077673</v>
      </c>
      <c r="H25" s="213">
        <f t="shared" si="12"/>
        <v>377.898589</v>
      </c>
      <c r="I25" s="211">
        <v>3</v>
      </c>
      <c r="J25" s="213">
        <f t="shared" si="13"/>
        <v>393.96</v>
      </c>
      <c r="K25" s="213">
        <f t="shared" si="14"/>
        <v>0</v>
      </c>
      <c r="L25" s="207">
        <v>0</v>
      </c>
      <c r="M25" s="213">
        <f t="shared" si="1"/>
        <v>131.32</v>
      </c>
      <c r="N25" s="212">
        <v>354.260989</v>
      </c>
      <c r="O25" s="213">
        <f t="shared" si="2"/>
        <v>393.96</v>
      </c>
      <c r="P25" s="213">
        <v>0</v>
      </c>
      <c r="Q25" s="213">
        <f t="shared" si="15"/>
        <v>23.6376</v>
      </c>
      <c r="R25" s="213">
        <f t="shared" si="3"/>
        <v>0</v>
      </c>
      <c r="S25" s="213">
        <v>0</v>
      </c>
      <c r="T25" s="212">
        <v>0</v>
      </c>
      <c r="U25" s="211">
        <v>0</v>
      </c>
      <c r="V25" s="213"/>
      <c r="W25" s="212">
        <v>0</v>
      </c>
      <c r="X25" s="212">
        <v>0</v>
      </c>
      <c r="Y25" s="213">
        <f t="shared" si="4"/>
        <v>0</v>
      </c>
      <c r="Z25" s="213">
        <f t="shared" si="5"/>
        <v>0</v>
      </c>
      <c r="AA25" s="208">
        <v>0</v>
      </c>
      <c r="AB25" s="228">
        <v>0</v>
      </c>
      <c r="AC25" s="208">
        <v>0</v>
      </c>
      <c r="AD25" s="229">
        <v>0</v>
      </c>
      <c r="AE25" s="212">
        <f t="shared" si="16"/>
        <v>23.6376</v>
      </c>
      <c r="AF25" s="212">
        <v>0</v>
      </c>
      <c r="AG25" s="212">
        <f t="shared" si="6"/>
        <v>0</v>
      </c>
      <c r="AH25" s="212">
        <v>0</v>
      </c>
      <c r="AI25" s="212">
        <v>0</v>
      </c>
      <c r="AJ25" s="212">
        <v>0</v>
      </c>
      <c r="AK25" s="213">
        <f t="shared" si="7"/>
        <v>131.32</v>
      </c>
      <c r="AL25" s="210">
        <f t="shared" si="8"/>
        <v>0</v>
      </c>
      <c r="AM25" s="235">
        <f t="shared" si="17"/>
        <v>0</v>
      </c>
      <c r="AN25" s="235">
        <f t="shared" si="9"/>
        <v>0</v>
      </c>
      <c r="AO25" s="213">
        <f t="shared" si="18"/>
        <v>0.13132</v>
      </c>
      <c r="AP25" s="209">
        <f t="shared" si="10"/>
        <v>0.00410375</v>
      </c>
      <c r="AQ25" s="213">
        <f t="shared" si="19"/>
        <v>0.06566</v>
      </c>
      <c r="AR25" s="209">
        <f t="shared" si="11"/>
        <v>0.00136791666666667</v>
      </c>
      <c r="AS25" s="213">
        <f t="shared" si="20"/>
        <v>0</v>
      </c>
      <c r="AT25" s="211">
        <v>0</v>
      </c>
      <c r="AU25" s="211"/>
      <c r="AV25" s="237">
        <f t="shared" si="21"/>
        <v>0</v>
      </c>
      <c r="AW25" s="213"/>
      <c r="AX25" s="213"/>
      <c r="AY25" s="238"/>
      <c r="AZ25" s="238"/>
      <c r="BA25" s="213"/>
      <c r="BB25" s="238"/>
      <c r="BC25" s="238"/>
      <c r="BD25" s="213"/>
      <c r="BE25" s="213"/>
      <c r="BF25" s="213"/>
      <c r="BG25" s="213"/>
      <c r="BH25" s="213"/>
      <c r="BI25" s="213"/>
      <c r="BJ25" s="211"/>
      <c r="BP25" s="241"/>
    </row>
    <row r="26" s="190" customFormat="1" ht="15" customHeight="1" spans="1:68">
      <c r="A26" s="210">
        <v>21</v>
      </c>
      <c r="B26" s="207" t="s">
        <v>110</v>
      </c>
      <c r="C26" s="211" t="s">
        <v>110</v>
      </c>
      <c r="D26" s="211" t="s">
        <v>101</v>
      </c>
      <c r="E26" s="211" t="s">
        <v>104</v>
      </c>
      <c r="F26" s="212">
        <v>60.23</v>
      </c>
      <c r="G26" s="213">
        <f t="shared" si="0"/>
        <v>5.64033020089656</v>
      </c>
      <c r="H26" s="213">
        <f t="shared" si="12"/>
        <v>339.717088</v>
      </c>
      <c r="I26" s="211">
        <v>3</v>
      </c>
      <c r="J26" s="213">
        <f t="shared" si="13"/>
        <v>361.38</v>
      </c>
      <c r="K26" s="213">
        <f t="shared" si="14"/>
        <v>0</v>
      </c>
      <c r="L26" s="207">
        <v>0</v>
      </c>
      <c r="M26" s="213">
        <f t="shared" si="1"/>
        <v>120.46</v>
      </c>
      <c r="N26" s="212">
        <v>291.789344</v>
      </c>
      <c r="O26" s="213">
        <f t="shared" si="2"/>
        <v>361.38</v>
      </c>
      <c r="P26" s="213">
        <v>0</v>
      </c>
      <c r="Q26" s="213">
        <f t="shared" si="15"/>
        <v>21.6828</v>
      </c>
      <c r="R26" s="213">
        <f t="shared" si="3"/>
        <v>0</v>
      </c>
      <c r="S26" s="213">
        <v>0</v>
      </c>
      <c r="T26" s="212">
        <v>0</v>
      </c>
      <c r="U26" s="211">
        <v>0</v>
      </c>
      <c r="V26" s="213"/>
      <c r="W26" s="212">
        <v>0</v>
      </c>
      <c r="X26" s="212">
        <v>0</v>
      </c>
      <c r="Y26" s="213">
        <f t="shared" si="4"/>
        <v>0</v>
      </c>
      <c r="Z26" s="213">
        <f t="shared" si="5"/>
        <v>0</v>
      </c>
      <c r="AA26" s="208">
        <v>0</v>
      </c>
      <c r="AB26" s="228">
        <v>0</v>
      </c>
      <c r="AC26" s="208">
        <v>0</v>
      </c>
      <c r="AD26" s="229">
        <v>0</v>
      </c>
      <c r="AE26" s="212">
        <f t="shared" si="16"/>
        <v>21.6828</v>
      </c>
      <c r="AF26" s="212">
        <v>0</v>
      </c>
      <c r="AG26" s="212">
        <f t="shared" si="6"/>
        <v>26.244944</v>
      </c>
      <c r="AH26" s="212">
        <v>0</v>
      </c>
      <c r="AI26" s="212">
        <v>0</v>
      </c>
      <c r="AJ26" s="212">
        <v>26.244944</v>
      </c>
      <c r="AK26" s="213">
        <f t="shared" si="7"/>
        <v>120.46</v>
      </c>
      <c r="AL26" s="210">
        <f t="shared" si="8"/>
        <v>0</v>
      </c>
      <c r="AM26" s="235">
        <f t="shared" si="17"/>
        <v>0</v>
      </c>
      <c r="AN26" s="235">
        <f t="shared" si="9"/>
        <v>0</v>
      </c>
      <c r="AO26" s="213">
        <f t="shared" si="18"/>
        <v>0.12046</v>
      </c>
      <c r="AP26" s="209">
        <f t="shared" si="10"/>
        <v>0.003764375</v>
      </c>
      <c r="AQ26" s="213">
        <f t="shared" si="19"/>
        <v>0.06023</v>
      </c>
      <c r="AR26" s="209">
        <f t="shared" si="11"/>
        <v>0.00125479166666667</v>
      </c>
      <c r="AS26" s="213">
        <f t="shared" si="20"/>
        <v>0</v>
      </c>
      <c r="AT26" s="211">
        <v>0</v>
      </c>
      <c r="AU26" s="211"/>
      <c r="AV26" s="237">
        <f t="shared" si="21"/>
        <v>0</v>
      </c>
      <c r="AW26" s="213"/>
      <c r="AX26" s="213"/>
      <c r="AY26" s="238"/>
      <c r="AZ26" s="238"/>
      <c r="BA26" s="213"/>
      <c r="BB26" s="238"/>
      <c r="BC26" s="238"/>
      <c r="BD26" s="213"/>
      <c r="BE26" s="213"/>
      <c r="BF26" s="213"/>
      <c r="BG26" s="213"/>
      <c r="BH26" s="213"/>
      <c r="BI26" s="213"/>
      <c r="BJ26" s="211"/>
      <c r="BP26" s="241"/>
    </row>
    <row r="27" s="191" customFormat="1" ht="15" customHeight="1" spans="1:68">
      <c r="A27" s="214">
        <v>22</v>
      </c>
      <c r="B27" s="215" t="s">
        <v>111</v>
      </c>
      <c r="C27" s="215" t="s">
        <v>111</v>
      </c>
      <c r="D27" s="215" t="s">
        <v>112</v>
      </c>
      <c r="E27" s="215" t="s">
        <v>113</v>
      </c>
      <c r="F27" s="216">
        <v>320.84</v>
      </c>
      <c r="G27" s="217">
        <f t="shared" si="0"/>
        <v>42.4025111479242</v>
      </c>
      <c r="H27" s="209">
        <f t="shared" si="12"/>
        <v>13604.4216767</v>
      </c>
      <c r="I27" s="226">
        <v>2</v>
      </c>
      <c r="J27" s="209">
        <f t="shared" si="13"/>
        <v>3539.72971</v>
      </c>
      <c r="K27" s="209">
        <f t="shared" si="14"/>
        <v>1614.68971</v>
      </c>
      <c r="L27" s="215">
        <v>2</v>
      </c>
      <c r="M27" s="209">
        <f t="shared" si="1"/>
        <v>641.68</v>
      </c>
      <c r="N27" s="216">
        <v>4855.783462</v>
      </c>
      <c r="O27" s="217">
        <f t="shared" si="2"/>
        <v>1925.04</v>
      </c>
      <c r="P27" s="217">
        <v>0</v>
      </c>
      <c r="Q27" s="209">
        <f t="shared" si="15"/>
        <v>1862.4707897</v>
      </c>
      <c r="R27" s="209">
        <f t="shared" si="3"/>
        <v>0</v>
      </c>
      <c r="S27" s="209">
        <v>0</v>
      </c>
      <c r="T27" s="216">
        <v>0</v>
      </c>
      <c r="U27" s="215">
        <v>0</v>
      </c>
      <c r="V27" s="217"/>
      <c r="W27" s="216">
        <v>1614.68971</v>
      </c>
      <c r="X27" s="216">
        <v>0</v>
      </c>
      <c r="Y27" s="217">
        <f t="shared" si="4"/>
        <v>0</v>
      </c>
      <c r="Z27" s="209">
        <f t="shared" si="5"/>
        <v>50.294347</v>
      </c>
      <c r="AA27" s="216">
        <v>0</v>
      </c>
      <c r="AB27" s="230">
        <v>0</v>
      </c>
      <c r="AC27" s="216">
        <v>0</v>
      </c>
      <c r="AD27" s="231">
        <v>50.294347</v>
      </c>
      <c r="AE27" s="208">
        <f t="shared" si="16"/>
        <v>247.7810797</v>
      </c>
      <c r="AF27" s="216">
        <v>0</v>
      </c>
      <c r="AG27" s="208">
        <f t="shared" si="6"/>
        <v>6785.578731</v>
      </c>
      <c r="AH27" s="216">
        <v>0</v>
      </c>
      <c r="AI27" s="216">
        <v>0</v>
      </c>
      <c r="AJ27" s="216">
        <v>6785.578731</v>
      </c>
      <c r="AK27" s="217">
        <f t="shared" si="7"/>
        <v>641.68</v>
      </c>
      <c r="AL27" s="206">
        <f t="shared" si="8"/>
        <v>0</v>
      </c>
      <c r="AM27" s="235">
        <f t="shared" si="17"/>
        <v>0</v>
      </c>
      <c r="AN27" s="235">
        <f t="shared" si="9"/>
        <v>0</v>
      </c>
      <c r="AO27" s="209">
        <f t="shared" si="18"/>
        <v>1.28336</v>
      </c>
      <c r="AP27" s="209">
        <f t="shared" si="10"/>
        <v>0.040105</v>
      </c>
      <c r="AQ27" s="209">
        <f t="shared" si="19"/>
        <v>0.64168</v>
      </c>
      <c r="AR27" s="209">
        <f t="shared" si="11"/>
        <v>0.0133683333333333</v>
      </c>
      <c r="AS27" s="209">
        <f t="shared" si="20"/>
        <v>0</v>
      </c>
      <c r="AT27" s="215">
        <v>4</v>
      </c>
      <c r="AU27" s="215" t="s">
        <v>89</v>
      </c>
      <c r="AV27" s="237">
        <f t="shared" si="21"/>
        <v>0</v>
      </c>
      <c r="AW27" s="209"/>
      <c r="AX27" s="209"/>
      <c r="AY27" s="237"/>
      <c r="AZ27" s="217"/>
      <c r="BA27" s="209"/>
      <c r="BB27" s="237"/>
      <c r="BC27" s="237"/>
      <c r="BD27" s="217"/>
      <c r="BE27" s="209"/>
      <c r="BF27" s="217"/>
      <c r="BG27" s="209"/>
      <c r="BH27" s="209"/>
      <c r="BI27" s="209"/>
      <c r="BJ27" s="215"/>
      <c r="BP27" s="242"/>
    </row>
    <row r="28" s="191" customFormat="1" ht="15" customHeight="1" spans="1:68">
      <c r="A28" s="214">
        <v>23</v>
      </c>
      <c r="B28" s="215" t="s">
        <v>111</v>
      </c>
      <c r="C28" s="215" t="s">
        <v>111</v>
      </c>
      <c r="D28" s="215" t="s">
        <v>102</v>
      </c>
      <c r="E28" s="215" t="s">
        <v>86</v>
      </c>
      <c r="F28" s="216">
        <v>331.04</v>
      </c>
      <c r="G28" s="217">
        <f t="shared" si="0"/>
        <v>29.4646326671097</v>
      </c>
      <c r="H28" s="209">
        <f t="shared" si="12"/>
        <v>9753.97199812</v>
      </c>
      <c r="I28" s="215">
        <v>1</v>
      </c>
      <c r="J28" s="209">
        <f t="shared" si="13"/>
        <v>3317.115714</v>
      </c>
      <c r="K28" s="209">
        <f t="shared" si="14"/>
        <v>1330.875714</v>
      </c>
      <c r="L28" s="215">
        <v>2</v>
      </c>
      <c r="M28" s="209">
        <f t="shared" si="1"/>
        <v>662.08</v>
      </c>
      <c r="N28" s="216">
        <v>5009.401177</v>
      </c>
      <c r="O28" s="217">
        <f t="shared" si="2"/>
        <v>1986.24</v>
      </c>
      <c r="P28" s="217">
        <v>0</v>
      </c>
      <c r="Q28" s="209">
        <f t="shared" si="15"/>
        <v>1596.24497112</v>
      </c>
      <c r="R28" s="209">
        <f t="shared" si="3"/>
        <v>0</v>
      </c>
      <c r="S28" s="209">
        <v>0</v>
      </c>
      <c r="T28" s="216">
        <v>0</v>
      </c>
      <c r="U28" s="215">
        <v>0</v>
      </c>
      <c r="V28" s="217"/>
      <c r="W28" s="216">
        <v>1330.875714</v>
      </c>
      <c r="X28" s="216">
        <v>0</v>
      </c>
      <c r="Y28" s="217">
        <f t="shared" si="4"/>
        <v>0</v>
      </c>
      <c r="Z28" s="209">
        <f t="shared" si="5"/>
        <v>52.783336</v>
      </c>
      <c r="AA28" s="216">
        <v>52.783336</v>
      </c>
      <c r="AB28" s="230">
        <v>0</v>
      </c>
      <c r="AC28" s="216">
        <v>0</v>
      </c>
      <c r="AD28" s="231">
        <v>0</v>
      </c>
      <c r="AE28" s="208">
        <f t="shared" si="16"/>
        <v>265.36925712</v>
      </c>
      <c r="AF28" s="216">
        <v>0</v>
      </c>
      <c r="AG28" s="208">
        <f t="shared" si="6"/>
        <v>3042.759178</v>
      </c>
      <c r="AH28" s="216">
        <v>0</v>
      </c>
      <c r="AI28" s="216">
        <v>0</v>
      </c>
      <c r="AJ28" s="216">
        <v>3042.759178</v>
      </c>
      <c r="AK28" s="217">
        <f t="shared" si="7"/>
        <v>662.08</v>
      </c>
      <c r="AL28" s="206">
        <f t="shared" si="8"/>
        <v>0</v>
      </c>
      <c r="AM28" s="235">
        <f t="shared" si="17"/>
        <v>0</v>
      </c>
      <c r="AN28" s="235">
        <f t="shared" si="9"/>
        <v>0</v>
      </c>
      <c r="AO28" s="209">
        <f t="shared" si="18"/>
        <v>1.32416</v>
      </c>
      <c r="AP28" s="209">
        <f t="shared" si="10"/>
        <v>0.04138</v>
      </c>
      <c r="AQ28" s="209">
        <f t="shared" si="19"/>
        <v>0.66208</v>
      </c>
      <c r="AR28" s="209">
        <f t="shared" si="11"/>
        <v>0.0137933333333333</v>
      </c>
      <c r="AS28" s="209">
        <f t="shared" si="20"/>
        <v>0</v>
      </c>
      <c r="AT28" s="215">
        <v>6</v>
      </c>
      <c r="AU28" s="215" t="s">
        <v>89</v>
      </c>
      <c r="AV28" s="237">
        <f t="shared" si="21"/>
        <v>0</v>
      </c>
      <c r="AW28" s="209"/>
      <c r="AX28" s="209"/>
      <c r="AY28" s="237"/>
      <c r="AZ28" s="217"/>
      <c r="BA28" s="209"/>
      <c r="BB28" s="237"/>
      <c r="BC28" s="237"/>
      <c r="BD28" s="217"/>
      <c r="BE28" s="209"/>
      <c r="BF28" s="217"/>
      <c r="BG28" s="209"/>
      <c r="BH28" s="209"/>
      <c r="BI28" s="209"/>
      <c r="BJ28" s="215"/>
      <c r="BP28" s="242"/>
    </row>
    <row r="29" s="191" customFormat="1" ht="15" customHeight="1" spans="1:68">
      <c r="A29" s="214">
        <v>24</v>
      </c>
      <c r="B29" s="215" t="s">
        <v>111</v>
      </c>
      <c r="C29" s="215" t="s">
        <v>111</v>
      </c>
      <c r="D29" s="215" t="s">
        <v>112</v>
      </c>
      <c r="E29" s="215" t="s">
        <v>114</v>
      </c>
      <c r="F29" s="216">
        <v>796.61</v>
      </c>
      <c r="G29" s="217">
        <f t="shared" si="0"/>
        <v>28.8153698930468</v>
      </c>
      <c r="H29" s="209">
        <f t="shared" si="12"/>
        <v>22954.6118105</v>
      </c>
      <c r="I29" s="226">
        <v>2</v>
      </c>
      <c r="J29" s="209">
        <f t="shared" si="13"/>
        <v>8243.71085</v>
      </c>
      <c r="K29" s="209">
        <f t="shared" si="14"/>
        <v>3464.05085</v>
      </c>
      <c r="L29" s="215">
        <v>2</v>
      </c>
      <c r="M29" s="209">
        <f t="shared" si="1"/>
        <v>1593.22</v>
      </c>
      <c r="N29" s="216">
        <v>12049.480412</v>
      </c>
      <c r="O29" s="217">
        <f t="shared" si="2"/>
        <v>4779.66</v>
      </c>
      <c r="P29" s="217">
        <v>0</v>
      </c>
      <c r="Q29" s="209">
        <f t="shared" si="15"/>
        <v>4041.1106095</v>
      </c>
      <c r="R29" s="209">
        <f t="shared" si="3"/>
        <v>0</v>
      </c>
      <c r="S29" s="209">
        <v>0</v>
      </c>
      <c r="T29" s="216">
        <v>0</v>
      </c>
      <c r="U29" s="215">
        <v>0</v>
      </c>
      <c r="V29" s="217"/>
      <c r="W29" s="216">
        <v>3464.05085</v>
      </c>
      <c r="X29" s="216">
        <v>0</v>
      </c>
      <c r="Y29" s="217">
        <f t="shared" si="4"/>
        <v>0</v>
      </c>
      <c r="Z29" s="209">
        <f t="shared" si="5"/>
        <v>63.679795</v>
      </c>
      <c r="AA29" s="216">
        <v>63.679795</v>
      </c>
      <c r="AB29" s="230">
        <v>0</v>
      </c>
      <c r="AC29" s="216">
        <v>0</v>
      </c>
      <c r="AD29" s="231">
        <v>0</v>
      </c>
      <c r="AE29" s="208">
        <f t="shared" si="16"/>
        <v>577.0597595</v>
      </c>
      <c r="AF29" s="216">
        <v>305.776797</v>
      </c>
      <c r="AG29" s="208">
        <f t="shared" si="6"/>
        <v>6430.884402</v>
      </c>
      <c r="AH29" s="216">
        <v>0</v>
      </c>
      <c r="AI29" s="216">
        <v>0</v>
      </c>
      <c r="AJ29" s="216">
        <v>6430.884402</v>
      </c>
      <c r="AK29" s="217">
        <f t="shared" si="7"/>
        <v>1593.22</v>
      </c>
      <c r="AL29" s="206">
        <f t="shared" si="8"/>
        <v>0</v>
      </c>
      <c r="AM29" s="235">
        <f t="shared" si="17"/>
        <v>0</v>
      </c>
      <c r="AN29" s="235">
        <f t="shared" si="9"/>
        <v>0</v>
      </c>
      <c r="AO29" s="209">
        <f t="shared" si="18"/>
        <v>3.18644</v>
      </c>
      <c r="AP29" s="209">
        <f t="shared" si="10"/>
        <v>0.09957625</v>
      </c>
      <c r="AQ29" s="209">
        <f t="shared" si="19"/>
        <v>1.59322</v>
      </c>
      <c r="AR29" s="209">
        <f t="shared" si="11"/>
        <v>0.0331920833333333</v>
      </c>
      <c r="AS29" s="209">
        <f t="shared" si="20"/>
        <v>0</v>
      </c>
      <c r="AT29" s="215">
        <v>10</v>
      </c>
      <c r="AU29" s="215" t="s">
        <v>89</v>
      </c>
      <c r="AV29" s="237">
        <f t="shared" si="21"/>
        <v>0</v>
      </c>
      <c r="AW29" s="209"/>
      <c r="AX29" s="209"/>
      <c r="AY29" s="237"/>
      <c r="AZ29" s="217"/>
      <c r="BA29" s="209"/>
      <c r="BB29" s="237"/>
      <c r="BC29" s="237"/>
      <c r="BD29" s="217"/>
      <c r="BE29" s="209"/>
      <c r="BF29" s="217"/>
      <c r="BG29" s="209"/>
      <c r="BH29" s="209"/>
      <c r="BI29" s="209"/>
      <c r="BJ29" s="215"/>
      <c r="BP29" s="242"/>
    </row>
    <row r="30" s="191" customFormat="1" ht="15" customHeight="1" spans="1:68">
      <c r="A30" s="214">
        <v>25</v>
      </c>
      <c r="B30" s="215" t="s">
        <v>111</v>
      </c>
      <c r="C30" s="215" t="s">
        <v>111</v>
      </c>
      <c r="D30" s="215" t="s">
        <v>114</v>
      </c>
      <c r="E30" s="215" t="s">
        <v>102</v>
      </c>
      <c r="F30" s="216">
        <v>338.03</v>
      </c>
      <c r="G30" s="217">
        <f t="shared" si="0"/>
        <v>34.978257909298</v>
      </c>
      <c r="H30" s="209">
        <f t="shared" si="12"/>
        <v>11823.70052108</v>
      </c>
      <c r="I30" s="215">
        <v>1</v>
      </c>
      <c r="J30" s="209">
        <f t="shared" si="13"/>
        <v>3373.519476</v>
      </c>
      <c r="K30" s="209">
        <f t="shared" si="14"/>
        <v>1345.339476</v>
      </c>
      <c r="L30" s="215">
        <v>2</v>
      </c>
      <c r="M30" s="209">
        <f t="shared" si="1"/>
        <v>676.06</v>
      </c>
      <c r="N30" s="216">
        <v>5085.468282</v>
      </c>
      <c r="O30" s="217">
        <f t="shared" si="2"/>
        <v>2028.18</v>
      </c>
      <c r="P30" s="217">
        <v>0</v>
      </c>
      <c r="Q30" s="209">
        <f t="shared" si="15"/>
        <v>1615.22103408</v>
      </c>
      <c r="R30" s="209">
        <f t="shared" si="3"/>
        <v>0</v>
      </c>
      <c r="S30" s="209">
        <v>0</v>
      </c>
      <c r="T30" s="216">
        <v>0</v>
      </c>
      <c r="U30" s="215">
        <v>0</v>
      </c>
      <c r="V30" s="217"/>
      <c r="W30" s="216">
        <v>1345.339476</v>
      </c>
      <c r="X30" s="216">
        <v>0</v>
      </c>
      <c r="Y30" s="217">
        <f t="shared" si="4"/>
        <v>0</v>
      </c>
      <c r="Z30" s="209">
        <f t="shared" si="5"/>
        <v>6.635899</v>
      </c>
      <c r="AA30" s="216">
        <v>6.635899</v>
      </c>
      <c r="AB30" s="230">
        <v>0</v>
      </c>
      <c r="AC30" s="216">
        <v>0</v>
      </c>
      <c r="AD30" s="231">
        <v>0</v>
      </c>
      <c r="AE30" s="208">
        <f t="shared" si="16"/>
        <v>269.88155808</v>
      </c>
      <c r="AF30" s="216">
        <v>1745.1731</v>
      </c>
      <c r="AG30" s="208">
        <f t="shared" si="6"/>
        <v>3364.566307</v>
      </c>
      <c r="AH30" s="216">
        <v>0</v>
      </c>
      <c r="AI30" s="216">
        <v>0</v>
      </c>
      <c r="AJ30" s="216">
        <v>3364.566307</v>
      </c>
      <c r="AK30" s="217">
        <f t="shared" si="7"/>
        <v>676.06</v>
      </c>
      <c r="AL30" s="206">
        <f t="shared" si="8"/>
        <v>0</v>
      </c>
      <c r="AM30" s="235">
        <f t="shared" si="17"/>
        <v>0</v>
      </c>
      <c r="AN30" s="235">
        <f t="shared" si="9"/>
        <v>0</v>
      </c>
      <c r="AO30" s="209">
        <f t="shared" si="18"/>
        <v>1.35212</v>
      </c>
      <c r="AP30" s="209">
        <f t="shared" si="10"/>
        <v>0.04225375</v>
      </c>
      <c r="AQ30" s="209">
        <f t="shared" si="19"/>
        <v>0.67606</v>
      </c>
      <c r="AR30" s="209">
        <f t="shared" si="11"/>
        <v>0.0140845833333333</v>
      </c>
      <c r="AS30" s="209">
        <f t="shared" si="20"/>
        <v>0</v>
      </c>
      <c r="AT30" s="215">
        <v>12</v>
      </c>
      <c r="AU30" s="215" t="s">
        <v>89</v>
      </c>
      <c r="AV30" s="237">
        <f t="shared" si="21"/>
        <v>0</v>
      </c>
      <c r="AW30" s="209"/>
      <c r="AX30" s="209"/>
      <c r="AY30" s="237"/>
      <c r="AZ30" s="217"/>
      <c r="BA30" s="209"/>
      <c r="BB30" s="237"/>
      <c r="BC30" s="237"/>
      <c r="BD30" s="217"/>
      <c r="BE30" s="209"/>
      <c r="BF30" s="217"/>
      <c r="BG30" s="209"/>
      <c r="BH30" s="209"/>
      <c r="BI30" s="209"/>
      <c r="BJ30" s="215"/>
      <c r="BP30" s="242"/>
    </row>
    <row r="31" s="190" customFormat="1" ht="15" customHeight="1" spans="1:68">
      <c r="A31" s="210">
        <v>26</v>
      </c>
      <c r="B31" s="207" t="s">
        <v>115</v>
      </c>
      <c r="C31" s="211" t="s">
        <v>115</v>
      </c>
      <c r="D31" s="211" t="s">
        <v>116</v>
      </c>
      <c r="E31" s="211" t="s">
        <v>117</v>
      </c>
      <c r="F31" s="212">
        <v>981.2</v>
      </c>
      <c r="G31" s="213">
        <f t="shared" si="0"/>
        <v>17.546621041011</v>
      </c>
      <c r="H31" s="213">
        <f t="shared" si="12"/>
        <v>17216.74456544</v>
      </c>
      <c r="I31" s="211">
        <v>3</v>
      </c>
      <c r="J31" s="213">
        <f t="shared" si="13"/>
        <v>6784.256174</v>
      </c>
      <c r="K31" s="213">
        <f t="shared" si="14"/>
        <v>793.268566</v>
      </c>
      <c r="L31" s="207">
        <v>0</v>
      </c>
      <c r="M31" s="213">
        <f t="shared" si="1"/>
        <v>1962.4</v>
      </c>
      <c r="N31" s="212">
        <v>15289.600315</v>
      </c>
      <c r="O31" s="213">
        <f t="shared" si="2"/>
        <v>5887.2</v>
      </c>
      <c r="P31" s="213">
        <v>0</v>
      </c>
      <c r="Q31" s="213">
        <f t="shared" si="15"/>
        <v>1200.32393644</v>
      </c>
      <c r="R31" s="213">
        <f t="shared" si="3"/>
        <v>3</v>
      </c>
      <c r="S31" s="213">
        <v>0</v>
      </c>
      <c r="T31" s="212">
        <v>103.787608</v>
      </c>
      <c r="U31" s="211">
        <v>1</v>
      </c>
      <c r="V31" s="213"/>
      <c r="W31" s="212">
        <v>0</v>
      </c>
      <c r="X31" s="212">
        <v>396.634283</v>
      </c>
      <c r="Y31" s="213">
        <f t="shared" si="4"/>
        <v>793.268566</v>
      </c>
      <c r="Z31" s="213">
        <f t="shared" si="5"/>
        <v>45.778037</v>
      </c>
      <c r="AA31" s="208">
        <v>0</v>
      </c>
      <c r="AB31" s="228">
        <v>45.778037</v>
      </c>
      <c r="AC31" s="208">
        <v>0</v>
      </c>
      <c r="AD31" s="229">
        <v>0</v>
      </c>
      <c r="AE31" s="212">
        <f t="shared" si="16"/>
        <v>407.05537044</v>
      </c>
      <c r="AF31" s="212">
        <v>0</v>
      </c>
      <c r="AG31" s="212">
        <f t="shared" si="6"/>
        <v>531.476632</v>
      </c>
      <c r="AH31" s="212">
        <v>0</v>
      </c>
      <c r="AI31" s="212">
        <v>0</v>
      </c>
      <c r="AJ31" s="212">
        <v>531.476632</v>
      </c>
      <c r="AK31" s="213">
        <f t="shared" si="7"/>
        <v>1962.4</v>
      </c>
      <c r="AL31" s="210">
        <f t="shared" si="8"/>
        <v>0</v>
      </c>
      <c r="AM31" s="235">
        <f t="shared" si="17"/>
        <v>0</v>
      </c>
      <c r="AN31" s="235">
        <f t="shared" si="9"/>
        <v>0</v>
      </c>
      <c r="AO31" s="213">
        <f t="shared" si="18"/>
        <v>1.9624</v>
      </c>
      <c r="AP31" s="209">
        <f t="shared" si="10"/>
        <v>0.061325</v>
      </c>
      <c r="AQ31" s="213">
        <f t="shared" si="19"/>
        <v>0.9812</v>
      </c>
      <c r="AR31" s="209">
        <f t="shared" si="11"/>
        <v>0.0204416666666667</v>
      </c>
      <c r="AS31" s="213">
        <f t="shared" si="20"/>
        <v>1.9624</v>
      </c>
      <c r="AT31" s="211">
        <v>0</v>
      </c>
      <c r="AU31" s="211"/>
      <c r="AV31" s="237">
        <f t="shared" si="21"/>
        <v>0</v>
      </c>
      <c r="AW31" s="213"/>
      <c r="AX31" s="213"/>
      <c r="AY31" s="238"/>
      <c r="AZ31" s="238"/>
      <c r="BA31" s="213"/>
      <c r="BB31" s="238"/>
      <c r="BC31" s="238"/>
      <c r="BD31" s="213"/>
      <c r="BE31" s="213"/>
      <c r="BF31" s="213"/>
      <c r="BG31" s="213"/>
      <c r="BH31" s="213"/>
      <c r="BI31" s="213"/>
      <c r="BJ31" s="211"/>
      <c r="BP31" s="241"/>
    </row>
    <row r="32" s="190" customFormat="1" ht="15" customHeight="1" spans="1:68">
      <c r="A32" s="210">
        <v>27</v>
      </c>
      <c r="B32" s="207" t="s">
        <v>118</v>
      </c>
      <c r="C32" s="211" t="s">
        <v>118</v>
      </c>
      <c r="D32" s="211" t="s">
        <v>111</v>
      </c>
      <c r="E32" s="211" t="s">
        <v>119</v>
      </c>
      <c r="F32" s="212">
        <v>161.62</v>
      </c>
      <c r="G32" s="213">
        <f t="shared" si="0"/>
        <v>15.4048705134266</v>
      </c>
      <c r="H32" s="213">
        <f t="shared" si="12"/>
        <v>2489.73517238</v>
      </c>
      <c r="I32" s="211">
        <v>3</v>
      </c>
      <c r="J32" s="213">
        <f t="shared" si="13"/>
        <v>1716.498923</v>
      </c>
      <c r="K32" s="213">
        <f t="shared" si="14"/>
        <v>746.778923</v>
      </c>
      <c r="L32" s="207">
        <v>0</v>
      </c>
      <c r="M32" s="213">
        <f t="shared" si="1"/>
        <v>323.24</v>
      </c>
      <c r="N32" s="212">
        <v>557.85051</v>
      </c>
      <c r="O32" s="213">
        <f t="shared" si="2"/>
        <v>969.72</v>
      </c>
      <c r="P32" s="213">
        <v>0</v>
      </c>
      <c r="Q32" s="213">
        <f t="shared" si="15"/>
        <v>849.76885838</v>
      </c>
      <c r="R32" s="213">
        <f t="shared" si="3"/>
        <v>0</v>
      </c>
      <c r="S32" s="213">
        <v>0</v>
      </c>
      <c r="T32" s="212">
        <v>0</v>
      </c>
      <c r="U32" s="211">
        <v>0</v>
      </c>
      <c r="V32" s="213"/>
      <c r="W32" s="212">
        <v>746.778923</v>
      </c>
      <c r="X32" s="212">
        <v>0</v>
      </c>
      <c r="Y32" s="213">
        <f t="shared" si="4"/>
        <v>0</v>
      </c>
      <c r="Z32" s="213">
        <f t="shared" si="5"/>
        <v>0</v>
      </c>
      <c r="AA32" s="208">
        <v>0</v>
      </c>
      <c r="AB32" s="228">
        <v>0</v>
      </c>
      <c r="AC32" s="208">
        <v>0</v>
      </c>
      <c r="AD32" s="229">
        <v>0</v>
      </c>
      <c r="AE32" s="212">
        <f t="shared" si="16"/>
        <v>102.98993538</v>
      </c>
      <c r="AF32" s="212">
        <v>0</v>
      </c>
      <c r="AG32" s="212">
        <f t="shared" si="6"/>
        <v>1082.115804</v>
      </c>
      <c r="AH32" s="212">
        <v>0</v>
      </c>
      <c r="AI32" s="212">
        <v>0</v>
      </c>
      <c r="AJ32" s="212">
        <v>1082.115804</v>
      </c>
      <c r="AK32" s="213">
        <f t="shared" si="7"/>
        <v>323.24</v>
      </c>
      <c r="AL32" s="210">
        <f t="shared" si="8"/>
        <v>0</v>
      </c>
      <c r="AM32" s="235">
        <f t="shared" si="17"/>
        <v>0</v>
      </c>
      <c r="AN32" s="235">
        <f t="shared" si="9"/>
        <v>0</v>
      </c>
      <c r="AO32" s="213">
        <f t="shared" si="18"/>
        <v>0.32324</v>
      </c>
      <c r="AP32" s="209">
        <f t="shared" si="10"/>
        <v>0.01010125</v>
      </c>
      <c r="AQ32" s="213">
        <f t="shared" si="19"/>
        <v>0.16162</v>
      </c>
      <c r="AR32" s="209">
        <f t="shared" si="11"/>
        <v>0.00336708333333333</v>
      </c>
      <c r="AS32" s="213">
        <f t="shared" si="20"/>
        <v>0</v>
      </c>
      <c r="AT32" s="211">
        <v>0</v>
      </c>
      <c r="AU32" s="211"/>
      <c r="AV32" s="237">
        <f t="shared" si="21"/>
        <v>0</v>
      </c>
      <c r="AW32" s="213"/>
      <c r="AX32" s="213"/>
      <c r="AY32" s="238"/>
      <c r="AZ32" s="238"/>
      <c r="BA32" s="213"/>
      <c r="BB32" s="238"/>
      <c r="BC32" s="238"/>
      <c r="BD32" s="213"/>
      <c r="BE32" s="213"/>
      <c r="BF32" s="213"/>
      <c r="BG32" s="213"/>
      <c r="BH32" s="213"/>
      <c r="BI32" s="213"/>
      <c r="BJ32" s="211"/>
      <c r="BP32" s="241"/>
    </row>
    <row r="33" s="190" customFormat="1" ht="15" customHeight="1" spans="1:68">
      <c r="A33" s="210">
        <v>28</v>
      </c>
      <c r="B33" s="207" t="s">
        <v>120</v>
      </c>
      <c r="C33" s="211" t="s">
        <v>120</v>
      </c>
      <c r="D33" s="211" t="s">
        <v>121</v>
      </c>
      <c r="E33" s="211" t="s">
        <v>119</v>
      </c>
      <c r="F33" s="212">
        <v>179.75</v>
      </c>
      <c r="G33" s="213">
        <f t="shared" si="0"/>
        <v>11.562926051516</v>
      </c>
      <c r="H33" s="213">
        <f t="shared" si="12"/>
        <v>2078.43595776</v>
      </c>
      <c r="I33" s="211">
        <v>3</v>
      </c>
      <c r="J33" s="213">
        <f t="shared" si="13"/>
        <v>1714.834596</v>
      </c>
      <c r="K33" s="213">
        <f t="shared" si="14"/>
        <v>636.334596</v>
      </c>
      <c r="L33" s="207">
        <v>0</v>
      </c>
      <c r="M33" s="213">
        <f t="shared" si="1"/>
        <v>359.5</v>
      </c>
      <c r="N33" s="212">
        <v>723.307066</v>
      </c>
      <c r="O33" s="213">
        <f t="shared" si="2"/>
        <v>1078.5</v>
      </c>
      <c r="P33" s="213">
        <v>0</v>
      </c>
      <c r="Q33" s="213">
        <f t="shared" si="15"/>
        <v>739.22467176</v>
      </c>
      <c r="R33" s="213">
        <f t="shared" si="3"/>
        <v>0</v>
      </c>
      <c r="S33" s="213">
        <v>0</v>
      </c>
      <c r="T33" s="212">
        <v>0</v>
      </c>
      <c r="U33" s="211">
        <v>0</v>
      </c>
      <c r="V33" s="213"/>
      <c r="W33" s="212">
        <v>636.334596</v>
      </c>
      <c r="X33" s="212">
        <v>0</v>
      </c>
      <c r="Y33" s="213">
        <f t="shared" si="4"/>
        <v>0</v>
      </c>
      <c r="Z33" s="213">
        <f t="shared" si="5"/>
        <v>0</v>
      </c>
      <c r="AA33" s="208">
        <v>0</v>
      </c>
      <c r="AB33" s="228">
        <v>0</v>
      </c>
      <c r="AC33" s="208">
        <v>0</v>
      </c>
      <c r="AD33" s="229">
        <v>0</v>
      </c>
      <c r="AE33" s="212">
        <f t="shared" si="16"/>
        <v>102.89007576</v>
      </c>
      <c r="AF33" s="212">
        <v>0</v>
      </c>
      <c r="AG33" s="212">
        <f t="shared" si="6"/>
        <v>615.90422</v>
      </c>
      <c r="AH33" s="212">
        <v>0</v>
      </c>
      <c r="AI33" s="212">
        <v>0</v>
      </c>
      <c r="AJ33" s="212">
        <v>615.90422</v>
      </c>
      <c r="AK33" s="213">
        <f t="shared" si="7"/>
        <v>359.5</v>
      </c>
      <c r="AL33" s="210">
        <f t="shared" si="8"/>
        <v>0</v>
      </c>
      <c r="AM33" s="235">
        <f t="shared" si="17"/>
        <v>0</v>
      </c>
      <c r="AN33" s="235">
        <f t="shared" si="9"/>
        <v>0</v>
      </c>
      <c r="AO33" s="213">
        <f t="shared" si="18"/>
        <v>0.3595</v>
      </c>
      <c r="AP33" s="209">
        <f t="shared" si="10"/>
        <v>0.011234375</v>
      </c>
      <c r="AQ33" s="213">
        <f t="shared" si="19"/>
        <v>0.17975</v>
      </c>
      <c r="AR33" s="209">
        <f t="shared" si="11"/>
        <v>0.00374479166666667</v>
      </c>
      <c r="AS33" s="213">
        <f t="shared" si="20"/>
        <v>0</v>
      </c>
      <c r="AT33" s="211">
        <v>0</v>
      </c>
      <c r="AU33" s="211"/>
      <c r="AV33" s="237">
        <f t="shared" si="21"/>
        <v>0</v>
      </c>
      <c r="AW33" s="213"/>
      <c r="AX33" s="213"/>
      <c r="AY33" s="238"/>
      <c r="AZ33" s="238"/>
      <c r="BA33" s="213"/>
      <c r="BB33" s="238"/>
      <c r="BC33" s="238"/>
      <c r="BD33" s="213"/>
      <c r="BE33" s="213"/>
      <c r="BF33" s="213"/>
      <c r="BG33" s="213"/>
      <c r="BH33" s="213"/>
      <c r="BI33" s="213"/>
      <c r="BJ33" s="211"/>
      <c r="BP33" s="241"/>
    </row>
    <row r="34" s="190" customFormat="1" ht="15" customHeight="1" spans="1:68">
      <c r="A34" s="210">
        <v>29</v>
      </c>
      <c r="B34" s="207" t="s">
        <v>122</v>
      </c>
      <c r="C34" s="211" t="s">
        <v>122</v>
      </c>
      <c r="D34" s="211" t="s">
        <v>121</v>
      </c>
      <c r="E34" s="211" t="s">
        <v>119</v>
      </c>
      <c r="F34" s="212">
        <v>167.46</v>
      </c>
      <c r="G34" s="213">
        <f t="shared" si="0"/>
        <v>10.8648271938373</v>
      </c>
      <c r="H34" s="213">
        <f t="shared" si="12"/>
        <v>1819.42396188</v>
      </c>
      <c r="I34" s="211">
        <v>3</v>
      </c>
      <c r="J34" s="213">
        <f t="shared" si="13"/>
        <v>1735.609998</v>
      </c>
      <c r="K34" s="213">
        <f t="shared" si="14"/>
        <v>730.849998</v>
      </c>
      <c r="L34" s="207">
        <v>0</v>
      </c>
      <c r="M34" s="213">
        <f t="shared" si="1"/>
        <v>334.92</v>
      </c>
      <c r="N34" s="212">
        <v>682.559736</v>
      </c>
      <c r="O34" s="213">
        <f t="shared" si="2"/>
        <v>1004.76</v>
      </c>
      <c r="P34" s="213">
        <v>0</v>
      </c>
      <c r="Q34" s="213">
        <f t="shared" si="15"/>
        <v>834.98659788</v>
      </c>
      <c r="R34" s="213">
        <f t="shared" si="3"/>
        <v>0</v>
      </c>
      <c r="S34" s="213">
        <v>0</v>
      </c>
      <c r="T34" s="212">
        <v>0</v>
      </c>
      <c r="U34" s="211">
        <v>0</v>
      </c>
      <c r="V34" s="213"/>
      <c r="W34" s="212">
        <v>730.849998</v>
      </c>
      <c r="X34" s="212">
        <v>0</v>
      </c>
      <c r="Y34" s="213">
        <f t="shared" si="4"/>
        <v>0</v>
      </c>
      <c r="Z34" s="213">
        <f t="shared" si="5"/>
        <v>0</v>
      </c>
      <c r="AA34" s="208">
        <v>0</v>
      </c>
      <c r="AB34" s="228">
        <v>0</v>
      </c>
      <c r="AC34" s="208">
        <v>0</v>
      </c>
      <c r="AD34" s="229">
        <v>0</v>
      </c>
      <c r="AE34" s="212">
        <f t="shared" si="16"/>
        <v>104.13659988</v>
      </c>
      <c r="AF34" s="212">
        <v>0</v>
      </c>
      <c r="AG34" s="212">
        <f t="shared" si="6"/>
        <v>301.877628</v>
      </c>
      <c r="AH34" s="212">
        <v>0</v>
      </c>
      <c r="AI34" s="212">
        <v>0</v>
      </c>
      <c r="AJ34" s="212">
        <v>301.877628</v>
      </c>
      <c r="AK34" s="213">
        <f t="shared" si="7"/>
        <v>334.92</v>
      </c>
      <c r="AL34" s="210">
        <f t="shared" si="8"/>
        <v>0</v>
      </c>
      <c r="AM34" s="235">
        <f t="shared" si="17"/>
        <v>0</v>
      </c>
      <c r="AN34" s="235">
        <f t="shared" si="9"/>
        <v>0</v>
      </c>
      <c r="AO34" s="213">
        <f t="shared" si="18"/>
        <v>0.33492</v>
      </c>
      <c r="AP34" s="209">
        <f t="shared" si="10"/>
        <v>0.01046625</v>
      </c>
      <c r="AQ34" s="213">
        <f t="shared" si="19"/>
        <v>0.16746</v>
      </c>
      <c r="AR34" s="209">
        <f t="shared" si="11"/>
        <v>0.00348875</v>
      </c>
      <c r="AS34" s="213">
        <f t="shared" si="20"/>
        <v>0</v>
      </c>
      <c r="AT34" s="211">
        <v>0</v>
      </c>
      <c r="AU34" s="211"/>
      <c r="AV34" s="237">
        <f t="shared" si="21"/>
        <v>0</v>
      </c>
      <c r="AW34" s="213"/>
      <c r="AX34" s="213"/>
      <c r="AY34" s="238"/>
      <c r="AZ34" s="238"/>
      <c r="BA34" s="213"/>
      <c r="BB34" s="238"/>
      <c r="BC34" s="238"/>
      <c r="BD34" s="213"/>
      <c r="BE34" s="213"/>
      <c r="BF34" s="213"/>
      <c r="BG34" s="213"/>
      <c r="BH34" s="213"/>
      <c r="BI34" s="213"/>
      <c r="BJ34" s="211"/>
      <c r="BP34" s="241"/>
    </row>
    <row r="35" s="190" customFormat="1" ht="15" customHeight="1" spans="1:68">
      <c r="A35" s="210">
        <v>30</v>
      </c>
      <c r="B35" s="207" t="s">
        <v>123</v>
      </c>
      <c r="C35" s="211" t="s">
        <v>123</v>
      </c>
      <c r="D35" s="211" t="s">
        <v>124</v>
      </c>
      <c r="E35" s="211" t="s">
        <v>119</v>
      </c>
      <c r="F35" s="212">
        <v>210.32</v>
      </c>
      <c r="G35" s="213">
        <f t="shared" si="0"/>
        <v>8.18797906085964</v>
      </c>
      <c r="H35" s="213">
        <f t="shared" si="12"/>
        <v>1722.09575608</v>
      </c>
      <c r="I35" s="211">
        <v>3</v>
      </c>
      <c r="J35" s="213">
        <f t="shared" si="13"/>
        <v>1792.267968</v>
      </c>
      <c r="K35" s="213">
        <f t="shared" si="14"/>
        <v>530.347968</v>
      </c>
      <c r="L35" s="207">
        <v>0</v>
      </c>
      <c r="M35" s="213">
        <f t="shared" si="1"/>
        <v>420.64</v>
      </c>
      <c r="N35" s="212">
        <v>623.913259</v>
      </c>
      <c r="O35" s="213">
        <f t="shared" si="2"/>
        <v>1261.92</v>
      </c>
      <c r="P35" s="213">
        <v>0</v>
      </c>
      <c r="Q35" s="213">
        <f t="shared" si="15"/>
        <v>637.88404608</v>
      </c>
      <c r="R35" s="213">
        <f t="shared" si="3"/>
        <v>0</v>
      </c>
      <c r="S35" s="213">
        <v>0</v>
      </c>
      <c r="T35" s="212">
        <v>0</v>
      </c>
      <c r="U35" s="211">
        <v>0</v>
      </c>
      <c r="V35" s="213"/>
      <c r="W35" s="212">
        <v>530.347968</v>
      </c>
      <c r="X35" s="212">
        <v>0</v>
      </c>
      <c r="Y35" s="213">
        <f t="shared" si="4"/>
        <v>0</v>
      </c>
      <c r="Z35" s="213">
        <f t="shared" si="5"/>
        <v>0</v>
      </c>
      <c r="AA35" s="208">
        <v>0</v>
      </c>
      <c r="AB35" s="228">
        <v>0</v>
      </c>
      <c r="AC35" s="208">
        <v>0</v>
      </c>
      <c r="AD35" s="229">
        <v>0</v>
      </c>
      <c r="AE35" s="212">
        <f t="shared" si="16"/>
        <v>107.53607808</v>
      </c>
      <c r="AF35" s="212">
        <v>0</v>
      </c>
      <c r="AG35" s="212">
        <f t="shared" si="6"/>
        <v>460.298451</v>
      </c>
      <c r="AH35" s="212">
        <v>0</v>
      </c>
      <c r="AI35" s="212">
        <v>0</v>
      </c>
      <c r="AJ35" s="212">
        <v>460.298451</v>
      </c>
      <c r="AK35" s="213">
        <f t="shared" si="7"/>
        <v>420.64</v>
      </c>
      <c r="AL35" s="210">
        <f t="shared" si="8"/>
        <v>0</v>
      </c>
      <c r="AM35" s="235">
        <f t="shared" si="17"/>
        <v>0</v>
      </c>
      <c r="AN35" s="235">
        <f t="shared" si="9"/>
        <v>0</v>
      </c>
      <c r="AO35" s="213">
        <f t="shared" si="18"/>
        <v>0.42064</v>
      </c>
      <c r="AP35" s="209">
        <f t="shared" si="10"/>
        <v>0.013145</v>
      </c>
      <c r="AQ35" s="213">
        <f t="shared" si="19"/>
        <v>0.21032</v>
      </c>
      <c r="AR35" s="209">
        <f t="shared" si="11"/>
        <v>0.00438166666666667</v>
      </c>
      <c r="AS35" s="213">
        <f t="shared" si="20"/>
        <v>0</v>
      </c>
      <c r="AT35" s="211">
        <v>0</v>
      </c>
      <c r="AU35" s="211"/>
      <c r="AV35" s="237">
        <f t="shared" si="21"/>
        <v>0</v>
      </c>
      <c r="AW35" s="213"/>
      <c r="AX35" s="213"/>
      <c r="AY35" s="238"/>
      <c r="AZ35" s="238"/>
      <c r="BA35" s="213"/>
      <c r="BB35" s="238"/>
      <c r="BC35" s="238"/>
      <c r="BD35" s="213"/>
      <c r="BE35" s="213"/>
      <c r="BF35" s="213"/>
      <c r="BG35" s="213"/>
      <c r="BH35" s="213"/>
      <c r="BI35" s="213"/>
      <c r="BJ35" s="211"/>
      <c r="BP35" s="241"/>
    </row>
    <row r="36" s="190" customFormat="1" ht="15" customHeight="1" spans="1:68">
      <c r="A36" s="210">
        <v>31</v>
      </c>
      <c r="B36" s="207" t="s">
        <v>124</v>
      </c>
      <c r="C36" s="211" t="s">
        <v>124</v>
      </c>
      <c r="D36" s="211" t="s">
        <v>125</v>
      </c>
      <c r="E36" s="211" t="s">
        <v>119</v>
      </c>
      <c r="F36" s="212">
        <v>213.4</v>
      </c>
      <c r="G36" s="213">
        <f t="shared" si="0"/>
        <v>8.86376464657919</v>
      </c>
      <c r="H36" s="213">
        <f t="shared" si="12"/>
        <v>1891.52737558</v>
      </c>
      <c r="I36" s="211">
        <v>3</v>
      </c>
      <c r="J36" s="213">
        <f t="shared" si="13"/>
        <v>1862.819393</v>
      </c>
      <c r="K36" s="213">
        <f t="shared" si="14"/>
        <v>582.419393</v>
      </c>
      <c r="L36" s="207">
        <v>0</v>
      </c>
      <c r="M36" s="213">
        <f t="shared" si="1"/>
        <v>426.8</v>
      </c>
      <c r="N36" s="212">
        <v>929.145538</v>
      </c>
      <c r="O36" s="213">
        <f t="shared" si="2"/>
        <v>1280.4</v>
      </c>
      <c r="P36" s="213">
        <v>0</v>
      </c>
      <c r="Q36" s="213">
        <f t="shared" si="15"/>
        <v>694.18855658</v>
      </c>
      <c r="R36" s="213">
        <f t="shared" si="3"/>
        <v>0</v>
      </c>
      <c r="S36" s="213">
        <v>0</v>
      </c>
      <c r="T36" s="212">
        <v>0</v>
      </c>
      <c r="U36" s="211">
        <v>0</v>
      </c>
      <c r="V36" s="213"/>
      <c r="W36" s="212">
        <v>582.419393</v>
      </c>
      <c r="X36" s="212">
        <v>0</v>
      </c>
      <c r="Y36" s="213">
        <f t="shared" si="4"/>
        <v>0</v>
      </c>
      <c r="Z36" s="213">
        <f t="shared" si="5"/>
        <v>0</v>
      </c>
      <c r="AA36" s="208">
        <v>0</v>
      </c>
      <c r="AB36" s="228">
        <v>0</v>
      </c>
      <c r="AC36" s="208">
        <v>0</v>
      </c>
      <c r="AD36" s="229">
        <v>0</v>
      </c>
      <c r="AE36" s="212">
        <f t="shared" si="16"/>
        <v>111.76916358</v>
      </c>
      <c r="AF36" s="212">
        <v>0</v>
      </c>
      <c r="AG36" s="212">
        <f t="shared" si="6"/>
        <v>268.193281</v>
      </c>
      <c r="AH36" s="212">
        <v>0</v>
      </c>
      <c r="AI36" s="212">
        <v>0</v>
      </c>
      <c r="AJ36" s="212">
        <v>268.193281</v>
      </c>
      <c r="AK36" s="213">
        <f t="shared" si="7"/>
        <v>426.8</v>
      </c>
      <c r="AL36" s="210">
        <f t="shared" si="8"/>
        <v>0</v>
      </c>
      <c r="AM36" s="235">
        <f t="shared" si="17"/>
        <v>0</v>
      </c>
      <c r="AN36" s="235">
        <f t="shared" si="9"/>
        <v>0</v>
      </c>
      <c r="AO36" s="213">
        <f t="shared" si="18"/>
        <v>0.4268</v>
      </c>
      <c r="AP36" s="209">
        <f t="shared" si="10"/>
        <v>0.0133375</v>
      </c>
      <c r="AQ36" s="213">
        <f t="shared" si="19"/>
        <v>0.2134</v>
      </c>
      <c r="AR36" s="209">
        <f t="shared" si="11"/>
        <v>0.00444583333333333</v>
      </c>
      <c r="AS36" s="213">
        <f t="shared" si="20"/>
        <v>0</v>
      </c>
      <c r="AT36" s="211">
        <v>0</v>
      </c>
      <c r="AU36" s="211"/>
      <c r="AV36" s="237">
        <f t="shared" si="21"/>
        <v>0</v>
      </c>
      <c r="AW36" s="213"/>
      <c r="AX36" s="213"/>
      <c r="AY36" s="238"/>
      <c r="AZ36" s="238"/>
      <c r="BA36" s="213"/>
      <c r="BB36" s="238"/>
      <c r="BC36" s="238"/>
      <c r="BD36" s="213"/>
      <c r="BE36" s="213"/>
      <c r="BF36" s="213"/>
      <c r="BG36" s="213"/>
      <c r="BH36" s="213"/>
      <c r="BI36" s="213"/>
      <c r="BJ36" s="211"/>
      <c r="BP36" s="241"/>
    </row>
    <row r="37" s="190" customFormat="1" ht="15" customHeight="1" spans="1:68">
      <c r="A37" s="210">
        <v>32</v>
      </c>
      <c r="B37" s="207" t="s">
        <v>125</v>
      </c>
      <c r="C37" s="211" t="s">
        <v>125</v>
      </c>
      <c r="D37" s="211" t="s">
        <v>111</v>
      </c>
      <c r="E37" s="211" t="s">
        <v>119</v>
      </c>
      <c r="F37" s="212">
        <v>282.95</v>
      </c>
      <c r="G37" s="213">
        <f t="shared" si="0"/>
        <v>8.11524547234494</v>
      </c>
      <c r="H37" s="213">
        <f t="shared" si="12"/>
        <v>2296.2087064</v>
      </c>
      <c r="I37" s="211">
        <v>3</v>
      </c>
      <c r="J37" s="213">
        <f t="shared" si="13"/>
        <v>2170.67469</v>
      </c>
      <c r="K37" s="213">
        <f t="shared" si="14"/>
        <v>472.97469</v>
      </c>
      <c r="L37" s="207">
        <v>0</v>
      </c>
      <c r="M37" s="213">
        <f t="shared" si="1"/>
        <v>565.9</v>
      </c>
      <c r="N37" s="212">
        <v>1405.75265</v>
      </c>
      <c r="O37" s="213">
        <f t="shared" si="2"/>
        <v>1697.7</v>
      </c>
      <c r="P37" s="213">
        <v>0</v>
      </c>
      <c r="Q37" s="213">
        <f t="shared" si="15"/>
        <v>603.2151714</v>
      </c>
      <c r="R37" s="213">
        <f t="shared" si="3"/>
        <v>0</v>
      </c>
      <c r="S37" s="213">
        <f>T37</f>
        <v>55.083625</v>
      </c>
      <c r="T37" s="212">
        <v>55.083625</v>
      </c>
      <c r="U37" s="211">
        <v>0</v>
      </c>
      <c r="V37" s="213"/>
      <c r="W37" s="212">
        <v>417.891065</v>
      </c>
      <c r="X37" s="212">
        <v>0</v>
      </c>
      <c r="Y37" s="213">
        <f t="shared" si="4"/>
        <v>0</v>
      </c>
      <c r="Z37" s="213">
        <f t="shared" si="5"/>
        <v>36.530908</v>
      </c>
      <c r="AA37" s="208">
        <v>0</v>
      </c>
      <c r="AB37" s="228">
        <v>36.530908</v>
      </c>
      <c r="AC37" s="208">
        <v>0</v>
      </c>
      <c r="AD37" s="229">
        <v>0</v>
      </c>
      <c r="AE37" s="212">
        <f t="shared" si="16"/>
        <v>130.2404814</v>
      </c>
      <c r="AF37" s="212">
        <v>0</v>
      </c>
      <c r="AG37" s="212">
        <f t="shared" si="6"/>
        <v>214.179069</v>
      </c>
      <c r="AH37" s="212">
        <v>0</v>
      </c>
      <c r="AI37" s="212">
        <v>0</v>
      </c>
      <c r="AJ37" s="212">
        <v>214.179069</v>
      </c>
      <c r="AK37" s="213">
        <f t="shared" si="7"/>
        <v>565.9</v>
      </c>
      <c r="AL37" s="210">
        <f t="shared" si="8"/>
        <v>0</v>
      </c>
      <c r="AM37" s="235">
        <f t="shared" si="17"/>
        <v>0</v>
      </c>
      <c r="AN37" s="235">
        <f t="shared" si="9"/>
        <v>0</v>
      </c>
      <c r="AO37" s="213">
        <f t="shared" si="18"/>
        <v>0.5659</v>
      </c>
      <c r="AP37" s="209">
        <f t="shared" si="10"/>
        <v>0.017684375</v>
      </c>
      <c r="AQ37" s="213">
        <f t="shared" si="19"/>
        <v>0.28295</v>
      </c>
      <c r="AR37" s="209">
        <f t="shared" si="11"/>
        <v>0.00589479166666667</v>
      </c>
      <c r="AS37" s="213">
        <f t="shared" si="20"/>
        <v>0</v>
      </c>
      <c r="AT37" s="211">
        <v>0</v>
      </c>
      <c r="AU37" s="211"/>
      <c r="AV37" s="237">
        <f t="shared" si="21"/>
        <v>0</v>
      </c>
      <c r="AW37" s="213"/>
      <c r="AX37" s="213"/>
      <c r="AY37" s="238"/>
      <c r="AZ37" s="238"/>
      <c r="BA37" s="213"/>
      <c r="BB37" s="238"/>
      <c r="BC37" s="238"/>
      <c r="BD37" s="213"/>
      <c r="BE37" s="213"/>
      <c r="BF37" s="213"/>
      <c r="BG37" s="213"/>
      <c r="BH37" s="213"/>
      <c r="BI37" s="213"/>
      <c r="BJ37" s="211"/>
      <c r="BP37" s="241"/>
    </row>
    <row r="38" s="190" customFormat="1" ht="15" customHeight="1" spans="1:68">
      <c r="A38" s="210">
        <v>33</v>
      </c>
      <c r="B38" s="207" t="s">
        <v>126</v>
      </c>
      <c r="C38" s="211" t="s">
        <v>126</v>
      </c>
      <c r="D38" s="211" t="s">
        <v>125</v>
      </c>
      <c r="E38" s="211" t="s">
        <v>119</v>
      </c>
      <c r="F38" s="212">
        <v>111.04</v>
      </c>
      <c r="G38" s="213">
        <f t="shared" si="0"/>
        <v>9.13456658933717</v>
      </c>
      <c r="H38" s="213">
        <f t="shared" si="12"/>
        <v>1014.30227408</v>
      </c>
      <c r="I38" s="211">
        <v>3</v>
      </c>
      <c r="J38" s="213">
        <f t="shared" si="13"/>
        <v>830.474818</v>
      </c>
      <c r="K38" s="213">
        <f t="shared" si="14"/>
        <v>164.234818</v>
      </c>
      <c r="L38" s="207">
        <v>0</v>
      </c>
      <c r="M38" s="213">
        <f t="shared" si="1"/>
        <v>222.08</v>
      </c>
      <c r="N38" s="212">
        <v>505.744811</v>
      </c>
      <c r="O38" s="213">
        <f t="shared" si="2"/>
        <v>666.24</v>
      </c>
      <c r="P38" s="213">
        <v>0</v>
      </c>
      <c r="Q38" s="213">
        <f t="shared" si="15"/>
        <v>214.06330708</v>
      </c>
      <c r="R38" s="213">
        <f t="shared" si="3"/>
        <v>0</v>
      </c>
      <c r="S38" s="213">
        <v>0</v>
      </c>
      <c r="T38" s="212">
        <v>0</v>
      </c>
      <c r="U38" s="211">
        <v>0</v>
      </c>
      <c r="V38" s="213"/>
      <c r="W38" s="212">
        <v>164.234818</v>
      </c>
      <c r="X38" s="212">
        <v>0</v>
      </c>
      <c r="Y38" s="213">
        <f t="shared" si="4"/>
        <v>0</v>
      </c>
      <c r="Z38" s="213">
        <f t="shared" si="5"/>
        <v>0</v>
      </c>
      <c r="AA38" s="208">
        <v>0</v>
      </c>
      <c r="AB38" s="228">
        <v>0</v>
      </c>
      <c r="AC38" s="208">
        <v>0</v>
      </c>
      <c r="AD38" s="229">
        <v>0</v>
      </c>
      <c r="AE38" s="212">
        <f t="shared" si="16"/>
        <v>49.82848908</v>
      </c>
      <c r="AF38" s="212">
        <v>0</v>
      </c>
      <c r="AG38" s="212">
        <f t="shared" si="6"/>
        <v>294.494156</v>
      </c>
      <c r="AH38" s="212">
        <v>0</v>
      </c>
      <c r="AI38" s="212">
        <v>0</v>
      </c>
      <c r="AJ38" s="212">
        <v>294.494156</v>
      </c>
      <c r="AK38" s="213">
        <f t="shared" si="7"/>
        <v>222.08</v>
      </c>
      <c r="AL38" s="210">
        <f t="shared" si="8"/>
        <v>0</v>
      </c>
      <c r="AM38" s="235">
        <f t="shared" si="17"/>
        <v>0</v>
      </c>
      <c r="AN38" s="235">
        <f t="shared" si="9"/>
        <v>0</v>
      </c>
      <c r="AO38" s="213">
        <f t="shared" si="18"/>
        <v>0.22208</v>
      </c>
      <c r="AP38" s="209">
        <f t="shared" si="10"/>
        <v>0.00694</v>
      </c>
      <c r="AQ38" s="213">
        <f t="shared" si="19"/>
        <v>0.11104</v>
      </c>
      <c r="AR38" s="209">
        <f t="shared" si="11"/>
        <v>0.00231333333333333</v>
      </c>
      <c r="AS38" s="213">
        <f t="shared" si="20"/>
        <v>0</v>
      </c>
      <c r="AT38" s="211">
        <v>0</v>
      </c>
      <c r="AU38" s="211"/>
      <c r="AV38" s="237">
        <f t="shared" si="21"/>
        <v>0</v>
      </c>
      <c r="AW38" s="213"/>
      <c r="AX38" s="213"/>
      <c r="AY38" s="238"/>
      <c r="AZ38" s="238"/>
      <c r="BA38" s="213"/>
      <c r="BB38" s="238"/>
      <c r="BC38" s="238"/>
      <c r="BD38" s="213"/>
      <c r="BE38" s="213"/>
      <c r="BF38" s="213"/>
      <c r="BG38" s="213"/>
      <c r="BH38" s="213"/>
      <c r="BI38" s="213"/>
      <c r="BJ38" s="211"/>
      <c r="BP38" s="241"/>
    </row>
    <row r="39" s="192" customFormat="1" ht="15" customHeight="1" spans="1:68">
      <c r="A39" s="218">
        <v>34</v>
      </c>
      <c r="B39" s="215" t="s">
        <v>119</v>
      </c>
      <c r="C39" s="219" t="s">
        <v>119</v>
      </c>
      <c r="D39" s="219" t="s">
        <v>111</v>
      </c>
      <c r="E39" s="219" t="s">
        <v>88</v>
      </c>
      <c r="F39" s="220">
        <v>675.06</v>
      </c>
      <c r="G39" s="221">
        <f t="shared" si="0"/>
        <v>25.012942493008</v>
      </c>
      <c r="H39" s="213">
        <f t="shared" si="12"/>
        <v>16885.23695933</v>
      </c>
      <c r="I39" s="219">
        <v>2</v>
      </c>
      <c r="J39" s="213">
        <f t="shared" si="13"/>
        <v>5965.319819</v>
      </c>
      <c r="K39" s="213">
        <f t="shared" si="14"/>
        <v>1914.959819</v>
      </c>
      <c r="L39" s="215">
        <v>2</v>
      </c>
      <c r="M39" s="213">
        <f t="shared" si="1"/>
        <v>1350.12</v>
      </c>
      <c r="N39" s="220">
        <v>4881.312456</v>
      </c>
      <c r="O39" s="221">
        <f t="shared" si="2"/>
        <v>4050.36</v>
      </c>
      <c r="P39" s="221">
        <v>0</v>
      </c>
      <c r="Q39" s="213">
        <f t="shared" si="15"/>
        <v>2332.53220633</v>
      </c>
      <c r="R39" s="213">
        <f t="shared" si="3"/>
        <v>0</v>
      </c>
      <c r="S39" s="213">
        <v>0</v>
      </c>
      <c r="T39" s="220">
        <v>0</v>
      </c>
      <c r="U39" s="219">
        <v>0</v>
      </c>
      <c r="V39" s="221"/>
      <c r="W39" s="220">
        <v>1914.959819</v>
      </c>
      <c r="X39" s="220">
        <v>0</v>
      </c>
      <c r="Y39" s="221">
        <f t="shared" si="4"/>
        <v>0</v>
      </c>
      <c r="Z39" s="213">
        <f t="shared" si="5"/>
        <v>62.42545</v>
      </c>
      <c r="AA39" s="216">
        <v>62.42545</v>
      </c>
      <c r="AB39" s="230">
        <v>0</v>
      </c>
      <c r="AC39" s="216">
        <v>0</v>
      </c>
      <c r="AD39" s="231">
        <v>0</v>
      </c>
      <c r="AE39" s="212">
        <f t="shared" si="16"/>
        <v>417.57238733</v>
      </c>
      <c r="AF39" s="220">
        <v>259.054846</v>
      </c>
      <c r="AG39" s="212">
        <f t="shared" si="6"/>
        <v>9287.486551</v>
      </c>
      <c r="AH39" s="220">
        <v>0</v>
      </c>
      <c r="AI39" s="220">
        <v>0</v>
      </c>
      <c r="AJ39" s="220">
        <v>9287.486551</v>
      </c>
      <c r="AK39" s="221">
        <f t="shared" si="7"/>
        <v>1350.12</v>
      </c>
      <c r="AL39" s="210">
        <f t="shared" si="8"/>
        <v>0</v>
      </c>
      <c r="AM39" s="235">
        <f t="shared" si="17"/>
        <v>0</v>
      </c>
      <c r="AN39" s="235">
        <f t="shared" si="9"/>
        <v>0</v>
      </c>
      <c r="AO39" s="213">
        <f t="shared" si="18"/>
        <v>2.70024</v>
      </c>
      <c r="AP39" s="209">
        <f t="shared" si="10"/>
        <v>0.0843825</v>
      </c>
      <c r="AQ39" s="213">
        <f t="shared" si="19"/>
        <v>1.35012</v>
      </c>
      <c r="AR39" s="209">
        <f t="shared" si="11"/>
        <v>0.0281275</v>
      </c>
      <c r="AS39" s="213">
        <f t="shared" si="20"/>
        <v>0</v>
      </c>
      <c r="AT39" s="219">
        <v>0</v>
      </c>
      <c r="AU39" s="219" t="s">
        <v>89</v>
      </c>
      <c r="AV39" s="237">
        <f t="shared" si="21"/>
        <v>0</v>
      </c>
      <c r="AW39" s="213"/>
      <c r="AX39" s="213"/>
      <c r="AY39" s="238"/>
      <c r="AZ39" s="221"/>
      <c r="BA39" s="213"/>
      <c r="BB39" s="238"/>
      <c r="BC39" s="238"/>
      <c r="BD39" s="221"/>
      <c r="BE39" s="213"/>
      <c r="BF39" s="221"/>
      <c r="BG39" s="213"/>
      <c r="BH39" s="213"/>
      <c r="BI39" s="213"/>
      <c r="BJ39" s="219"/>
      <c r="BP39" s="243"/>
    </row>
    <row r="40" s="192" customFormat="1" ht="15" customHeight="1" spans="1:68">
      <c r="A40" s="218">
        <v>35</v>
      </c>
      <c r="B40" s="215" t="s">
        <v>119</v>
      </c>
      <c r="C40" s="219" t="s">
        <v>119</v>
      </c>
      <c r="D40" s="219" t="s">
        <v>92</v>
      </c>
      <c r="E40" s="219" t="s">
        <v>111</v>
      </c>
      <c r="F40" s="220">
        <v>235.19</v>
      </c>
      <c r="G40" s="221">
        <f t="shared" si="0"/>
        <v>19.3598417906799</v>
      </c>
      <c r="H40" s="213">
        <f t="shared" si="12"/>
        <v>4553.24119075</v>
      </c>
      <c r="I40" s="219">
        <v>2</v>
      </c>
      <c r="J40" s="213">
        <f t="shared" si="13"/>
        <v>2893.636325</v>
      </c>
      <c r="K40" s="213">
        <f t="shared" si="14"/>
        <v>1482.496325</v>
      </c>
      <c r="L40" s="215">
        <v>2</v>
      </c>
      <c r="M40" s="213">
        <f t="shared" si="1"/>
        <v>470.38</v>
      </c>
      <c r="N40" s="220">
        <v>2868.190323</v>
      </c>
      <c r="O40" s="221">
        <f t="shared" si="2"/>
        <v>1411.14</v>
      </c>
      <c r="P40" s="221">
        <v>0</v>
      </c>
      <c r="Q40" s="213">
        <f t="shared" si="15"/>
        <v>1685.05086775</v>
      </c>
      <c r="R40" s="213">
        <f t="shared" si="3"/>
        <v>0</v>
      </c>
      <c r="S40" s="213">
        <v>0</v>
      </c>
      <c r="T40" s="220">
        <v>0</v>
      </c>
      <c r="U40" s="219">
        <v>0</v>
      </c>
      <c r="V40" s="221"/>
      <c r="W40" s="220">
        <v>1482.496325</v>
      </c>
      <c r="X40" s="220">
        <v>0</v>
      </c>
      <c r="Y40" s="221">
        <f t="shared" si="4"/>
        <v>0</v>
      </c>
      <c r="Z40" s="213">
        <f t="shared" si="5"/>
        <v>0</v>
      </c>
      <c r="AA40" s="216">
        <v>0</v>
      </c>
      <c r="AB40" s="230">
        <v>0</v>
      </c>
      <c r="AC40" s="216">
        <v>0</v>
      </c>
      <c r="AD40" s="231">
        <v>0</v>
      </c>
      <c r="AE40" s="212">
        <f t="shared" si="16"/>
        <v>202.55454275</v>
      </c>
      <c r="AF40" s="220">
        <v>0</v>
      </c>
      <c r="AG40" s="212">
        <f t="shared" si="6"/>
        <v>0</v>
      </c>
      <c r="AH40" s="220">
        <v>0</v>
      </c>
      <c r="AI40" s="220">
        <v>0</v>
      </c>
      <c r="AJ40" s="220">
        <v>0</v>
      </c>
      <c r="AK40" s="221">
        <f t="shared" si="7"/>
        <v>470.38</v>
      </c>
      <c r="AL40" s="210">
        <f t="shared" si="8"/>
        <v>0</v>
      </c>
      <c r="AM40" s="235">
        <f t="shared" si="17"/>
        <v>0</v>
      </c>
      <c r="AN40" s="235">
        <f t="shared" si="9"/>
        <v>0</v>
      </c>
      <c r="AO40" s="213">
        <f t="shared" si="18"/>
        <v>0.94076</v>
      </c>
      <c r="AP40" s="209">
        <f t="shared" si="10"/>
        <v>0.02939875</v>
      </c>
      <c r="AQ40" s="213">
        <f t="shared" si="19"/>
        <v>0.47038</v>
      </c>
      <c r="AR40" s="209">
        <f t="shared" si="11"/>
        <v>0.00979958333333333</v>
      </c>
      <c r="AS40" s="213">
        <f t="shared" si="20"/>
        <v>0</v>
      </c>
      <c r="AT40" s="219">
        <v>0</v>
      </c>
      <c r="AU40" s="219" t="s">
        <v>89</v>
      </c>
      <c r="AV40" s="237">
        <f t="shared" si="21"/>
        <v>0</v>
      </c>
      <c r="AW40" s="213"/>
      <c r="AX40" s="213"/>
      <c r="AY40" s="238"/>
      <c r="AZ40" s="221"/>
      <c r="BA40" s="213"/>
      <c r="BB40" s="238"/>
      <c r="BC40" s="238"/>
      <c r="BD40" s="221"/>
      <c r="BE40" s="213"/>
      <c r="BF40" s="221"/>
      <c r="BG40" s="213"/>
      <c r="BH40" s="213"/>
      <c r="BI40" s="213"/>
      <c r="BJ40" s="219"/>
      <c r="BP40" s="243"/>
    </row>
    <row r="41" s="189" customFormat="1" ht="15" customHeight="1" spans="1:68">
      <c r="A41" s="206">
        <v>36</v>
      </c>
      <c r="B41" s="207" t="s">
        <v>127</v>
      </c>
      <c r="C41" s="207" t="s">
        <v>127</v>
      </c>
      <c r="D41" s="207" t="s">
        <v>119</v>
      </c>
      <c r="E41" s="207" t="s">
        <v>114</v>
      </c>
      <c r="F41" s="208">
        <v>214.81</v>
      </c>
      <c r="G41" s="209">
        <f t="shared" si="0"/>
        <v>9.53435501485033</v>
      </c>
      <c r="H41" s="209">
        <f t="shared" si="12"/>
        <v>2048.07480074</v>
      </c>
      <c r="I41" s="207">
        <v>3</v>
      </c>
      <c r="J41" s="209">
        <f t="shared" si="13"/>
        <v>1513.495679</v>
      </c>
      <c r="K41" s="209">
        <f t="shared" si="14"/>
        <v>224.635679</v>
      </c>
      <c r="L41" s="207">
        <v>0</v>
      </c>
      <c r="M41" s="209">
        <f t="shared" si="1"/>
        <v>429.62</v>
      </c>
      <c r="N41" s="208">
        <v>1717.35209</v>
      </c>
      <c r="O41" s="209">
        <f t="shared" si="2"/>
        <v>1288.86</v>
      </c>
      <c r="P41" s="209">
        <v>0</v>
      </c>
      <c r="Q41" s="209">
        <f t="shared" si="15"/>
        <v>315.44541974</v>
      </c>
      <c r="R41" s="209">
        <f t="shared" si="3"/>
        <v>0</v>
      </c>
      <c r="S41" s="209">
        <v>0</v>
      </c>
      <c r="T41" s="208">
        <v>0</v>
      </c>
      <c r="U41" s="207">
        <v>0</v>
      </c>
      <c r="V41" s="209"/>
      <c r="W41" s="208">
        <v>224.635679</v>
      </c>
      <c r="X41" s="208">
        <v>0</v>
      </c>
      <c r="Y41" s="209">
        <f t="shared" si="4"/>
        <v>0</v>
      </c>
      <c r="Z41" s="209">
        <f t="shared" si="5"/>
        <v>0</v>
      </c>
      <c r="AA41" s="208">
        <v>0</v>
      </c>
      <c r="AB41" s="228">
        <v>0</v>
      </c>
      <c r="AC41" s="208">
        <v>0</v>
      </c>
      <c r="AD41" s="229">
        <v>0</v>
      </c>
      <c r="AE41" s="208">
        <f t="shared" si="16"/>
        <v>90.80974074</v>
      </c>
      <c r="AF41" s="208">
        <v>0</v>
      </c>
      <c r="AG41" s="208">
        <f t="shared" si="6"/>
        <v>15.277291</v>
      </c>
      <c r="AH41" s="208">
        <v>0</v>
      </c>
      <c r="AI41" s="208">
        <v>0</v>
      </c>
      <c r="AJ41" s="208">
        <v>15.277291</v>
      </c>
      <c r="AK41" s="209">
        <f t="shared" si="7"/>
        <v>429.62</v>
      </c>
      <c r="AL41" s="206">
        <f t="shared" si="8"/>
        <v>0</v>
      </c>
      <c r="AM41" s="235">
        <f t="shared" si="17"/>
        <v>0</v>
      </c>
      <c r="AN41" s="235">
        <f t="shared" si="9"/>
        <v>0</v>
      </c>
      <c r="AO41" s="209">
        <f t="shared" si="18"/>
        <v>0.42962</v>
      </c>
      <c r="AP41" s="209">
        <f t="shared" si="10"/>
        <v>0.013425625</v>
      </c>
      <c r="AQ41" s="209">
        <f t="shared" si="19"/>
        <v>0.21481</v>
      </c>
      <c r="AR41" s="209">
        <f t="shared" si="11"/>
        <v>0.00447520833333333</v>
      </c>
      <c r="AS41" s="209">
        <f t="shared" si="20"/>
        <v>0</v>
      </c>
      <c r="AT41" s="207">
        <v>0</v>
      </c>
      <c r="AU41" s="207"/>
      <c r="AV41" s="237">
        <f t="shared" si="21"/>
        <v>0</v>
      </c>
      <c r="AW41" s="209"/>
      <c r="AX41" s="209"/>
      <c r="AY41" s="237"/>
      <c r="AZ41" s="237"/>
      <c r="BA41" s="209"/>
      <c r="BB41" s="237"/>
      <c r="BC41" s="237"/>
      <c r="BD41" s="209"/>
      <c r="BE41" s="209"/>
      <c r="BF41" s="209"/>
      <c r="BG41" s="209"/>
      <c r="BH41" s="209"/>
      <c r="BI41" s="209"/>
      <c r="BJ41" s="207"/>
      <c r="BP41" s="240"/>
    </row>
    <row r="42" s="190" customFormat="1" ht="15" customHeight="1" spans="1:68">
      <c r="A42" s="210">
        <v>37</v>
      </c>
      <c r="B42" s="207" t="s">
        <v>128</v>
      </c>
      <c r="C42" s="211" t="s">
        <v>128</v>
      </c>
      <c r="D42" s="211" t="s">
        <v>111</v>
      </c>
      <c r="E42" s="211" t="s">
        <v>129</v>
      </c>
      <c r="F42" s="212">
        <v>232.57</v>
      </c>
      <c r="G42" s="213">
        <f t="shared" si="0"/>
        <v>7.20650574820484</v>
      </c>
      <c r="H42" s="213">
        <f t="shared" si="12"/>
        <v>1676.01704186</v>
      </c>
      <c r="I42" s="211">
        <v>3</v>
      </c>
      <c r="J42" s="213">
        <f t="shared" si="13"/>
        <v>1679.369681</v>
      </c>
      <c r="K42" s="213">
        <f t="shared" si="14"/>
        <v>283.949681</v>
      </c>
      <c r="L42" s="207">
        <v>0</v>
      </c>
      <c r="M42" s="213">
        <f t="shared" si="1"/>
        <v>465.14</v>
      </c>
      <c r="N42" s="212">
        <v>1120.845303</v>
      </c>
      <c r="O42" s="213">
        <f t="shared" si="2"/>
        <v>1395.42</v>
      </c>
      <c r="P42" s="213">
        <v>0</v>
      </c>
      <c r="Q42" s="213">
        <f t="shared" si="15"/>
        <v>384.71186186</v>
      </c>
      <c r="R42" s="213">
        <f t="shared" si="3"/>
        <v>0</v>
      </c>
      <c r="S42" s="213">
        <v>0</v>
      </c>
      <c r="T42" s="212">
        <v>0</v>
      </c>
      <c r="U42" s="211">
        <v>0</v>
      </c>
      <c r="V42" s="213"/>
      <c r="W42" s="212">
        <v>283.949681</v>
      </c>
      <c r="X42" s="212">
        <v>0</v>
      </c>
      <c r="Y42" s="213">
        <f t="shared" si="4"/>
        <v>0</v>
      </c>
      <c r="Z42" s="213">
        <f t="shared" si="5"/>
        <v>0</v>
      </c>
      <c r="AA42" s="208">
        <v>0</v>
      </c>
      <c r="AB42" s="228">
        <v>0</v>
      </c>
      <c r="AC42" s="208">
        <v>0</v>
      </c>
      <c r="AD42" s="229">
        <v>0</v>
      </c>
      <c r="AE42" s="212">
        <f t="shared" si="16"/>
        <v>100.76218086</v>
      </c>
      <c r="AF42" s="212">
        <v>0</v>
      </c>
      <c r="AG42" s="212">
        <f t="shared" si="6"/>
        <v>170.459877</v>
      </c>
      <c r="AH42" s="212">
        <v>0</v>
      </c>
      <c r="AI42" s="212">
        <v>0</v>
      </c>
      <c r="AJ42" s="212">
        <v>170.459877</v>
      </c>
      <c r="AK42" s="213">
        <f t="shared" si="7"/>
        <v>465.14</v>
      </c>
      <c r="AL42" s="210">
        <f t="shared" si="8"/>
        <v>0</v>
      </c>
      <c r="AM42" s="235">
        <f t="shared" si="17"/>
        <v>0</v>
      </c>
      <c r="AN42" s="235">
        <f t="shared" si="9"/>
        <v>0</v>
      </c>
      <c r="AO42" s="213">
        <f t="shared" si="18"/>
        <v>0.46514</v>
      </c>
      <c r="AP42" s="209">
        <f t="shared" si="10"/>
        <v>0.014535625</v>
      </c>
      <c r="AQ42" s="213">
        <f t="shared" si="19"/>
        <v>0.23257</v>
      </c>
      <c r="AR42" s="209">
        <f t="shared" si="11"/>
        <v>0.00484520833333333</v>
      </c>
      <c r="AS42" s="213">
        <f t="shared" si="20"/>
        <v>0</v>
      </c>
      <c r="AT42" s="211">
        <v>0</v>
      </c>
      <c r="AU42" s="211"/>
      <c r="AV42" s="237">
        <f t="shared" si="21"/>
        <v>0</v>
      </c>
      <c r="AW42" s="213"/>
      <c r="AX42" s="213"/>
      <c r="AY42" s="238"/>
      <c r="AZ42" s="238"/>
      <c r="BA42" s="213"/>
      <c r="BB42" s="238"/>
      <c r="BC42" s="238"/>
      <c r="BD42" s="213"/>
      <c r="BE42" s="213"/>
      <c r="BF42" s="213"/>
      <c r="BG42" s="213"/>
      <c r="BH42" s="213"/>
      <c r="BI42" s="213"/>
      <c r="BJ42" s="211"/>
      <c r="BP42" s="241"/>
    </row>
    <row r="43" s="190" customFormat="1" ht="15" customHeight="1" spans="1:68">
      <c r="A43" s="210">
        <v>38</v>
      </c>
      <c r="B43" s="207" t="s">
        <v>129</v>
      </c>
      <c r="C43" s="211" t="s">
        <v>129</v>
      </c>
      <c r="D43" s="211" t="s">
        <v>128</v>
      </c>
      <c r="E43" s="211" t="s">
        <v>102</v>
      </c>
      <c r="F43" s="212">
        <v>112.61</v>
      </c>
      <c r="G43" s="213">
        <f t="shared" si="0"/>
        <v>12.3309172720007</v>
      </c>
      <c r="H43" s="213">
        <f t="shared" si="12"/>
        <v>1388.584594</v>
      </c>
      <c r="I43" s="211">
        <v>3</v>
      </c>
      <c r="J43" s="213">
        <f t="shared" si="13"/>
        <v>675.66</v>
      </c>
      <c r="K43" s="213">
        <f t="shared" si="14"/>
        <v>0</v>
      </c>
      <c r="L43" s="207">
        <v>0</v>
      </c>
      <c r="M43" s="213">
        <f t="shared" si="1"/>
        <v>225.22</v>
      </c>
      <c r="N43" s="212">
        <v>900.586931</v>
      </c>
      <c r="O43" s="213">
        <f t="shared" si="2"/>
        <v>675.66</v>
      </c>
      <c r="P43" s="213">
        <v>0</v>
      </c>
      <c r="Q43" s="213">
        <f t="shared" si="15"/>
        <v>40.5396</v>
      </c>
      <c r="R43" s="213">
        <f t="shared" si="3"/>
        <v>0</v>
      </c>
      <c r="S43" s="213">
        <v>0</v>
      </c>
      <c r="T43" s="212">
        <v>0</v>
      </c>
      <c r="U43" s="211">
        <v>0</v>
      </c>
      <c r="V43" s="213"/>
      <c r="W43" s="212">
        <v>0</v>
      </c>
      <c r="X43" s="212">
        <v>0</v>
      </c>
      <c r="Y43" s="213">
        <f t="shared" si="4"/>
        <v>0</v>
      </c>
      <c r="Z43" s="213">
        <f t="shared" si="5"/>
        <v>0</v>
      </c>
      <c r="AA43" s="208">
        <v>0</v>
      </c>
      <c r="AB43" s="228">
        <v>0</v>
      </c>
      <c r="AC43" s="208">
        <v>0</v>
      </c>
      <c r="AD43" s="229">
        <v>0</v>
      </c>
      <c r="AE43" s="212">
        <f t="shared" si="16"/>
        <v>40.5396</v>
      </c>
      <c r="AF43" s="212">
        <v>0</v>
      </c>
      <c r="AG43" s="212">
        <f t="shared" si="6"/>
        <v>447.458063</v>
      </c>
      <c r="AH43" s="212">
        <v>0</v>
      </c>
      <c r="AI43" s="212">
        <v>0</v>
      </c>
      <c r="AJ43" s="212">
        <v>447.458063</v>
      </c>
      <c r="AK43" s="213">
        <f t="shared" si="7"/>
        <v>225.22</v>
      </c>
      <c r="AL43" s="210">
        <f t="shared" si="8"/>
        <v>0</v>
      </c>
      <c r="AM43" s="235">
        <f t="shared" si="17"/>
        <v>0</v>
      </c>
      <c r="AN43" s="235">
        <f t="shared" si="9"/>
        <v>0</v>
      </c>
      <c r="AO43" s="213">
        <f t="shared" si="18"/>
        <v>0.22522</v>
      </c>
      <c r="AP43" s="209">
        <f t="shared" si="10"/>
        <v>0.007038125</v>
      </c>
      <c r="AQ43" s="213">
        <f t="shared" si="19"/>
        <v>0.11261</v>
      </c>
      <c r="AR43" s="209">
        <f t="shared" si="11"/>
        <v>0.00234604166666667</v>
      </c>
      <c r="AS43" s="213">
        <f t="shared" si="20"/>
        <v>0</v>
      </c>
      <c r="AT43" s="211">
        <v>0</v>
      </c>
      <c r="AU43" s="211"/>
      <c r="AV43" s="237">
        <f t="shared" si="21"/>
        <v>0</v>
      </c>
      <c r="AW43" s="213"/>
      <c r="AX43" s="213"/>
      <c r="AY43" s="238"/>
      <c r="AZ43" s="238"/>
      <c r="BA43" s="213"/>
      <c r="BB43" s="238"/>
      <c r="BC43" s="238"/>
      <c r="BD43" s="213"/>
      <c r="BE43" s="213"/>
      <c r="BF43" s="213"/>
      <c r="BG43" s="213"/>
      <c r="BH43" s="213"/>
      <c r="BI43" s="213"/>
      <c r="BJ43" s="211"/>
      <c r="BP43" s="241"/>
    </row>
    <row r="44" s="190" customFormat="1" ht="15" customHeight="1" spans="1:68">
      <c r="A44" s="210">
        <v>39</v>
      </c>
      <c r="B44" s="207" t="s">
        <v>130</v>
      </c>
      <c r="C44" s="211" t="s">
        <v>130</v>
      </c>
      <c r="D44" s="211" t="s">
        <v>128</v>
      </c>
      <c r="E44" s="211" t="s">
        <v>129</v>
      </c>
      <c r="F44" s="212">
        <v>52.94</v>
      </c>
      <c r="G44" s="213">
        <f t="shared" si="0"/>
        <v>18.2704792784284</v>
      </c>
      <c r="H44" s="213">
        <f t="shared" si="12"/>
        <v>967.239173</v>
      </c>
      <c r="I44" s="211">
        <v>3</v>
      </c>
      <c r="J44" s="213">
        <f t="shared" si="13"/>
        <v>317.64</v>
      </c>
      <c r="K44" s="213">
        <f t="shared" si="14"/>
        <v>0</v>
      </c>
      <c r="L44" s="207">
        <v>0</v>
      </c>
      <c r="M44" s="213">
        <f t="shared" si="1"/>
        <v>105.88</v>
      </c>
      <c r="N44" s="212">
        <v>332.674602</v>
      </c>
      <c r="O44" s="213">
        <f t="shared" si="2"/>
        <v>317.64</v>
      </c>
      <c r="P44" s="213">
        <v>0</v>
      </c>
      <c r="Q44" s="213">
        <f t="shared" si="15"/>
        <v>19.0584</v>
      </c>
      <c r="R44" s="213">
        <f t="shared" si="3"/>
        <v>0</v>
      </c>
      <c r="S44" s="213">
        <v>0</v>
      </c>
      <c r="T44" s="212">
        <v>0</v>
      </c>
      <c r="U44" s="211">
        <v>0</v>
      </c>
      <c r="V44" s="213"/>
      <c r="W44" s="212">
        <v>0</v>
      </c>
      <c r="X44" s="212">
        <v>0</v>
      </c>
      <c r="Y44" s="213">
        <f t="shared" si="4"/>
        <v>0</v>
      </c>
      <c r="Z44" s="213">
        <f t="shared" si="5"/>
        <v>0</v>
      </c>
      <c r="AA44" s="208">
        <v>0</v>
      </c>
      <c r="AB44" s="228">
        <v>0</v>
      </c>
      <c r="AC44" s="208">
        <v>0</v>
      </c>
      <c r="AD44" s="229">
        <v>0</v>
      </c>
      <c r="AE44" s="212">
        <f t="shared" si="16"/>
        <v>19.0584</v>
      </c>
      <c r="AF44" s="212">
        <v>0</v>
      </c>
      <c r="AG44" s="212">
        <f t="shared" si="6"/>
        <v>615.506171</v>
      </c>
      <c r="AH44" s="212">
        <v>0</v>
      </c>
      <c r="AI44" s="212">
        <v>0</v>
      </c>
      <c r="AJ44" s="212">
        <v>615.506171</v>
      </c>
      <c r="AK44" s="213">
        <f t="shared" si="7"/>
        <v>105.88</v>
      </c>
      <c r="AL44" s="210">
        <f t="shared" si="8"/>
        <v>0</v>
      </c>
      <c r="AM44" s="235">
        <f t="shared" si="17"/>
        <v>0</v>
      </c>
      <c r="AN44" s="235">
        <f t="shared" si="9"/>
        <v>0</v>
      </c>
      <c r="AO44" s="213">
        <f t="shared" si="18"/>
        <v>0.10588</v>
      </c>
      <c r="AP44" s="209">
        <f t="shared" si="10"/>
        <v>0.00330875</v>
      </c>
      <c r="AQ44" s="213">
        <f t="shared" si="19"/>
        <v>0.05294</v>
      </c>
      <c r="AR44" s="209">
        <f t="shared" si="11"/>
        <v>0.00110291666666667</v>
      </c>
      <c r="AS44" s="213">
        <f t="shared" si="20"/>
        <v>0</v>
      </c>
      <c r="AT44" s="211">
        <v>0</v>
      </c>
      <c r="AU44" s="211"/>
      <c r="AV44" s="237">
        <f t="shared" si="21"/>
        <v>0</v>
      </c>
      <c r="AW44" s="213"/>
      <c r="AX44" s="213"/>
      <c r="AY44" s="238"/>
      <c r="AZ44" s="238"/>
      <c r="BA44" s="213"/>
      <c r="BB44" s="238"/>
      <c r="BC44" s="238"/>
      <c r="BD44" s="213"/>
      <c r="BE44" s="213"/>
      <c r="BF44" s="213"/>
      <c r="BG44" s="213"/>
      <c r="BH44" s="213"/>
      <c r="BI44" s="213"/>
      <c r="BJ44" s="211"/>
      <c r="BP44" s="241"/>
    </row>
    <row r="45" s="190" customFormat="1" ht="15" customHeight="1" spans="1:68">
      <c r="A45" s="210">
        <v>40</v>
      </c>
      <c r="B45" s="207" t="s">
        <v>131</v>
      </c>
      <c r="C45" s="211" t="s">
        <v>131</v>
      </c>
      <c r="D45" s="211" t="s">
        <v>128</v>
      </c>
      <c r="E45" s="211" t="s">
        <v>132</v>
      </c>
      <c r="F45" s="212">
        <v>51.04</v>
      </c>
      <c r="G45" s="213">
        <f t="shared" si="0"/>
        <v>18.8839931230408</v>
      </c>
      <c r="H45" s="213">
        <f t="shared" si="12"/>
        <v>963.839009</v>
      </c>
      <c r="I45" s="211">
        <v>3</v>
      </c>
      <c r="J45" s="213">
        <f t="shared" si="13"/>
        <v>306.24</v>
      </c>
      <c r="K45" s="213">
        <f t="shared" si="14"/>
        <v>0</v>
      </c>
      <c r="L45" s="207">
        <v>0</v>
      </c>
      <c r="M45" s="213">
        <f t="shared" si="1"/>
        <v>102.08</v>
      </c>
      <c r="N45" s="212">
        <v>248.95375</v>
      </c>
      <c r="O45" s="213">
        <f t="shared" si="2"/>
        <v>306.24</v>
      </c>
      <c r="P45" s="213">
        <v>0</v>
      </c>
      <c r="Q45" s="213">
        <f t="shared" si="15"/>
        <v>18.3744</v>
      </c>
      <c r="R45" s="213">
        <f t="shared" si="3"/>
        <v>0</v>
      </c>
      <c r="S45" s="213">
        <v>0</v>
      </c>
      <c r="T45" s="212">
        <v>0</v>
      </c>
      <c r="U45" s="211">
        <v>0</v>
      </c>
      <c r="V45" s="213"/>
      <c r="W45" s="212">
        <v>0</v>
      </c>
      <c r="X45" s="212">
        <v>0</v>
      </c>
      <c r="Y45" s="213">
        <f t="shared" si="4"/>
        <v>0</v>
      </c>
      <c r="Z45" s="213">
        <f t="shared" si="5"/>
        <v>0</v>
      </c>
      <c r="AA45" s="208">
        <v>0</v>
      </c>
      <c r="AB45" s="228">
        <v>0</v>
      </c>
      <c r="AC45" s="208">
        <v>0</v>
      </c>
      <c r="AD45" s="229">
        <v>0</v>
      </c>
      <c r="AE45" s="212">
        <f t="shared" si="16"/>
        <v>18.3744</v>
      </c>
      <c r="AF45" s="212">
        <v>154.754325</v>
      </c>
      <c r="AG45" s="212">
        <f t="shared" si="6"/>
        <v>541.756534</v>
      </c>
      <c r="AH45" s="212">
        <v>0</v>
      </c>
      <c r="AI45" s="212">
        <v>0</v>
      </c>
      <c r="AJ45" s="212">
        <v>541.756534</v>
      </c>
      <c r="AK45" s="213">
        <f t="shared" si="7"/>
        <v>102.08</v>
      </c>
      <c r="AL45" s="210">
        <f t="shared" si="8"/>
        <v>0</v>
      </c>
      <c r="AM45" s="235">
        <f t="shared" si="17"/>
        <v>0</v>
      </c>
      <c r="AN45" s="235">
        <f t="shared" si="9"/>
        <v>0</v>
      </c>
      <c r="AO45" s="213">
        <f t="shared" si="18"/>
        <v>0.10208</v>
      </c>
      <c r="AP45" s="209">
        <f t="shared" si="10"/>
        <v>0.00319</v>
      </c>
      <c r="AQ45" s="213">
        <f t="shared" si="19"/>
        <v>0.05104</v>
      </c>
      <c r="AR45" s="209">
        <f t="shared" si="11"/>
        <v>0.00106333333333333</v>
      </c>
      <c r="AS45" s="213">
        <f t="shared" si="20"/>
        <v>0</v>
      </c>
      <c r="AT45" s="211">
        <v>0</v>
      </c>
      <c r="AU45" s="211"/>
      <c r="AV45" s="237">
        <f t="shared" si="21"/>
        <v>0</v>
      </c>
      <c r="AW45" s="213"/>
      <c r="AX45" s="213"/>
      <c r="AY45" s="238"/>
      <c r="AZ45" s="238"/>
      <c r="BA45" s="213"/>
      <c r="BB45" s="238"/>
      <c r="BC45" s="238"/>
      <c r="BD45" s="213"/>
      <c r="BE45" s="213"/>
      <c r="BF45" s="213"/>
      <c r="BG45" s="213"/>
      <c r="BH45" s="213"/>
      <c r="BI45" s="213"/>
      <c r="BJ45" s="211"/>
      <c r="BP45" s="241"/>
    </row>
    <row r="46" s="190" customFormat="1" ht="15" customHeight="1" spans="1:68">
      <c r="A46" s="210">
        <v>41</v>
      </c>
      <c r="B46" s="207" t="s">
        <v>133</v>
      </c>
      <c r="C46" s="211" t="s">
        <v>133</v>
      </c>
      <c r="D46" s="211" t="s">
        <v>119</v>
      </c>
      <c r="E46" s="211" t="s">
        <v>127</v>
      </c>
      <c r="F46" s="212">
        <v>154.88</v>
      </c>
      <c r="G46" s="213">
        <f t="shared" si="0"/>
        <v>15.6708152603306</v>
      </c>
      <c r="H46" s="213">
        <f t="shared" si="12"/>
        <v>2427.09586752</v>
      </c>
      <c r="I46" s="211">
        <v>3</v>
      </c>
      <c r="J46" s="213">
        <f t="shared" si="13"/>
        <v>2031.637392</v>
      </c>
      <c r="K46" s="213">
        <f t="shared" si="14"/>
        <v>1102.357392</v>
      </c>
      <c r="L46" s="207">
        <v>0</v>
      </c>
      <c r="M46" s="213">
        <f t="shared" si="1"/>
        <v>309.76</v>
      </c>
      <c r="N46" s="212">
        <v>1202.840232</v>
      </c>
      <c r="O46" s="213">
        <f t="shared" si="2"/>
        <v>929.28</v>
      </c>
      <c r="P46" s="213">
        <v>0</v>
      </c>
      <c r="Q46" s="213">
        <f t="shared" si="15"/>
        <v>1224.25563552</v>
      </c>
      <c r="R46" s="213">
        <f t="shared" si="3"/>
        <v>0</v>
      </c>
      <c r="S46" s="213">
        <v>0</v>
      </c>
      <c r="T46" s="212">
        <v>0</v>
      </c>
      <c r="U46" s="211">
        <v>0</v>
      </c>
      <c r="V46" s="213"/>
      <c r="W46" s="212">
        <v>1102.357392</v>
      </c>
      <c r="X46" s="212">
        <v>0</v>
      </c>
      <c r="Y46" s="213">
        <f t="shared" si="4"/>
        <v>0</v>
      </c>
      <c r="Z46" s="213">
        <f t="shared" si="5"/>
        <v>0</v>
      </c>
      <c r="AA46" s="208">
        <v>0</v>
      </c>
      <c r="AB46" s="228">
        <v>0</v>
      </c>
      <c r="AC46" s="208">
        <v>0</v>
      </c>
      <c r="AD46" s="229">
        <v>0</v>
      </c>
      <c r="AE46" s="212">
        <f t="shared" si="16"/>
        <v>121.89824352</v>
      </c>
      <c r="AF46" s="212">
        <v>0</v>
      </c>
      <c r="AG46" s="212">
        <f t="shared" si="6"/>
        <v>0</v>
      </c>
      <c r="AH46" s="212">
        <v>0</v>
      </c>
      <c r="AI46" s="212">
        <v>0</v>
      </c>
      <c r="AJ46" s="212">
        <v>0</v>
      </c>
      <c r="AK46" s="213">
        <f t="shared" si="7"/>
        <v>309.76</v>
      </c>
      <c r="AL46" s="210">
        <f t="shared" si="8"/>
        <v>0</v>
      </c>
      <c r="AM46" s="235">
        <f t="shared" si="17"/>
        <v>0</v>
      </c>
      <c r="AN46" s="235">
        <f t="shared" si="9"/>
        <v>0</v>
      </c>
      <c r="AO46" s="213">
        <f t="shared" si="18"/>
        <v>0.30976</v>
      </c>
      <c r="AP46" s="209">
        <f t="shared" si="10"/>
        <v>0.00968</v>
      </c>
      <c r="AQ46" s="213">
        <f t="shared" si="19"/>
        <v>0.15488</v>
      </c>
      <c r="AR46" s="209">
        <f t="shared" si="11"/>
        <v>0.00322666666666667</v>
      </c>
      <c r="AS46" s="213">
        <f t="shared" si="20"/>
        <v>0</v>
      </c>
      <c r="AT46" s="211">
        <v>0</v>
      </c>
      <c r="AU46" s="211"/>
      <c r="AV46" s="237">
        <f t="shared" si="21"/>
        <v>0</v>
      </c>
      <c r="AW46" s="213"/>
      <c r="AX46" s="213"/>
      <c r="AY46" s="238"/>
      <c r="AZ46" s="238"/>
      <c r="BA46" s="213"/>
      <c r="BB46" s="238"/>
      <c r="BC46" s="238"/>
      <c r="BD46" s="213"/>
      <c r="BE46" s="213"/>
      <c r="BF46" s="213"/>
      <c r="BG46" s="213"/>
      <c r="BH46" s="213"/>
      <c r="BI46" s="213"/>
      <c r="BJ46" s="211"/>
      <c r="BP46" s="241"/>
    </row>
    <row r="47" s="190" customFormat="1" ht="15" customHeight="1" spans="1:68">
      <c r="A47" s="210">
        <v>42</v>
      </c>
      <c r="B47" s="207" t="s">
        <v>134</v>
      </c>
      <c r="C47" s="211" t="s">
        <v>134</v>
      </c>
      <c r="D47" s="211" t="s">
        <v>80</v>
      </c>
      <c r="E47" s="211" t="s">
        <v>135</v>
      </c>
      <c r="F47" s="212">
        <v>515.2</v>
      </c>
      <c r="G47" s="213">
        <f t="shared" si="0"/>
        <v>11.8733192658773</v>
      </c>
      <c r="H47" s="213">
        <f t="shared" si="12"/>
        <v>6117.13408578</v>
      </c>
      <c r="I47" s="227">
        <v>3</v>
      </c>
      <c r="J47" s="213">
        <f t="shared" si="13"/>
        <v>3856.117563</v>
      </c>
      <c r="K47" s="213">
        <f t="shared" si="14"/>
        <v>764.917563</v>
      </c>
      <c r="L47" s="207">
        <v>2</v>
      </c>
      <c r="M47" s="213">
        <f t="shared" si="1"/>
        <v>1030.4</v>
      </c>
      <c r="N47" s="212">
        <v>3908.490537</v>
      </c>
      <c r="O47" s="213">
        <f t="shared" si="2"/>
        <v>3091.2</v>
      </c>
      <c r="P47" s="213">
        <v>0</v>
      </c>
      <c r="Q47" s="213">
        <f t="shared" si="15"/>
        <v>996.28461678</v>
      </c>
      <c r="R47" s="213">
        <f t="shared" si="3"/>
        <v>0</v>
      </c>
      <c r="S47" s="213">
        <v>0</v>
      </c>
      <c r="T47" s="212">
        <v>0</v>
      </c>
      <c r="U47" s="211">
        <v>0</v>
      </c>
      <c r="V47" s="213"/>
      <c r="W47" s="212">
        <v>703.423889</v>
      </c>
      <c r="X47" s="212">
        <v>30.746837</v>
      </c>
      <c r="Y47" s="213">
        <f t="shared" si="4"/>
        <v>61.493674</v>
      </c>
      <c r="Z47" s="213">
        <f t="shared" si="5"/>
        <v>0</v>
      </c>
      <c r="AA47" s="208">
        <v>0</v>
      </c>
      <c r="AB47" s="228">
        <v>0</v>
      </c>
      <c r="AC47" s="208">
        <v>0</v>
      </c>
      <c r="AD47" s="229">
        <v>0</v>
      </c>
      <c r="AE47" s="212">
        <f t="shared" si="16"/>
        <v>231.36705378</v>
      </c>
      <c r="AF47" s="212">
        <v>0</v>
      </c>
      <c r="AG47" s="212">
        <f t="shared" si="6"/>
        <v>1212.358932</v>
      </c>
      <c r="AH47" s="212">
        <v>0</v>
      </c>
      <c r="AI47" s="212">
        <v>0</v>
      </c>
      <c r="AJ47" s="212">
        <v>1212.358932</v>
      </c>
      <c r="AK47" s="213">
        <f t="shared" si="7"/>
        <v>1030.4</v>
      </c>
      <c r="AL47" s="210">
        <f t="shared" si="8"/>
        <v>0</v>
      </c>
      <c r="AM47" s="235">
        <f t="shared" si="17"/>
        <v>0</v>
      </c>
      <c r="AN47" s="235">
        <f t="shared" si="9"/>
        <v>0</v>
      </c>
      <c r="AO47" s="213">
        <f t="shared" si="18"/>
        <v>1.0304</v>
      </c>
      <c r="AP47" s="209">
        <f t="shared" si="10"/>
        <v>0.0322</v>
      </c>
      <c r="AQ47" s="213">
        <f t="shared" si="19"/>
        <v>0.5152</v>
      </c>
      <c r="AR47" s="209">
        <f t="shared" si="11"/>
        <v>0.0107333333333333</v>
      </c>
      <c r="AS47" s="213">
        <f t="shared" si="20"/>
        <v>0</v>
      </c>
      <c r="AT47" s="211">
        <v>0</v>
      </c>
      <c r="AU47" s="211"/>
      <c r="AV47" s="237">
        <f t="shared" si="21"/>
        <v>0</v>
      </c>
      <c r="AW47" s="213"/>
      <c r="AX47" s="213"/>
      <c r="AY47" s="238"/>
      <c r="AZ47" s="238"/>
      <c r="BA47" s="213"/>
      <c r="BB47" s="238"/>
      <c r="BC47" s="238"/>
      <c r="BD47" s="213"/>
      <c r="BE47" s="213"/>
      <c r="BF47" s="213"/>
      <c r="BG47" s="213"/>
      <c r="BH47" s="213"/>
      <c r="BI47" s="213"/>
      <c r="BJ47" s="211"/>
      <c r="BP47" s="241"/>
    </row>
    <row r="48" s="189" customFormat="1" ht="15" customHeight="1" spans="1:68">
      <c r="A48" s="206">
        <v>43</v>
      </c>
      <c r="B48" s="207" t="s">
        <v>136</v>
      </c>
      <c r="C48" s="207" t="s">
        <v>136</v>
      </c>
      <c r="D48" s="207" t="s">
        <v>137</v>
      </c>
      <c r="E48" s="207" t="s">
        <v>138</v>
      </c>
      <c r="F48" s="208">
        <v>239.65</v>
      </c>
      <c r="G48" s="209">
        <f t="shared" si="0"/>
        <v>9.55154370440225</v>
      </c>
      <c r="H48" s="209">
        <f t="shared" si="12"/>
        <v>2289.02744876</v>
      </c>
      <c r="I48" s="226">
        <v>3</v>
      </c>
      <c r="J48" s="209">
        <f t="shared" si="13"/>
        <v>2127.334496</v>
      </c>
      <c r="K48" s="209">
        <f t="shared" si="14"/>
        <v>689.434496</v>
      </c>
      <c r="L48" s="207">
        <v>0</v>
      </c>
      <c r="M48" s="209">
        <f t="shared" si="1"/>
        <v>479.3</v>
      </c>
      <c r="N48" s="208">
        <v>1170.624378</v>
      </c>
      <c r="O48" s="209">
        <f t="shared" si="2"/>
        <v>1437.9</v>
      </c>
      <c r="P48" s="209">
        <v>0</v>
      </c>
      <c r="Q48" s="209">
        <f t="shared" si="15"/>
        <v>817.07456576</v>
      </c>
      <c r="R48" s="209">
        <f t="shared" si="3"/>
        <v>0</v>
      </c>
      <c r="S48" s="209">
        <v>0</v>
      </c>
      <c r="T48" s="208">
        <v>0</v>
      </c>
      <c r="U48" s="207">
        <v>0</v>
      </c>
      <c r="V48" s="209"/>
      <c r="W48" s="208">
        <v>689.434496</v>
      </c>
      <c r="X48" s="208">
        <v>0</v>
      </c>
      <c r="Y48" s="209">
        <f t="shared" si="4"/>
        <v>0</v>
      </c>
      <c r="Z48" s="209">
        <f t="shared" si="5"/>
        <v>36.507247</v>
      </c>
      <c r="AA48" s="208">
        <v>0</v>
      </c>
      <c r="AB48" s="228">
        <v>0</v>
      </c>
      <c r="AC48" s="208">
        <v>0</v>
      </c>
      <c r="AD48" s="229">
        <v>36.507247</v>
      </c>
      <c r="AE48" s="208">
        <f t="shared" si="16"/>
        <v>127.64006976</v>
      </c>
      <c r="AF48" s="208">
        <v>0</v>
      </c>
      <c r="AG48" s="208">
        <f t="shared" si="6"/>
        <v>228.314011</v>
      </c>
      <c r="AH48" s="208">
        <v>0</v>
      </c>
      <c r="AI48" s="208">
        <v>0</v>
      </c>
      <c r="AJ48" s="208">
        <v>228.314011</v>
      </c>
      <c r="AK48" s="209">
        <f t="shared" si="7"/>
        <v>479.3</v>
      </c>
      <c r="AL48" s="206">
        <f t="shared" si="8"/>
        <v>0</v>
      </c>
      <c r="AM48" s="235">
        <f t="shared" si="17"/>
        <v>0</v>
      </c>
      <c r="AN48" s="235">
        <f t="shared" si="9"/>
        <v>0</v>
      </c>
      <c r="AO48" s="209">
        <f t="shared" si="18"/>
        <v>0.4793</v>
      </c>
      <c r="AP48" s="209">
        <f t="shared" si="10"/>
        <v>0.014978125</v>
      </c>
      <c r="AQ48" s="209">
        <f t="shared" si="19"/>
        <v>0.23965</v>
      </c>
      <c r="AR48" s="209">
        <f t="shared" si="11"/>
        <v>0.00499270833333333</v>
      </c>
      <c r="AS48" s="209">
        <f t="shared" si="20"/>
        <v>0</v>
      </c>
      <c r="AT48" s="207">
        <v>0</v>
      </c>
      <c r="AU48" s="207"/>
      <c r="AV48" s="237">
        <f t="shared" si="21"/>
        <v>0</v>
      </c>
      <c r="AW48" s="209"/>
      <c r="AX48" s="209"/>
      <c r="AY48" s="237"/>
      <c r="AZ48" s="237"/>
      <c r="BA48" s="209"/>
      <c r="BB48" s="237"/>
      <c r="BC48" s="237"/>
      <c r="BD48" s="209"/>
      <c r="BE48" s="209"/>
      <c r="BF48" s="209"/>
      <c r="BG48" s="209"/>
      <c r="BH48" s="209"/>
      <c r="BI48" s="209"/>
      <c r="BJ48" s="207"/>
      <c r="BP48" s="240"/>
    </row>
    <row r="49" s="189" customFormat="1" ht="15" customHeight="1" spans="1:68">
      <c r="A49" s="206">
        <v>44</v>
      </c>
      <c r="B49" s="207" t="s">
        <v>85</v>
      </c>
      <c r="C49" s="207" t="s">
        <v>85</v>
      </c>
      <c r="D49" s="207" t="s">
        <v>139</v>
      </c>
      <c r="E49" s="207" t="s">
        <v>140</v>
      </c>
      <c r="F49" s="208">
        <v>549.04</v>
      </c>
      <c r="G49" s="209">
        <f t="shared" si="0"/>
        <v>25.9996582676672</v>
      </c>
      <c r="H49" s="209">
        <f t="shared" si="12"/>
        <v>14274.85237528</v>
      </c>
      <c r="I49" s="226">
        <v>3</v>
      </c>
      <c r="J49" s="209">
        <f t="shared" si="13"/>
        <v>5153.872388</v>
      </c>
      <c r="K49" s="209">
        <f t="shared" si="14"/>
        <v>1859.632388</v>
      </c>
      <c r="L49" s="207">
        <v>0</v>
      </c>
      <c r="M49" s="209">
        <f t="shared" si="1"/>
        <v>1098.08</v>
      </c>
      <c r="N49" s="208">
        <v>8119.018358</v>
      </c>
      <c r="O49" s="209">
        <f t="shared" si="2"/>
        <v>3294.24</v>
      </c>
      <c r="P49" s="209">
        <v>0</v>
      </c>
      <c r="Q49" s="209">
        <f t="shared" si="15"/>
        <v>2168.86473128</v>
      </c>
      <c r="R49" s="209">
        <f t="shared" si="3"/>
        <v>0</v>
      </c>
      <c r="S49" s="209">
        <v>0</v>
      </c>
      <c r="T49" s="208">
        <v>0</v>
      </c>
      <c r="U49" s="207">
        <v>0</v>
      </c>
      <c r="V49" s="209"/>
      <c r="W49" s="208">
        <v>1859.632388</v>
      </c>
      <c r="X49" s="208">
        <v>0</v>
      </c>
      <c r="Y49" s="209">
        <f t="shared" si="4"/>
        <v>0</v>
      </c>
      <c r="Z49" s="209">
        <f t="shared" si="5"/>
        <v>0</v>
      </c>
      <c r="AA49" s="208">
        <v>0</v>
      </c>
      <c r="AB49" s="228">
        <v>0</v>
      </c>
      <c r="AC49" s="208">
        <v>0</v>
      </c>
      <c r="AD49" s="229">
        <v>0</v>
      </c>
      <c r="AE49" s="208">
        <f t="shared" si="16"/>
        <v>309.23234328</v>
      </c>
      <c r="AF49" s="208">
        <v>0</v>
      </c>
      <c r="AG49" s="208">
        <f t="shared" si="6"/>
        <v>3986.969286</v>
      </c>
      <c r="AH49" s="208">
        <v>0</v>
      </c>
      <c r="AI49" s="208">
        <v>0</v>
      </c>
      <c r="AJ49" s="208">
        <v>3986.969286</v>
      </c>
      <c r="AK49" s="209">
        <f t="shared" si="7"/>
        <v>1098.08</v>
      </c>
      <c r="AL49" s="206">
        <f t="shared" si="8"/>
        <v>0</v>
      </c>
      <c r="AM49" s="235">
        <f t="shared" si="17"/>
        <v>0</v>
      </c>
      <c r="AN49" s="235">
        <f t="shared" si="9"/>
        <v>0</v>
      </c>
      <c r="AO49" s="209">
        <f t="shared" si="18"/>
        <v>1.09808</v>
      </c>
      <c r="AP49" s="209">
        <f t="shared" si="10"/>
        <v>0.034315</v>
      </c>
      <c r="AQ49" s="209">
        <f t="shared" si="19"/>
        <v>0.54904</v>
      </c>
      <c r="AR49" s="209">
        <f t="shared" si="11"/>
        <v>0.0114383333333333</v>
      </c>
      <c r="AS49" s="209">
        <f t="shared" si="20"/>
        <v>0</v>
      </c>
      <c r="AT49" s="207">
        <v>0</v>
      </c>
      <c r="AU49" s="207"/>
      <c r="AV49" s="237">
        <f t="shared" si="21"/>
        <v>0</v>
      </c>
      <c r="AW49" s="209"/>
      <c r="AX49" s="209"/>
      <c r="AY49" s="237"/>
      <c r="AZ49" s="237"/>
      <c r="BA49" s="209"/>
      <c r="BB49" s="237"/>
      <c r="BC49" s="237"/>
      <c r="BD49" s="209"/>
      <c r="BE49" s="209"/>
      <c r="BF49" s="209"/>
      <c r="BG49" s="209"/>
      <c r="BH49" s="209"/>
      <c r="BI49" s="209"/>
      <c r="BJ49" s="207"/>
      <c r="BP49" s="240"/>
    </row>
    <row r="50" s="189" customFormat="1" ht="15" customHeight="1" spans="1:68">
      <c r="A50" s="206">
        <v>45</v>
      </c>
      <c r="B50" s="207" t="s">
        <v>85</v>
      </c>
      <c r="C50" s="207" t="s">
        <v>85</v>
      </c>
      <c r="D50" s="207" t="s">
        <v>140</v>
      </c>
      <c r="E50" s="207" t="s">
        <v>83</v>
      </c>
      <c r="F50" s="208">
        <v>337.03</v>
      </c>
      <c r="G50" s="209">
        <f t="shared" si="0"/>
        <v>24.9889189003353</v>
      </c>
      <c r="H50" s="209">
        <f t="shared" si="12"/>
        <v>8422.01533698</v>
      </c>
      <c r="I50" s="226">
        <v>3</v>
      </c>
      <c r="J50" s="209">
        <f t="shared" si="13"/>
        <v>3347.588733</v>
      </c>
      <c r="K50" s="209">
        <f t="shared" si="14"/>
        <v>1325.408733</v>
      </c>
      <c r="L50" s="207">
        <v>2</v>
      </c>
      <c r="M50" s="209">
        <f t="shared" si="1"/>
        <v>674.06</v>
      </c>
      <c r="N50" s="208">
        <v>5111.777797</v>
      </c>
      <c r="O50" s="209">
        <f t="shared" si="2"/>
        <v>2022.18</v>
      </c>
      <c r="P50" s="209">
        <v>0</v>
      </c>
      <c r="Q50" s="209">
        <f t="shared" si="15"/>
        <v>1526.26405698</v>
      </c>
      <c r="R50" s="209">
        <f t="shared" si="3"/>
        <v>0</v>
      </c>
      <c r="S50" s="209">
        <v>0</v>
      </c>
      <c r="T50" s="208">
        <v>0</v>
      </c>
      <c r="U50" s="207">
        <v>0</v>
      </c>
      <c r="V50" s="209"/>
      <c r="W50" s="208">
        <v>1325.408733</v>
      </c>
      <c r="X50" s="208">
        <v>0</v>
      </c>
      <c r="Y50" s="209">
        <f t="shared" si="4"/>
        <v>0</v>
      </c>
      <c r="Z50" s="209">
        <f t="shared" si="5"/>
        <v>0</v>
      </c>
      <c r="AA50" s="208">
        <v>0</v>
      </c>
      <c r="AB50" s="228">
        <v>0</v>
      </c>
      <c r="AC50" s="208">
        <v>0</v>
      </c>
      <c r="AD50" s="229">
        <v>0</v>
      </c>
      <c r="AE50" s="208">
        <f t="shared" si="16"/>
        <v>200.85532398</v>
      </c>
      <c r="AF50" s="208">
        <v>0</v>
      </c>
      <c r="AG50" s="208">
        <f t="shared" si="6"/>
        <v>1783.973483</v>
      </c>
      <c r="AH50" s="208">
        <v>0</v>
      </c>
      <c r="AI50" s="208">
        <v>0</v>
      </c>
      <c r="AJ50" s="208">
        <v>1783.973483</v>
      </c>
      <c r="AK50" s="209">
        <f t="shared" si="7"/>
        <v>674.06</v>
      </c>
      <c r="AL50" s="206">
        <f t="shared" si="8"/>
        <v>0</v>
      </c>
      <c r="AM50" s="235">
        <f t="shared" si="17"/>
        <v>0</v>
      </c>
      <c r="AN50" s="235">
        <f t="shared" si="9"/>
        <v>0</v>
      </c>
      <c r="AO50" s="209">
        <f t="shared" si="18"/>
        <v>0.67406</v>
      </c>
      <c r="AP50" s="209">
        <f t="shared" si="10"/>
        <v>0.021064375</v>
      </c>
      <c r="AQ50" s="209">
        <f t="shared" si="19"/>
        <v>0.33703</v>
      </c>
      <c r="AR50" s="209">
        <f t="shared" si="11"/>
        <v>0.00702145833333333</v>
      </c>
      <c r="AS50" s="209">
        <f t="shared" si="20"/>
        <v>0</v>
      </c>
      <c r="AT50" s="207">
        <v>0</v>
      </c>
      <c r="AU50" s="207"/>
      <c r="AV50" s="237">
        <f t="shared" si="21"/>
        <v>0</v>
      </c>
      <c r="AW50" s="209"/>
      <c r="AX50" s="209"/>
      <c r="AY50" s="237"/>
      <c r="AZ50" s="237"/>
      <c r="BA50" s="209"/>
      <c r="BB50" s="237"/>
      <c r="BC50" s="237"/>
      <c r="BD50" s="209"/>
      <c r="BE50" s="209"/>
      <c r="BF50" s="209"/>
      <c r="BG50" s="209"/>
      <c r="BH50" s="209"/>
      <c r="BI50" s="209"/>
      <c r="BJ50" s="207"/>
      <c r="BP50" s="240"/>
    </row>
    <row r="51" s="189" customFormat="1" ht="15" customHeight="1" spans="1:68">
      <c r="A51" s="206">
        <v>46</v>
      </c>
      <c r="B51" s="207" t="s">
        <v>85</v>
      </c>
      <c r="C51" s="207" t="s">
        <v>141</v>
      </c>
      <c r="D51" s="207"/>
      <c r="E51" s="207"/>
      <c r="F51" s="208">
        <v>30.76</v>
      </c>
      <c r="G51" s="209">
        <f t="shared" si="0"/>
        <v>17.9130554616385</v>
      </c>
      <c r="H51" s="209">
        <f t="shared" si="12"/>
        <v>551.005586</v>
      </c>
      <c r="I51" s="226">
        <v>3</v>
      </c>
      <c r="J51" s="209">
        <f t="shared" si="13"/>
        <v>184.56</v>
      </c>
      <c r="K51" s="209">
        <f t="shared" si="14"/>
        <v>0</v>
      </c>
      <c r="L51" s="207">
        <v>0</v>
      </c>
      <c r="M51" s="209">
        <f t="shared" si="1"/>
        <v>61.52</v>
      </c>
      <c r="N51" s="208">
        <v>539.931986</v>
      </c>
      <c r="O51" s="209">
        <f t="shared" si="2"/>
        <v>184.56</v>
      </c>
      <c r="P51" s="209">
        <v>0</v>
      </c>
      <c r="Q51" s="209">
        <f t="shared" si="15"/>
        <v>11.0736</v>
      </c>
      <c r="R51" s="209">
        <f t="shared" si="3"/>
        <v>0</v>
      </c>
      <c r="S51" s="209">
        <v>0</v>
      </c>
      <c r="T51" s="208">
        <v>0</v>
      </c>
      <c r="U51" s="207">
        <v>0</v>
      </c>
      <c r="V51" s="209"/>
      <c r="W51" s="208">
        <v>0</v>
      </c>
      <c r="X51" s="208">
        <v>0</v>
      </c>
      <c r="Y51" s="209">
        <f t="shared" si="4"/>
        <v>0</v>
      </c>
      <c r="Z51" s="209">
        <f t="shared" si="5"/>
        <v>0</v>
      </c>
      <c r="AA51" s="208">
        <v>0</v>
      </c>
      <c r="AB51" s="228">
        <v>0</v>
      </c>
      <c r="AC51" s="208">
        <v>0</v>
      </c>
      <c r="AD51" s="229">
        <v>0</v>
      </c>
      <c r="AE51" s="208">
        <f t="shared" si="16"/>
        <v>11.0736</v>
      </c>
      <c r="AF51" s="208">
        <v>0</v>
      </c>
      <c r="AG51" s="208">
        <f t="shared" si="6"/>
        <v>0</v>
      </c>
      <c r="AH51" s="208">
        <v>0</v>
      </c>
      <c r="AI51" s="208">
        <v>0</v>
      </c>
      <c r="AJ51" s="208">
        <v>0</v>
      </c>
      <c r="AK51" s="209">
        <f t="shared" si="7"/>
        <v>61.52</v>
      </c>
      <c r="AL51" s="206">
        <f t="shared" si="8"/>
        <v>0</v>
      </c>
      <c r="AM51" s="235">
        <f t="shared" si="17"/>
        <v>0</v>
      </c>
      <c r="AN51" s="235">
        <f t="shared" si="9"/>
        <v>0</v>
      </c>
      <c r="AO51" s="209">
        <f t="shared" si="18"/>
        <v>0.06152</v>
      </c>
      <c r="AP51" s="209">
        <f t="shared" si="10"/>
        <v>0.0019225</v>
      </c>
      <c r="AQ51" s="209">
        <f t="shared" si="19"/>
        <v>0.03076</v>
      </c>
      <c r="AR51" s="209">
        <f t="shared" si="11"/>
        <v>0.000640833333333333</v>
      </c>
      <c r="AS51" s="209">
        <f t="shared" si="20"/>
        <v>0</v>
      </c>
      <c r="AT51" s="207">
        <v>0</v>
      </c>
      <c r="AU51" s="207"/>
      <c r="AV51" s="237">
        <f t="shared" si="21"/>
        <v>0</v>
      </c>
      <c r="AW51" s="209"/>
      <c r="AX51" s="209"/>
      <c r="AY51" s="237"/>
      <c r="AZ51" s="237"/>
      <c r="BA51" s="209"/>
      <c r="BB51" s="237"/>
      <c r="BC51" s="237"/>
      <c r="BD51" s="209"/>
      <c r="BE51" s="209"/>
      <c r="BF51" s="209"/>
      <c r="BG51" s="209"/>
      <c r="BH51" s="209"/>
      <c r="BI51" s="209"/>
      <c r="BJ51" s="207"/>
      <c r="BP51" s="240"/>
    </row>
    <row r="52" s="190" customFormat="1" ht="15" customHeight="1" spans="1:68">
      <c r="A52" s="210">
        <v>47</v>
      </c>
      <c r="B52" s="207" t="s">
        <v>85</v>
      </c>
      <c r="C52" s="211" t="s">
        <v>85</v>
      </c>
      <c r="D52" s="211" t="s">
        <v>138</v>
      </c>
      <c r="E52" s="211" t="s">
        <v>139</v>
      </c>
      <c r="F52" s="212">
        <v>167.75</v>
      </c>
      <c r="G52" s="213">
        <f t="shared" si="0"/>
        <v>8.32149601681073</v>
      </c>
      <c r="H52" s="213">
        <f t="shared" si="12"/>
        <v>1395.93095682</v>
      </c>
      <c r="I52" s="227">
        <v>3</v>
      </c>
      <c r="J52" s="213">
        <f t="shared" si="13"/>
        <v>1272.342347</v>
      </c>
      <c r="K52" s="213">
        <f t="shared" si="14"/>
        <v>265.842347</v>
      </c>
      <c r="L52" s="207">
        <v>0</v>
      </c>
      <c r="M52" s="213">
        <f t="shared" si="1"/>
        <v>335.5</v>
      </c>
      <c r="N52" s="212">
        <v>1053.748069</v>
      </c>
      <c r="O52" s="213">
        <f t="shared" si="2"/>
        <v>1006.5</v>
      </c>
      <c r="P52" s="213">
        <v>0</v>
      </c>
      <c r="Q52" s="213">
        <f t="shared" si="15"/>
        <v>342.18288782</v>
      </c>
      <c r="R52" s="213">
        <f t="shared" si="3"/>
        <v>0</v>
      </c>
      <c r="S52" s="213">
        <v>0</v>
      </c>
      <c r="T52" s="212">
        <v>0</v>
      </c>
      <c r="U52" s="211">
        <v>0</v>
      </c>
      <c r="V52" s="213"/>
      <c r="W52" s="212">
        <v>265.842347</v>
      </c>
      <c r="X52" s="212">
        <v>0</v>
      </c>
      <c r="Y52" s="213">
        <f t="shared" si="4"/>
        <v>0</v>
      </c>
      <c r="Z52" s="213">
        <f t="shared" si="5"/>
        <v>0</v>
      </c>
      <c r="AA52" s="208">
        <v>0</v>
      </c>
      <c r="AB52" s="228">
        <v>0</v>
      </c>
      <c r="AC52" s="208">
        <v>0</v>
      </c>
      <c r="AD52" s="229">
        <v>0</v>
      </c>
      <c r="AE52" s="212">
        <f t="shared" si="16"/>
        <v>76.34054082</v>
      </c>
      <c r="AF52" s="212">
        <v>0</v>
      </c>
      <c r="AG52" s="212">
        <f t="shared" si="6"/>
        <v>0</v>
      </c>
      <c r="AH52" s="212">
        <v>0</v>
      </c>
      <c r="AI52" s="212">
        <v>0</v>
      </c>
      <c r="AJ52" s="212">
        <v>0</v>
      </c>
      <c r="AK52" s="213">
        <f t="shared" si="7"/>
        <v>335.5</v>
      </c>
      <c r="AL52" s="210">
        <f t="shared" si="8"/>
        <v>0</v>
      </c>
      <c r="AM52" s="235">
        <f t="shared" si="17"/>
        <v>0</v>
      </c>
      <c r="AN52" s="235">
        <f t="shared" si="9"/>
        <v>0</v>
      </c>
      <c r="AO52" s="213">
        <f t="shared" si="18"/>
        <v>0.3355</v>
      </c>
      <c r="AP52" s="209">
        <f t="shared" si="10"/>
        <v>0.010484375</v>
      </c>
      <c r="AQ52" s="213">
        <f t="shared" si="19"/>
        <v>0.16775</v>
      </c>
      <c r="AR52" s="209">
        <f t="shared" si="11"/>
        <v>0.00349479166666667</v>
      </c>
      <c r="AS52" s="213">
        <f t="shared" si="20"/>
        <v>0</v>
      </c>
      <c r="AT52" s="211">
        <v>0</v>
      </c>
      <c r="AU52" s="211"/>
      <c r="AV52" s="237">
        <f t="shared" si="21"/>
        <v>0</v>
      </c>
      <c r="AW52" s="213"/>
      <c r="AX52" s="213"/>
      <c r="AY52" s="238"/>
      <c r="AZ52" s="238"/>
      <c r="BA52" s="213"/>
      <c r="BB52" s="238"/>
      <c r="BC52" s="238"/>
      <c r="BD52" s="213"/>
      <c r="BE52" s="213"/>
      <c r="BF52" s="213"/>
      <c r="BG52" s="213"/>
      <c r="BH52" s="213"/>
      <c r="BI52" s="213"/>
      <c r="BJ52" s="211"/>
      <c r="BP52" s="241"/>
    </row>
    <row r="53" s="189" customFormat="1" ht="15" customHeight="1" spans="1:68">
      <c r="A53" s="206">
        <v>48</v>
      </c>
      <c r="B53" s="207" t="s">
        <v>135</v>
      </c>
      <c r="C53" s="207" t="s">
        <v>135</v>
      </c>
      <c r="D53" s="207" t="s">
        <v>142</v>
      </c>
      <c r="E53" s="207" t="s">
        <v>143</v>
      </c>
      <c r="F53" s="208">
        <v>207.7</v>
      </c>
      <c r="G53" s="209">
        <f t="shared" si="0"/>
        <v>24.1408744786712</v>
      </c>
      <c r="H53" s="209">
        <f t="shared" si="12"/>
        <v>5014.05962922</v>
      </c>
      <c r="I53" s="207">
        <v>3</v>
      </c>
      <c r="J53" s="209">
        <f t="shared" si="13"/>
        <v>1941.469337</v>
      </c>
      <c r="K53" s="209">
        <f t="shared" si="14"/>
        <v>695.269337</v>
      </c>
      <c r="L53" s="207">
        <v>2</v>
      </c>
      <c r="M53" s="209">
        <f t="shared" si="1"/>
        <v>415.4</v>
      </c>
      <c r="N53" s="208">
        <v>1818.20348</v>
      </c>
      <c r="O53" s="209">
        <f t="shared" si="2"/>
        <v>1246.2</v>
      </c>
      <c r="P53" s="209">
        <v>0</v>
      </c>
      <c r="Q53" s="209">
        <f t="shared" si="15"/>
        <v>811.75749722</v>
      </c>
      <c r="R53" s="209">
        <f t="shared" si="3"/>
        <v>0</v>
      </c>
      <c r="S53" s="209">
        <v>0</v>
      </c>
      <c r="T53" s="208">
        <v>0</v>
      </c>
      <c r="U53" s="207">
        <v>0</v>
      </c>
      <c r="V53" s="209"/>
      <c r="W53" s="208">
        <v>695.269337</v>
      </c>
      <c r="X53" s="208">
        <v>0</v>
      </c>
      <c r="Y53" s="209">
        <f t="shared" si="4"/>
        <v>0</v>
      </c>
      <c r="Z53" s="209">
        <f t="shared" si="5"/>
        <v>200.188585</v>
      </c>
      <c r="AA53" s="208">
        <v>0</v>
      </c>
      <c r="AB53" s="228">
        <v>0</v>
      </c>
      <c r="AC53" s="208">
        <v>0</v>
      </c>
      <c r="AD53" s="229">
        <v>200.188585</v>
      </c>
      <c r="AE53" s="208">
        <f t="shared" si="16"/>
        <v>116.48816022</v>
      </c>
      <c r="AF53" s="208">
        <v>0</v>
      </c>
      <c r="AG53" s="208">
        <f t="shared" si="6"/>
        <v>1983.721482</v>
      </c>
      <c r="AH53" s="208">
        <v>0</v>
      </c>
      <c r="AI53" s="208">
        <v>0</v>
      </c>
      <c r="AJ53" s="208">
        <v>1983.721482</v>
      </c>
      <c r="AK53" s="209">
        <f t="shared" si="7"/>
        <v>415.4</v>
      </c>
      <c r="AL53" s="206">
        <f t="shared" si="8"/>
        <v>0</v>
      </c>
      <c r="AM53" s="235">
        <f t="shared" si="17"/>
        <v>0</v>
      </c>
      <c r="AN53" s="235">
        <f t="shared" si="9"/>
        <v>0</v>
      </c>
      <c r="AO53" s="209">
        <f t="shared" si="18"/>
        <v>0.4154</v>
      </c>
      <c r="AP53" s="209">
        <f t="shared" si="10"/>
        <v>0.01298125</v>
      </c>
      <c r="AQ53" s="209">
        <f t="shared" si="19"/>
        <v>0.2077</v>
      </c>
      <c r="AR53" s="209">
        <f t="shared" si="11"/>
        <v>0.00432708333333333</v>
      </c>
      <c r="AS53" s="209">
        <f t="shared" si="20"/>
        <v>0</v>
      </c>
      <c r="AT53" s="207">
        <v>0</v>
      </c>
      <c r="AU53" s="207"/>
      <c r="AV53" s="237">
        <f t="shared" si="21"/>
        <v>0</v>
      </c>
      <c r="AW53" s="209"/>
      <c r="AX53" s="209"/>
      <c r="AY53" s="237"/>
      <c r="AZ53" s="237"/>
      <c r="BA53" s="209"/>
      <c r="BB53" s="237"/>
      <c r="BC53" s="237"/>
      <c r="BD53" s="209"/>
      <c r="BE53" s="209"/>
      <c r="BF53" s="209"/>
      <c r="BG53" s="209"/>
      <c r="BH53" s="209"/>
      <c r="BI53" s="209"/>
      <c r="BJ53" s="207"/>
      <c r="BP53" s="240"/>
    </row>
    <row r="54" s="189" customFormat="1" ht="15" customHeight="1" spans="1:68">
      <c r="A54" s="206">
        <v>49</v>
      </c>
      <c r="B54" s="207" t="s">
        <v>135</v>
      </c>
      <c r="C54" s="207" t="s">
        <v>135</v>
      </c>
      <c r="D54" s="207" t="s">
        <v>143</v>
      </c>
      <c r="E54" s="207" t="s">
        <v>91</v>
      </c>
      <c r="F54" s="208">
        <v>311.1</v>
      </c>
      <c r="G54" s="209">
        <f t="shared" si="0"/>
        <v>28.0241112457731</v>
      </c>
      <c r="H54" s="209">
        <f t="shared" si="12"/>
        <v>8718.30100856</v>
      </c>
      <c r="I54" s="207">
        <v>3</v>
      </c>
      <c r="J54" s="209">
        <f t="shared" si="13"/>
        <v>2348.577426</v>
      </c>
      <c r="K54" s="209">
        <f t="shared" si="14"/>
        <v>481.977426</v>
      </c>
      <c r="L54" s="207">
        <v>0</v>
      </c>
      <c r="M54" s="209">
        <f t="shared" si="1"/>
        <v>622.2</v>
      </c>
      <c r="N54" s="208">
        <v>2777.905638</v>
      </c>
      <c r="O54" s="209">
        <f t="shared" si="2"/>
        <v>1866.6</v>
      </c>
      <c r="P54" s="209">
        <v>0</v>
      </c>
      <c r="Q54" s="209">
        <f t="shared" si="15"/>
        <v>622.89207156</v>
      </c>
      <c r="R54" s="209">
        <f t="shared" si="3"/>
        <v>0</v>
      </c>
      <c r="S54" s="209">
        <v>0</v>
      </c>
      <c r="T54" s="208">
        <v>0</v>
      </c>
      <c r="U54" s="207">
        <v>0</v>
      </c>
      <c r="V54" s="209"/>
      <c r="W54" s="208">
        <v>481.977426</v>
      </c>
      <c r="X54" s="208">
        <v>0</v>
      </c>
      <c r="Y54" s="209">
        <f t="shared" si="4"/>
        <v>0</v>
      </c>
      <c r="Z54" s="209">
        <f t="shared" si="5"/>
        <v>320.783171</v>
      </c>
      <c r="AA54" s="208">
        <v>0</v>
      </c>
      <c r="AB54" s="228">
        <v>0</v>
      </c>
      <c r="AC54" s="208">
        <v>0</v>
      </c>
      <c r="AD54" s="229">
        <v>320.783171</v>
      </c>
      <c r="AE54" s="208">
        <f t="shared" si="16"/>
        <v>140.91464556</v>
      </c>
      <c r="AF54" s="208">
        <v>0</v>
      </c>
      <c r="AG54" s="208">
        <f t="shared" si="6"/>
        <v>4675.936957</v>
      </c>
      <c r="AH54" s="208">
        <v>0</v>
      </c>
      <c r="AI54" s="208">
        <v>0</v>
      </c>
      <c r="AJ54" s="208">
        <v>4675.936957</v>
      </c>
      <c r="AK54" s="209">
        <f t="shared" si="7"/>
        <v>622.2</v>
      </c>
      <c r="AL54" s="206">
        <f t="shared" si="8"/>
        <v>0</v>
      </c>
      <c r="AM54" s="235">
        <f t="shared" si="17"/>
        <v>0</v>
      </c>
      <c r="AN54" s="235">
        <f t="shared" si="9"/>
        <v>0</v>
      </c>
      <c r="AO54" s="209">
        <f t="shared" si="18"/>
        <v>0.6222</v>
      </c>
      <c r="AP54" s="209">
        <f t="shared" si="10"/>
        <v>0.01944375</v>
      </c>
      <c r="AQ54" s="209">
        <f t="shared" si="19"/>
        <v>0.3111</v>
      </c>
      <c r="AR54" s="209">
        <f t="shared" si="11"/>
        <v>0.00648125</v>
      </c>
      <c r="AS54" s="209">
        <f t="shared" si="20"/>
        <v>0</v>
      </c>
      <c r="AT54" s="207">
        <v>0</v>
      </c>
      <c r="AU54" s="207"/>
      <c r="AV54" s="237">
        <f t="shared" si="21"/>
        <v>0</v>
      </c>
      <c r="AW54" s="209"/>
      <c r="AX54" s="209"/>
      <c r="AY54" s="237"/>
      <c r="AZ54" s="237"/>
      <c r="BA54" s="209"/>
      <c r="BB54" s="237"/>
      <c r="BC54" s="237"/>
      <c r="BD54" s="209"/>
      <c r="BE54" s="209"/>
      <c r="BF54" s="209"/>
      <c r="BG54" s="209"/>
      <c r="BH54" s="209"/>
      <c r="BI54" s="209"/>
      <c r="BJ54" s="207"/>
      <c r="BP54" s="240"/>
    </row>
    <row r="55" s="189" customFormat="1" ht="15" customHeight="1" spans="1:68">
      <c r="A55" s="206">
        <v>50</v>
      </c>
      <c r="B55" s="207" t="s">
        <v>135</v>
      </c>
      <c r="C55" s="207" t="s">
        <v>135</v>
      </c>
      <c r="D55" s="207" t="s">
        <v>144</v>
      </c>
      <c r="E55" s="207" t="s">
        <v>142</v>
      </c>
      <c r="F55" s="208">
        <v>174.95</v>
      </c>
      <c r="G55" s="209">
        <f t="shared" si="0"/>
        <v>32.2997990721921</v>
      </c>
      <c r="H55" s="209">
        <f t="shared" si="12"/>
        <v>5650.84984768</v>
      </c>
      <c r="I55" s="207">
        <v>3</v>
      </c>
      <c r="J55" s="209">
        <f t="shared" si="13"/>
        <v>1429.593128</v>
      </c>
      <c r="K55" s="209">
        <f t="shared" si="14"/>
        <v>379.893128</v>
      </c>
      <c r="L55" s="207">
        <v>2</v>
      </c>
      <c r="M55" s="209">
        <f t="shared" si="1"/>
        <v>349.9</v>
      </c>
      <c r="N55" s="208">
        <v>1559.860471</v>
      </c>
      <c r="O55" s="209">
        <f t="shared" si="2"/>
        <v>1049.7</v>
      </c>
      <c r="P55" s="209">
        <v>0</v>
      </c>
      <c r="Q55" s="209">
        <f t="shared" si="15"/>
        <v>465.66871568</v>
      </c>
      <c r="R55" s="209">
        <f t="shared" si="3"/>
        <v>0</v>
      </c>
      <c r="S55" s="209">
        <v>0</v>
      </c>
      <c r="T55" s="208">
        <v>0</v>
      </c>
      <c r="U55" s="207">
        <v>0</v>
      </c>
      <c r="V55" s="209"/>
      <c r="W55" s="208">
        <v>379.893128</v>
      </c>
      <c r="X55" s="208">
        <v>0</v>
      </c>
      <c r="Y55" s="209">
        <f t="shared" si="4"/>
        <v>0</v>
      </c>
      <c r="Z55" s="209">
        <f t="shared" si="5"/>
        <v>145.02385</v>
      </c>
      <c r="AA55" s="208">
        <v>0</v>
      </c>
      <c r="AB55" s="228">
        <v>0</v>
      </c>
      <c r="AC55" s="208">
        <v>0</v>
      </c>
      <c r="AD55" s="229">
        <v>145.02385</v>
      </c>
      <c r="AE55" s="208">
        <f t="shared" si="16"/>
        <v>85.77558768</v>
      </c>
      <c r="AF55" s="208">
        <v>0</v>
      </c>
      <c r="AG55" s="208">
        <f t="shared" si="6"/>
        <v>3335.272961</v>
      </c>
      <c r="AH55" s="208">
        <v>0</v>
      </c>
      <c r="AI55" s="208">
        <v>0</v>
      </c>
      <c r="AJ55" s="208">
        <v>3335.272961</v>
      </c>
      <c r="AK55" s="209">
        <f t="shared" si="7"/>
        <v>349.9</v>
      </c>
      <c r="AL55" s="206">
        <f t="shared" si="8"/>
        <v>0</v>
      </c>
      <c r="AM55" s="235">
        <f t="shared" si="17"/>
        <v>0</v>
      </c>
      <c r="AN55" s="235">
        <f t="shared" si="9"/>
        <v>0</v>
      </c>
      <c r="AO55" s="209">
        <f t="shared" si="18"/>
        <v>0.3499</v>
      </c>
      <c r="AP55" s="209">
        <f t="shared" si="10"/>
        <v>0.010934375</v>
      </c>
      <c r="AQ55" s="209">
        <f t="shared" si="19"/>
        <v>0.17495</v>
      </c>
      <c r="AR55" s="209">
        <f t="shared" si="11"/>
        <v>0.00364479166666667</v>
      </c>
      <c r="AS55" s="209">
        <f t="shared" si="20"/>
        <v>0</v>
      </c>
      <c r="AT55" s="207">
        <v>0</v>
      </c>
      <c r="AU55" s="207"/>
      <c r="AV55" s="237">
        <f t="shared" si="21"/>
        <v>0</v>
      </c>
      <c r="AW55" s="209"/>
      <c r="AX55" s="209"/>
      <c r="AY55" s="237"/>
      <c r="AZ55" s="237"/>
      <c r="BA55" s="209"/>
      <c r="BB55" s="237"/>
      <c r="BC55" s="237"/>
      <c r="BD55" s="209"/>
      <c r="BE55" s="209"/>
      <c r="BF55" s="209"/>
      <c r="BG55" s="209"/>
      <c r="BH55" s="209"/>
      <c r="BI55" s="209"/>
      <c r="BJ55" s="207"/>
      <c r="BP55" s="240"/>
    </row>
    <row r="56" s="189" customFormat="1" ht="15" customHeight="1" spans="1:68">
      <c r="A56" s="206">
        <v>51</v>
      </c>
      <c r="B56" s="207" t="s">
        <v>135</v>
      </c>
      <c r="C56" s="207" t="s">
        <v>145</v>
      </c>
      <c r="D56" s="207"/>
      <c r="E56" s="207"/>
      <c r="F56" s="208">
        <v>19.71</v>
      </c>
      <c r="G56" s="209">
        <f t="shared" si="0"/>
        <v>11.7214258751903</v>
      </c>
      <c r="H56" s="209">
        <f t="shared" si="12"/>
        <v>231.029304</v>
      </c>
      <c r="I56" s="207">
        <v>3</v>
      </c>
      <c r="J56" s="209">
        <f t="shared" si="13"/>
        <v>118.26</v>
      </c>
      <c r="K56" s="209">
        <f t="shared" si="14"/>
        <v>0</v>
      </c>
      <c r="L56" s="207">
        <v>0</v>
      </c>
      <c r="M56" s="209">
        <f t="shared" si="1"/>
        <v>39.42</v>
      </c>
      <c r="N56" s="208">
        <v>223.933704</v>
      </c>
      <c r="O56" s="209">
        <f t="shared" si="2"/>
        <v>118.26</v>
      </c>
      <c r="P56" s="209">
        <v>0</v>
      </c>
      <c r="Q56" s="209">
        <f t="shared" si="15"/>
        <v>7.0956</v>
      </c>
      <c r="R56" s="209">
        <f t="shared" si="3"/>
        <v>0</v>
      </c>
      <c r="S56" s="209">
        <v>0</v>
      </c>
      <c r="T56" s="208">
        <v>0</v>
      </c>
      <c r="U56" s="207">
        <v>0</v>
      </c>
      <c r="V56" s="209"/>
      <c r="W56" s="208">
        <v>0</v>
      </c>
      <c r="X56" s="208">
        <v>0</v>
      </c>
      <c r="Y56" s="209">
        <f t="shared" si="4"/>
        <v>0</v>
      </c>
      <c r="Z56" s="209">
        <f t="shared" si="5"/>
        <v>0</v>
      </c>
      <c r="AA56" s="208">
        <v>0</v>
      </c>
      <c r="AB56" s="228">
        <v>0</v>
      </c>
      <c r="AC56" s="208">
        <v>0</v>
      </c>
      <c r="AD56" s="229">
        <v>0</v>
      </c>
      <c r="AE56" s="208">
        <f t="shared" si="16"/>
        <v>7.0956</v>
      </c>
      <c r="AF56" s="208">
        <v>0</v>
      </c>
      <c r="AG56" s="208">
        <f t="shared" si="6"/>
        <v>0</v>
      </c>
      <c r="AH56" s="208">
        <v>0</v>
      </c>
      <c r="AI56" s="208">
        <v>0</v>
      </c>
      <c r="AJ56" s="208">
        <v>0</v>
      </c>
      <c r="AK56" s="209">
        <f t="shared" si="7"/>
        <v>39.42</v>
      </c>
      <c r="AL56" s="206">
        <f t="shared" si="8"/>
        <v>0</v>
      </c>
      <c r="AM56" s="235">
        <f t="shared" si="17"/>
        <v>0</v>
      </c>
      <c r="AN56" s="235">
        <f t="shared" si="9"/>
        <v>0</v>
      </c>
      <c r="AO56" s="209">
        <f t="shared" si="18"/>
        <v>0.03942</v>
      </c>
      <c r="AP56" s="209">
        <f t="shared" si="10"/>
        <v>0.001231875</v>
      </c>
      <c r="AQ56" s="209">
        <f t="shared" si="19"/>
        <v>0.01971</v>
      </c>
      <c r="AR56" s="209">
        <f t="shared" si="11"/>
        <v>0.000410625</v>
      </c>
      <c r="AS56" s="209">
        <f t="shared" si="20"/>
        <v>0</v>
      </c>
      <c r="AT56" s="207">
        <v>0</v>
      </c>
      <c r="AU56" s="207"/>
      <c r="AV56" s="237">
        <f t="shared" si="21"/>
        <v>0</v>
      </c>
      <c r="AW56" s="209"/>
      <c r="AX56" s="209"/>
      <c r="AY56" s="237"/>
      <c r="AZ56" s="237"/>
      <c r="BA56" s="209"/>
      <c r="BB56" s="237"/>
      <c r="BC56" s="237"/>
      <c r="BD56" s="209"/>
      <c r="BE56" s="209"/>
      <c r="BF56" s="209"/>
      <c r="BG56" s="209"/>
      <c r="BH56" s="209"/>
      <c r="BI56" s="209"/>
      <c r="BJ56" s="207"/>
      <c r="BP56" s="240"/>
    </row>
    <row r="57" s="189" customFormat="1" ht="15" customHeight="1" spans="1:68">
      <c r="A57" s="206">
        <v>52</v>
      </c>
      <c r="B57" s="207" t="s">
        <v>135</v>
      </c>
      <c r="C57" s="207" t="s">
        <v>146</v>
      </c>
      <c r="D57" s="207"/>
      <c r="E57" s="207"/>
      <c r="F57" s="208">
        <v>14.46</v>
      </c>
      <c r="G57" s="209">
        <f t="shared" si="0"/>
        <v>10.4615012448133</v>
      </c>
      <c r="H57" s="209">
        <f t="shared" si="12"/>
        <v>151.273308</v>
      </c>
      <c r="I57" s="207">
        <v>3</v>
      </c>
      <c r="J57" s="209">
        <f t="shared" si="13"/>
        <v>86.76</v>
      </c>
      <c r="K57" s="209">
        <f t="shared" si="14"/>
        <v>0</v>
      </c>
      <c r="L57" s="207">
        <v>0</v>
      </c>
      <c r="M57" s="209">
        <f t="shared" si="1"/>
        <v>28.92</v>
      </c>
      <c r="N57" s="208">
        <v>146.067708</v>
      </c>
      <c r="O57" s="209">
        <f t="shared" si="2"/>
        <v>86.76</v>
      </c>
      <c r="P57" s="209">
        <v>0</v>
      </c>
      <c r="Q57" s="209">
        <f t="shared" si="15"/>
        <v>5.2056</v>
      </c>
      <c r="R57" s="209">
        <f t="shared" si="3"/>
        <v>0</v>
      </c>
      <c r="S57" s="209">
        <v>0</v>
      </c>
      <c r="T57" s="208">
        <v>0</v>
      </c>
      <c r="U57" s="207">
        <v>0</v>
      </c>
      <c r="V57" s="209"/>
      <c r="W57" s="208">
        <v>0</v>
      </c>
      <c r="X57" s="208">
        <v>0</v>
      </c>
      <c r="Y57" s="209">
        <f t="shared" si="4"/>
        <v>0</v>
      </c>
      <c r="Z57" s="209">
        <f t="shared" si="5"/>
        <v>0</v>
      </c>
      <c r="AA57" s="208">
        <v>0</v>
      </c>
      <c r="AB57" s="228">
        <v>0</v>
      </c>
      <c r="AC57" s="208">
        <v>0</v>
      </c>
      <c r="AD57" s="229">
        <v>0</v>
      </c>
      <c r="AE57" s="208">
        <f t="shared" si="16"/>
        <v>5.2056</v>
      </c>
      <c r="AF57" s="208">
        <v>0</v>
      </c>
      <c r="AG57" s="208">
        <f t="shared" si="6"/>
        <v>0</v>
      </c>
      <c r="AH57" s="208">
        <v>0</v>
      </c>
      <c r="AI57" s="208">
        <v>0</v>
      </c>
      <c r="AJ57" s="208">
        <v>0</v>
      </c>
      <c r="AK57" s="209">
        <f t="shared" si="7"/>
        <v>28.92</v>
      </c>
      <c r="AL57" s="206">
        <f t="shared" si="8"/>
        <v>0</v>
      </c>
      <c r="AM57" s="235">
        <f t="shared" si="17"/>
        <v>0</v>
      </c>
      <c r="AN57" s="235">
        <f t="shared" si="9"/>
        <v>0</v>
      </c>
      <c r="AO57" s="209">
        <f t="shared" si="18"/>
        <v>0.02892</v>
      </c>
      <c r="AP57" s="209">
        <f t="shared" si="10"/>
        <v>0.00090375</v>
      </c>
      <c r="AQ57" s="209">
        <f t="shared" si="19"/>
        <v>0.01446</v>
      </c>
      <c r="AR57" s="209">
        <f t="shared" si="11"/>
        <v>0.00030125</v>
      </c>
      <c r="AS57" s="209">
        <f t="shared" si="20"/>
        <v>0</v>
      </c>
      <c r="AT57" s="207">
        <v>0</v>
      </c>
      <c r="AU57" s="207"/>
      <c r="AV57" s="237">
        <f t="shared" si="21"/>
        <v>0</v>
      </c>
      <c r="AW57" s="209"/>
      <c r="AX57" s="209"/>
      <c r="AY57" s="237"/>
      <c r="AZ57" s="237"/>
      <c r="BA57" s="209"/>
      <c r="BB57" s="237"/>
      <c r="BC57" s="237"/>
      <c r="BD57" s="209"/>
      <c r="BE57" s="209"/>
      <c r="BF57" s="209"/>
      <c r="BG57" s="209"/>
      <c r="BH57" s="209"/>
      <c r="BI57" s="209"/>
      <c r="BJ57" s="207"/>
      <c r="BP57" s="240"/>
    </row>
    <row r="58" s="189" customFormat="1" ht="15" customHeight="1" spans="1:68">
      <c r="A58" s="206">
        <v>53</v>
      </c>
      <c r="B58" s="207" t="s">
        <v>135</v>
      </c>
      <c r="C58" s="207" t="s">
        <v>147</v>
      </c>
      <c r="D58" s="207"/>
      <c r="E58" s="207"/>
      <c r="F58" s="208">
        <v>33.09</v>
      </c>
      <c r="G58" s="209">
        <f t="shared" si="0"/>
        <v>13.9344231489876</v>
      </c>
      <c r="H58" s="209">
        <f t="shared" si="12"/>
        <v>461.090062</v>
      </c>
      <c r="I58" s="207">
        <v>3</v>
      </c>
      <c r="J58" s="209">
        <f t="shared" si="13"/>
        <v>198.54</v>
      </c>
      <c r="K58" s="209">
        <f t="shared" si="14"/>
        <v>0</v>
      </c>
      <c r="L58" s="207">
        <v>0</v>
      </c>
      <c r="M58" s="209">
        <f t="shared" si="1"/>
        <v>66.18</v>
      </c>
      <c r="N58" s="208">
        <v>449.177662</v>
      </c>
      <c r="O58" s="209">
        <f t="shared" si="2"/>
        <v>198.54</v>
      </c>
      <c r="P58" s="209">
        <v>0</v>
      </c>
      <c r="Q58" s="209">
        <f t="shared" si="15"/>
        <v>11.9124</v>
      </c>
      <c r="R58" s="209">
        <f t="shared" si="3"/>
        <v>0</v>
      </c>
      <c r="S58" s="209">
        <v>0</v>
      </c>
      <c r="T58" s="208">
        <v>0</v>
      </c>
      <c r="U58" s="207">
        <v>0</v>
      </c>
      <c r="V58" s="209"/>
      <c r="W58" s="208">
        <v>0</v>
      </c>
      <c r="X58" s="208">
        <v>0</v>
      </c>
      <c r="Y58" s="209">
        <f t="shared" si="4"/>
        <v>0</v>
      </c>
      <c r="Z58" s="209">
        <f t="shared" si="5"/>
        <v>0</v>
      </c>
      <c r="AA58" s="208">
        <v>0</v>
      </c>
      <c r="AB58" s="228">
        <v>0</v>
      </c>
      <c r="AC58" s="208">
        <v>0</v>
      </c>
      <c r="AD58" s="229">
        <v>0</v>
      </c>
      <c r="AE58" s="208">
        <f t="shared" si="16"/>
        <v>11.9124</v>
      </c>
      <c r="AF58" s="208">
        <v>0</v>
      </c>
      <c r="AG58" s="208">
        <f t="shared" si="6"/>
        <v>0</v>
      </c>
      <c r="AH58" s="208">
        <v>0</v>
      </c>
      <c r="AI58" s="208">
        <v>0</v>
      </c>
      <c r="AJ58" s="208">
        <v>0</v>
      </c>
      <c r="AK58" s="209">
        <f t="shared" si="7"/>
        <v>66.18</v>
      </c>
      <c r="AL58" s="206">
        <f t="shared" si="8"/>
        <v>0</v>
      </c>
      <c r="AM58" s="235">
        <f t="shared" si="17"/>
        <v>0</v>
      </c>
      <c r="AN58" s="235">
        <f t="shared" si="9"/>
        <v>0</v>
      </c>
      <c r="AO58" s="209">
        <f t="shared" si="18"/>
        <v>0.06618</v>
      </c>
      <c r="AP58" s="209">
        <f t="shared" si="10"/>
        <v>0.002068125</v>
      </c>
      <c r="AQ58" s="209">
        <f t="shared" si="19"/>
        <v>0.03309</v>
      </c>
      <c r="AR58" s="209">
        <f t="shared" si="11"/>
        <v>0.000689375</v>
      </c>
      <c r="AS58" s="209">
        <f t="shared" si="20"/>
        <v>0</v>
      </c>
      <c r="AT58" s="207">
        <v>0</v>
      </c>
      <c r="AU58" s="207"/>
      <c r="AV58" s="237">
        <f t="shared" si="21"/>
        <v>0</v>
      </c>
      <c r="AW58" s="209"/>
      <c r="AX58" s="209"/>
      <c r="AY58" s="237"/>
      <c r="AZ58" s="237"/>
      <c r="BA58" s="209"/>
      <c r="BB58" s="237"/>
      <c r="BC58" s="237"/>
      <c r="BD58" s="209"/>
      <c r="BE58" s="209"/>
      <c r="BF58" s="209"/>
      <c r="BG58" s="209"/>
      <c r="BH58" s="209"/>
      <c r="BI58" s="209"/>
      <c r="BJ58" s="207"/>
      <c r="BP58" s="240"/>
    </row>
    <row r="59" s="189" customFormat="1" ht="15" customHeight="1" spans="1:68">
      <c r="A59" s="206">
        <v>54</v>
      </c>
      <c r="B59" s="207" t="s">
        <v>135</v>
      </c>
      <c r="C59" s="207" t="s">
        <v>135</v>
      </c>
      <c r="D59" s="207" t="s">
        <v>91</v>
      </c>
      <c r="E59" s="207" t="s">
        <v>92</v>
      </c>
      <c r="F59" s="208">
        <v>253.81</v>
      </c>
      <c r="G59" s="209">
        <f t="shared" si="0"/>
        <v>22.7985744408022</v>
      </c>
      <c r="H59" s="209">
        <f t="shared" si="12"/>
        <v>5786.50617882</v>
      </c>
      <c r="I59" s="207">
        <v>3</v>
      </c>
      <c r="J59" s="209">
        <f t="shared" si="13"/>
        <v>2000.055197</v>
      </c>
      <c r="K59" s="209">
        <f t="shared" si="14"/>
        <v>477.195197</v>
      </c>
      <c r="L59" s="207">
        <v>2</v>
      </c>
      <c r="M59" s="209">
        <f t="shared" si="1"/>
        <v>507.62</v>
      </c>
      <c r="N59" s="208">
        <v>2290.610367</v>
      </c>
      <c r="O59" s="209">
        <f t="shared" si="2"/>
        <v>1522.86</v>
      </c>
      <c r="P59" s="209">
        <v>0</v>
      </c>
      <c r="Q59" s="209">
        <f t="shared" si="15"/>
        <v>597.19850882</v>
      </c>
      <c r="R59" s="209">
        <f t="shared" si="3"/>
        <v>0</v>
      </c>
      <c r="S59" s="209">
        <v>0</v>
      </c>
      <c r="T59" s="208">
        <v>0</v>
      </c>
      <c r="U59" s="207">
        <v>0</v>
      </c>
      <c r="V59" s="209"/>
      <c r="W59" s="208">
        <v>477.195197</v>
      </c>
      <c r="X59" s="208">
        <v>0</v>
      </c>
      <c r="Y59" s="209">
        <f t="shared" si="4"/>
        <v>0</v>
      </c>
      <c r="Z59" s="209">
        <f t="shared" si="5"/>
        <v>188.511551</v>
      </c>
      <c r="AA59" s="208">
        <v>11.240662</v>
      </c>
      <c r="AB59" s="228">
        <v>0</v>
      </c>
      <c r="AC59" s="208">
        <v>0</v>
      </c>
      <c r="AD59" s="229">
        <v>177.270889</v>
      </c>
      <c r="AE59" s="208">
        <f t="shared" si="16"/>
        <v>120.00331182</v>
      </c>
      <c r="AF59" s="208">
        <v>0</v>
      </c>
      <c r="AG59" s="208">
        <f t="shared" si="6"/>
        <v>2521.674201</v>
      </c>
      <c r="AH59" s="208">
        <v>0</v>
      </c>
      <c r="AI59" s="208">
        <v>0</v>
      </c>
      <c r="AJ59" s="208">
        <v>2521.674201</v>
      </c>
      <c r="AK59" s="209">
        <f t="shared" si="7"/>
        <v>507.62</v>
      </c>
      <c r="AL59" s="206">
        <f t="shared" si="8"/>
        <v>0</v>
      </c>
      <c r="AM59" s="235">
        <f t="shared" si="17"/>
        <v>0</v>
      </c>
      <c r="AN59" s="235">
        <f t="shared" si="9"/>
        <v>0</v>
      </c>
      <c r="AO59" s="209">
        <f t="shared" si="18"/>
        <v>0.50762</v>
      </c>
      <c r="AP59" s="209">
        <f t="shared" si="10"/>
        <v>0.015863125</v>
      </c>
      <c r="AQ59" s="209">
        <f t="shared" si="19"/>
        <v>0.25381</v>
      </c>
      <c r="AR59" s="209">
        <f t="shared" si="11"/>
        <v>0.00528770833333333</v>
      </c>
      <c r="AS59" s="209">
        <f t="shared" si="20"/>
        <v>0</v>
      </c>
      <c r="AT59" s="207">
        <v>0</v>
      </c>
      <c r="AU59" s="207"/>
      <c r="AV59" s="237">
        <f t="shared" si="21"/>
        <v>0</v>
      </c>
      <c r="AW59" s="209"/>
      <c r="AX59" s="209"/>
      <c r="AY59" s="237"/>
      <c r="AZ59" s="237"/>
      <c r="BA59" s="209"/>
      <c r="BB59" s="237"/>
      <c r="BC59" s="237"/>
      <c r="BD59" s="209"/>
      <c r="BE59" s="209"/>
      <c r="BF59" s="209"/>
      <c r="BG59" s="209"/>
      <c r="BH59" s="209"/>
      <c r="BI59" s="209"/>
      <c r="BJ59" s="207"/>
      <c r="BP59" s="240"/>
    </row>
    <row r="60" s="189" customFormat="1" ht="15" customHeight="1" spans="1:68">
      <c r="A60" s="206">
        <v>55</v>
      </c>
      <c r="B60" s="207" t="s">
        <v>135</v>
      </c>
      <c r="C60" s="207" t="s">
        <v>135</v>
      </c>
      <c r="D60" s="207" t="s">
        <v>76</v>
      </c>
      <c r="E60" s="207" t="s">
        <v>144</v>
      </c>
      <c r="F60" s="208">
        <v>857.44</v>
      </c>
      <c r="G60" s="209">
        <f t="shared" si="0"/>
        <v>17.4293216016048</v>
      </c>
      <c r="H60" s="209">
        <f t="shared" si="12"/>
        <v>14944.59751408</v>
      </c>
      <c r="I60" s="207">
        <v>3</v>
      </c>
      <c r="J60" s="209">
        <f t="shared" si="13"/>
        <v>6027.943768</v>
      </c>
      <c r="K60" s="209">
        <f t="shared" si="14"/>
        <v>883.303768</v>
      </c>
      <c r="L60" s="207">
        <v>0</v>
      </c>
      <c r="M60" s="209">
        <f t="shared" si="1"/>
        <v>1714.88</v>
      </c>
      <c r="N60" s="208">
        <v>7023.822013</v>
      </c>
      <c r="O60" s="209">
        <f t="shared" si="2"/>
        <v>5144.64</v>
      </c>
      <c r="P60" s="209">
        <v>0</v>
      </c>
      <c r="Q60" s="209">
        <f t="shared" si="15"/>
        <v>1244.98039408</v>
      </c>
      <c r="R60" s="209">
        <f t="shared" si="3"/>
        <v>0</v>
      </c>
      <c r="S60" s="209">
        <v>0</v>
      </c>
      <c r="T60" s="208">
        <v>0</v>
      </c>
      <c r="U60" s="207">
        <v>0</v>
      </c>
      <c r="V60" s="209"/>
      <c r="W60" s="208">
        <v>883.303768</v>
      </c>
      <c r="X60" s="208">
        <v>0</v>
      </c>
      <c r="Y60" s="209">
        <f t="shared" si="4"/>
        <v>0</v>
      </c>
      <c r="Z60" s="209">
        <f t="shared" si="5"/>
        <v>784.212</v>
      </c>
      <c r="AA60" s="208">
        <v>0</v>
      </c>
      <c r="AB60" s="228">
        <v>0</v>
      </c>
      <c r="AC60" s="208">
        <v>0</v>
      </c>
      <c r="AD60" s="229">
        <v>784.212</v>
      </c>
      <c r="AE60" s="208">
        <f t="shared" si="16"/>
        <v>361.67662608</v>
      </c>
      <c r="AF60" s="208">
        <v>0</v>
      </c>
      <c r="AG60" s="208">
        <f t="shared" si="6"/>
        <v>5107.371107</v>
      </c>
      <c r="AH60" s="208">
        <v>0</v>
      </c>
      <c r="AI60" s="208">
        <v>0</v>
      </c>
      <c r="AJ60" s="208">
        <v>5107.371107</v>
      </c>
      <c r="AK60" s="209">
        <f t="shared" si="7"/>
        <v>1714.88</v>
      </c>
      <c r="AL60" s="206">
        <f t="shared" si="8"/>
        <v>0</v>
      </c>
      <c r="AM60" s="235">
        <f t="shared" si="17"/>
        <v>0</v>
      </c>
      <c r="AN60" s="235">
        <f t="shared" si="9"/>
        <v>0</v>
      </c>
      <c r="AO60" s="209">
        <f t="shared" si="18"/>
        <v>1.71488</v>
      </c>
      <c r="AP60" s="209">
        <f t="shared" si="10"/>
        <v>0.05359</v>
      </c>
      <c r="AQ60" s="209">
        <f t="shared" si="19"/>
        <v>0.85744</v>
      </c>
      <c r="AR60" s="209">
        <f t="shared" si="11"/>
        <v>0.0178633333333333</v>
      </c>
      <c r="AS60" s="209">
        <f t="shared" si="20"/>
        <v>0</v>
      </c>
      <c r="AT60" s="207">
        <v>0</v>
      </c>
      <c r="AU60" s="207"/>
      <c r="AV60" s="237">
        <f t="shared" si="21"/>
        <v>0</v>
      </c>
      <c r="AW60" s="209"/>
      <c r="AX60" s="209"/>
      <c r="AY60" s="237"/>
      <c r="AZ60" s="237"/>
      <c r="BA60" s="209"/>
      <c r="BB60" s="237"/>
      <c r="BC60" s="237"/>
      <c r="BD60" s="209"/>
      <c r="BE60" s="209"/>
      <c r="BF60" s="209"/>
      <c r="BG60" s="209"/>
      <c r="BH60" s="209"/>
      <c r="BI60" s="209"/>
      <c r="BJ60" s="207"/>
      <c r="BP60" s="240"/>
    </row>
    <row r="61" s="191" customFormat="1" ht="15" customHeight="1" spans="1:68">
      <c r="A61" s="214">
        <v>56</v>
      </c>
      <c r="B61" s="215" t="s">
        <v>148</v>
      </c>
      <c r="C61" s="215" t="s">
        <v>148</v>
      </c>
      <c r="D61" s="215" t="s">
        <v>149</v>
      </c>
      <c r="E61" s="215" t="s">
        <v>143</v>
      </c>
      <c r="F61" s="216">
        <v>1375.79</v>
      </c>
      <c r="G61" s="217">
        <f t="shared" si="0"/>
        <v>25.2499397180747</v>
      </c>
      <c r="H61" s="209">
        <f t="shared" si="12"/>
        <v>34738.61456473</v>
      </c>
      <c r="I61" s="215">
        <v>2</v>
      </c>
      <c r="J61" s="209">
        <f t="shared" si="13"/>
        <v>18355.897439</v>
      </c>
      <c r="K61" s="209">
        <f t="shared" si="14"/>
        <v>10101.157439</v>
      </c>
      <c r="L61" s="215">
        <v>2</v>
      </c>
      <c r="M61" s="209">
        <f t="shared" si="1"/>
        <v>2751.58</v>
      </c>
      <c r="N61" s="216">
        <v>19632.826673</v>
      </c>
      <c r="O61" s="217">
        <f t="shared" si="2"/>
        <v>8254.74</v>
      </c>
      <c r="P61" s="217">
        <v>0</v>
      </c>
      <c r="Q61" s="209">
        <f t="shared" si="15"/>
        <v>11386.07025973</v>
      </c>
      <c r="R61" s="209">
        <f t="shared" si="3"/>
        <v>0</v>
      </c>
      <c r="S61" s="209">
        <v>0</v>
      </c>
      <c r="T61" s="216">
        <v>0</v>
      </c>
      <c r="U61" s="215">
        <v>0</v>
      </c>
      <c r="V61" s="217"/>
      <c r="W61" s="216">
        <v>10101.157439</v>
      </c>
      <c r="X61" s="216">
        <v>0</v>
      </c>
      <c r="Y61" s="217">
        <f t="shared" si="4"/>
        <v>0</v>
      </c>
      <c r="Z61" s="209">
        <f t="shared" si="5"/>
        <v>48.439141</v>
      </c>
      <c r="AA61" s="216">
        <v>48.439141</v>
      </c>
      <c r="AB61" s="230">
        <v>0</v>
      </c>
      <c r="AC61" s="216">
        <v>0</v>
      </c>
      <c r="AD61" s="231">
        <v>0</v>
      </c>
      <c r="AE61" s="208">
        <f t="shared" si="16"/>
        <v>1284.91282073</v>
      </c>
      <c r="AF61" s="216">
        <v>0</v>
      </c>
      <c r="AG61" s="208">
        <f t="shared" si="6"/>
        <v>3622.83935</v>
      </c>
      <c r="AH61" s="216">
        <v>2144.285571</v>
      </c>
      <c r="AI61" s="216">
        <v>0</v>
      </c>
      <c r="AJ61" s="216">
        <v>1478.553779</v>
      </c>
      <c r="AK61" s="217">
        <f t="shared" si="7"/>
        <v>2751.58</v>
      </c>
      <c r="AL61" s="206">
        <f t="shared" si="8"/>
        <v>0</v>
      </c>
      <c r="AM61" s="235">
        <f t="shared" si="17"/>
        <v>0</v>
      </c>
      <c r="AN61" s="235">
        <f t="shared" si="9"/>
        <v>0</v>
      </c>
      <c r="AO61" s="209">
        <f t="shared" si="18"/>
        <v>5.50316</v>
      </c>
      <c r="AP61" s="209">
        <f t="shared" si="10"/>
        <v>0.17197375</v>
      </c>
      <c r="AQ61" s="209">
        <f t="shared" si="19"/>
        <v>2.75158</v>
      </c>
      <c r="AR61" s="209">
        <f t="shared" si="11"/>
        <v>0.0573245833333333</v>
      </c>
      <c r="AS61" s="209">
        <f t="shared" si="20"/>
        <v>0</v>
      </c>
      <c r="AT61" s="215">
        <v>0</v>
      </c>
      <c r="AU61" s="215"/>
      <c r="AV61" s="237">
        <f t="shared" si="21"/>
        <v>0</v>
      </c>
      <c r="AW61" s="209"/>
      <c r="AX61" s="209"/>
      <c r="AY61" s="237"/>
      <c r="AZ61" s="217"/>
      <c r="BA61" s="209"/>
      <c r="BB61" s="237"/>
      <c r="BC61" s="237"/>
      <c r="BD61" s="217"/>
      <c r="BE61" s="209"/>
      <c r="BF61" s="217"/>
      <c r="BG61" s="209"/>
      <c r="BH61" s="209"/>
      <c r="BI61" s="209"/>
      <c r="BJ61" s="215"/>
      <c r="BP61" s="242"/>
    </row>
    <row r="62" s="191" customFormat="1" ht="15" customHeight="1" spans="1:68">
      <c r="A62" s="214">
        <v>57</v>
      </c>
      <c r="B62" s="215" t="s">
        <v>148</v>
      </c>
      <c r="C62" s="215" t="s">
        <v>148</v>
      </c>
      <c r="D62" s="215" t="s">
        <v>143</v>
      </c>
      <c r="E62" s="215" t="s">
        <v>92</v>
      </c>
      <c r="F62" s="216">
        <v>214.01</v>
      </c>
      <c r="G62" s="217">
        <f t="shared" si="0"/>
        <v>29.8228236131956</v>
      </c>
      <c r="H62" s="209">
        <f t="shared" si="12"/>
        <v>6382.38248146</v>
      </c>
      <c r="I62" s="215">
        <v>2</v>
      </c>
      <c r="J62" s="209">
        <f t="shared" si="13"/>
        <v>3746.774478</v>
      </c>
      <c r="K62" s="209">
        <f t="shared" si="14"/>
        <v>2462.714478</v>
      </c>
      <c r="L62" s="215">
        <v>2</v>
      </c>
      <c r="M62" s="209">
        <f t="shared" si="1"/>
        <v>428.02</v>
      </c>
      <c r="N62" s="216">
        <v>3205.173658</v>
      </c>
      <c r="O62" s="217">
        <f t="shared" si="2"/>
        <v>1284.06</v>
      </c>
      <c r="P62" s="217">
        <v>0</v>
      </c>
      <c r="Q62" s="209">
        <f t="shared" si="15"/>
        <v>2724.98869146</v>
      </c>
      <c r="R62" s="209">
        <f t="shared" si="3"/>
        <v>0</v>
      </c>
      <c r="S62" s="209">
        <v>0</v>
      </c>
      <c r="T62" s="216">
        <v>0</v>
      </c>
      <c r="U62" s="215">
        <v>0</v>
      </c>
      <c r="V62" s="217"/>
      <c r="W62" s="216">
        <v>2462.714478</v>
      </c>
      <c r="X62" s="216">
        <v>0</v>
      </c>
      <c r="Y62" s="217">
        <f t="shared" si="4"/>
        <v>0</v>
      </c>
      <c r="Z62" s="209">
        <f t="shared" si="5"/>
        <v>0</v>
      </c>
      <c r="AA62" s="216">
        <v>0</v>
      </c>
      <c r="AB62" s="230">
        <v>0</v>
      </c>
      <c r="AC62" s="216">
        <v>0</v>
      </c>
      <c r="AD62" s="231">
        <v>0</v>
      </c>
      <c r="AE62" s="208">
        <f t="shared" si="16"/>
        <v>262.27421346</v>
      </c>
      <c r="AF62" s="216">
        <v>0</v>
      </c>
      <c r="AG62" s="208">
        <f t="shared" si="6"/>
        <v>452.220132</v>
      </c>
      <c r="AH62" s="216">
        <v>452.220132</v>
      </c>
      <c r="AI62" s="216">
        <v>0</v>
      </c>
      <c r="AJ62" s="216">
        <v>0</v>
      </c>
      <c r="AK62" s="217">
        <f t="shared" si="7"/>
        <v>428.02</v>
      </c>
      <c r="AL62" s="206">
        <f t="shared" si="8"/>
        <v>0</v>
      </c>
      <c r="AM62" s="235">
        <f t="shared" si="17"/>
        <v>0</v>
      </c>
      <c r="AN62" s="235">
        <f t="shared" si="9"/>
        <v>0</v>
      </c>
      <c r="AO62" s="209">
        <f t="shared" si="18"/>
        <v>0.85604</v>
      </c>
      <c r="AP62" s="209">
        <f t="shared" si="10"/>
        <v>0.02675125</v>
      </c>
      <c r="AQ62" s="209">
        <f t="shared" si="19"/>
        <v>0.42802</v>
      </c>
      <c r="AR62" s="209">
        <f t="shared" si="11"/>
        <v>0.00891708333333333</v>
      </c>
      <c r="AS62" s="209">
        <f t="shared" si="20"/>
        <v>0</v>
      </c>
      <c r="AT62" s="215">
        <v>0</v>
      </c>
      <c r="AU62" s="215"/>
      <c r="AV62" s="237">
        <f t="shared" si="21"/>
        <v>0</v>
      </c>
      <c r="AW62" s="209"/>
      <c r="AX62" s="209"/>
      <c r="AY62" s="237"/>
      <c r="AZ62" s="217"/>
      <c r="BA62" s="209"/>
      <c r="BB62" s="237"/>
      <c r="BC62" s="237"/>
      <c r="BD62" s="217"/>
      <c r="BE62" s="209"/>
      <c r="BF62" s="217"/>
      <c r="BG62" s="209"/>
      <c r="BH62" s="209"/>
      <c r="BI62" s="209"/>
      <c r="BJ62" s="215"/>
      <c r="BP62" s="242"/>
    </row>
    <row r="63" s="191" customFormat="1" ht="15" customHeight="1" spans="1:68">
      <c r="A63" s="214">
        <v>58</v>
      </c>
      <c r="B63" s="215" t="s">
        <v>148</v>
      </c>
      <c r="C63" s="215" t="s">
        <v>150</v>
      </c>
      <c r="D63" s="215"/>
      <c r="E63" s="215"/>
      <c r="F63" s="216">
        <v>17.52</v>
      </c>
      <c r="G63" s="217">
        <f t="shared" si="0"/>
        <v>20.5583919520548</v>
      </c>
      <c r="H63" s="209">
        <f t="shared" si="12"/>
        <v>360.183027</v>
      </c>
      <c r="I63" s="215">
        <v>2</v>
      </c>
      <c r="J63" s="209">
        <f t="shared" si="13"/>
        <v>105.12</v>
      </c>
      <c r="K63" s="209">
        <f t="shared" si="14"/>
        <v>0</v>
      </c>
      <c r="L63" s="215">
        <v>0</v>
      </c>
      <c r="M63" s="209">
        <f t="shared" si="1"/>
        <v>35.04</v>
      </c>
      <c r="N63" s="216">
        <v>352.824627</v>
      </c>
      <c r="O63" s="217">
        <f t="shared" si="2"/>
        <v>105.12</v>
      </c>
      <c r="P63" s="217">
        <v>0</v>
      </c>
      <c r="Q63" s="209">
        <f t="shared" si="15"/>
        <v>7.3584</v>
      </c>
      <c r="R63" s="209">
        <f t="shared" si="3"/>
        <v>0</v>
      </c>
      <c r="S63" s="209">
        <v>0</v>
      </c>
      <c r="T63" s="216">
        <v>0</v>
      </c>
      <c r="U63" s="215">
        <v>0</v>
      </c>
      <c r="V63" s="217"/>
      <c r="W63" s="216">
        <v>0</v>
      </c>
      <c r="X63" s="216">
        <v>0</v>
      </c>
      <c r="Y63" s="217">
        <f t="shared" si="4"/>
        <v>0</v>
      </c>
      <c r="Z63" s="209">
        <f t="shared" si="5"/>
        <v>0</v>
      </c>
      <c r="AA63" s="216">
        <v>0</v>
      </c>
      <c r="AB63" s="230">
        <v>0</v>
      </c>
      <c r="AC63" s="216">
        <v>0</v>
      </c>
      <c r="AD63" s="231">
        <v>0</v>
      </c>
      <c r="AE63" s="208">
        <f t="shared" si="16"/>
        <v>7.3584</v>
      </c>
      <c r="AF63" s="216">
        <v>0</v>
      </c>
      <c r="AG63" s="208">
        <f t="shared" si="6"/>
        <v>0</v>
      </c>
      <c r="AH63" s="216">
        <v>0</v>
      </c>
      <c r="AI63" s="216">
        <v>0</v>
      </c>
      <c r="AJ63" s="216">
        <v>0</v>
      </c>
      <c r="AK63" s="217">
        <f t="shared" si="7"/>
        <v>35.04</v>
      </c>
      <c r="AL63" s="206">
        <f t="shared" si="8"/>
        <v>0</v>
      </c>
      <c r="AM63" s="235">
        <f t="shared" si="17"/>
        <v>0</v>
      </c>
      <c r="AN63" s="235">
        <f t="shared" si="9"/>
        <v>0</v>
      </c>
      <c r="AO63" s="209">
        <f t="shared" si="18"/>
        <v>0.07008</v>
      </c>
      <c r="AP63" s="209">
        <f t="shared" si="10"/>
        <v>0.00219</v>
      </c>
      <c r="AQ63" s="209">
        <f t="shared" si="19"/>
        <v>0.03504</v>
      </c>
      <c r="AR63" s="209">
        <f t="shared" si="11"/>
        <v>0.00073</v>
      </c>
      <c r="AS63" s="209">
        <f t="shared" si="20"/>
        <v>0</v>
      </c>
      <c r="AT63" s="215">
        <v>0</v>
      </c>
      <c r="AU63" s="215"/>
      <c r="AV63" s="237">
        <f t="shared" si="21"/>
        <v>0</v>
      </c>
      <c r="AW63" s="209"/>
      <c r="AX63" s="209"/>
      <c r="AY63" s="237"/>
      <c r="AZ63" s="217"/>
      <c r="BA63" s="209"/>
      <c r="BB63" s="237"/>
      <c r="BC63" s="237"/>
      <c r="BD63" s="217"/>
      <c r="BE63" s="209"/>
      <c r="BF63" s="217"/>
      <c r="BG63" s="209"/>
      <c r="BH63" s="209"/>
      <c r="BI63" s="209"/>
      <c r="BJ63" s="215"/>
      <c r="BP63" s="242"/>
    </row>
    <row r="64" s="189" customFormat="1" ht="15" customHeight="1" spans="1:68">
      <c r="A64" s="206">
        <v>59</v>
      </c>
      <c r="B64" s="207" t="s">
        <v>76</v>
      </c>
      <c r="C64" s="207" t="s">
        <v>76</v>
      </c>
      <c r="D64" s="207" t="s">
        <v>151</v>
      </c>
      <c r="E64" s="207" t="s">
        <v>148</v>
      </c>
      <c r="F64" s="208">
        <v>564.04</v>
      </c>
      <c r="G64" s="209">
        <f t="shared" si="0"/>
        <v>13.7062128666761</v>
      </c>
      <c r="H64" s="209">
        <f t="shared" si="12"/>
        <v>7730.85230532</v>
      </c>
      <c r="I64" s="207">
        <v>3</v>
      </c>
      <c r="J64" s="209">
        <f t="shared" si="13"/>
        <v>5190.854822</v>
      </c>
      <c r="K64" s="209">
        <f t="shared" si="14"/>
        <v>1806.614822</v>
      </c>
      <c r="L64" s="207">
        <v>0</v>
      </c>
      <c r="M64" s="209">
        <f t="shared" si="1"/>
        <v>1128.08</v>
      </c>
      <c r="N64" s="208">
        <v>3660.159562</v>
      </c>
      <c r="O64" s="209">
        <f t="shared" si="2"/>
        <v>3384.24</v>
      </c>
      <c r="P64" s="209">
        <v>0</v>
      </c>
      <c r="Q64" s="209">
        <f t="shared" si="15"/>
        <v>2118.06611132</v>
      </c>
      <c r="R64" s="209">
        <f t="shared" si="3"/>
        <v>0</v>
      </c>
      <c r="S64" s="209">
        <f>T64</f>
        <v>1806.614822</v>
      </c>
      <c r="T64" s="208">
        <v>1806.614822</v>
      </c>
      <c r="U64" s="207">
        <v>0</v>
      </c>
      <c r="V64" s="209"/>
      <c r="W64" s="208">
        <v>0</v>
      </c>
      <c r="X64" s="208">
        <v>0</v>
      </c>
      <c r="Y64" s="209">
        <f t="shared" si="4"/>
        <v>0</v>
      </c>
      <c r="Z64" s="209">
        <f t="shared" si="5"/>
        <v>0</v>
      </c>
      <c r="AA64" s="208">
        <v>0</v>
      </c>
      <c r="AB64" s="228">
        <v>0</v>
      </c>
      <c r="AC64" s="208">
        <v>0</v>
      </c>
      <c r="AD64" s="229">
        <v>0</v>
      </c>
      <c r="AE64" s="208">
        <f t="shared" si="16"/>
        <v>311.45128932</v>
      </c>
      <c r="AF64" s="208">
        <v>0</v>
      </c>
      <c r="AG64" s="208">
        <f t="shared" si="6"/>
        <v>1952.626632</v>
      </c>
      <c r="AH64" s="208">
        <v>0</v>
      </c>
      <c r="AI64" s="208">
        <v>1802.351742</v>
      </c>
      <c r="AJ64" s="208">
        <v>150.27489</v>
      </c>
      <c r="AK64" s="209">
        <f t="shared" si="7"/>
        <v>1128.08</v>
      </c>
      <c r="AL64" s="206">
        <f t="shared" si="8"/>
        <v>0</v>
      </c>
      <c r="AM64" s="235">
        <f t="shared" si="17"/>
        <v>0</v>
      </c>
      <c r="AN64" s="235">
        <f t="shared" si="9"/>
        <v>0</v>
      </c>
      <c r="AO64" s="209">
        <f t="shared" si="18"/>
        <v>1.12808</v>
      </c>
      <c r="AP64" s="209">
        <f t="shared" si="10"/>
        <v>0.0352525</v>
      </c>
      <c r="AQ64" s="209">
        <f t="shared" si="19"/>
        <v>0.56404</v>
      </c>
      <c r="AR64" s="209">
        <f t="shared" si="11"/>
        <v>0.0117508333333333</v>
      </c>
      <c r="AS64" s="209">
        <f t="shared" si="20"/>
        <v>0</v>
      </c>
      <c r="AT64" s="207">
        <v>0</v>
      </c>
      <c r="AU64" s="207"/>
      <c r="AV64" s="237">
        <f t="shared" si="21"/>
        <v>0</v>
      </c>
      <c r="AW64" s="209"/>
      <c r="AX64" s="209"/>
      <c r="AY64" s="237"/>
      <c r="AZ64" s="237"/>
      <c r="BA64" s="209"/>
      <c r="BB64" s="237"/>
      <c r="BC64" s="237"/>
      <c r="BD64" s="209"/>
      <c r="BE64" s="209"/>
      <c r="BF64" s="209"/>
      <c r="BG64" s="209"/>
      <c r="BH64" s="209"/>
      <c r="BI64" s="209"/>
      <c r="BJ64" s="207"/>
      <c r="BP64" s="240"/>
    </row>
    <row r="65" s="190" customFormat="1" ht="15" customHeight="1" spans="1:68">
      <c r="A65" s="210">
        <v>60</v>
      </c>
      <c r="B65" s="207" t="s">
        <v>152</v>
      </c>
      <c r="C65" s="211" t="s">
        <v>152</v>
      </c>
      <c r="D65" s="211" t="s">
        <v>148</v>
      </c>
      <c r="E65" s="211" t="s">
        <v>153</v>
      </c>
      <c r="F65" s="212">
        <v>521.37</v>
      </c>
      <c r="G65" s="213">
        <f t="shared" si="0"/>
        <v>7.04985663651533</v>
      </c>
      <c r="H65" s="213">
        <f t="shared" si="12"/>
        <v>3675.58375458</v>
      </c>
      <c r="I65" s="211">
        <v>3</v>
      </c>
      <c r="J65" s="213">
        <f t="shared" si="13"/>
        <v>3149.548543</v>
      </c>
      <c r="K65" s="213">
        <f t="shared" si="14"/>
        <v>21.328543</v>
      </c>
      <c r="L65" s="207">
        <v>0</v>
      </c>
      <c r="M65" s="213">
        <f t="shared" si="1"/>
        <v>1042.74</v>
      </c>
      <c r="N65" s="212">
        <v>2540.829057</v>
      </c>
      <c r="O65" s="213">
        <f t="shared" si="2"/>
        <v>3128.22</v>
      </c>
      <c r="P65" s="213">
        <v>0</v>
      </c>
      <c r="Q65" s="213">
        <f t="shared" si="15"/>
        <v>210.30145558</v>
      </c>
      <c r="R65" s="213">
        <f t="shared" si="3"/>
        <v>0</v>
      </c>
      <c r="S65" s="213">
        <v>0</v>
      </c>
      <c r="T65" s="212">
        <v>0</v>
      </c>
      <c r="U65" s="211">
        <v>0</v>
      </c>
      <c r="V65" s="213"/>
      <c r="W65" s="212">
        <v>21.328543</v>
      </c>
      <c r="X65" s="212">
        <v>0</v>
      </c>
      <c r="Y65" s="213">
        <f t="shared" si="4"/>
        <v>0</v>
      </c>
      <c r="Z65" s="213">
        <f t="shared" si="5"/>
        <v>0</v>
      </c>
      <c r="AA65" s="208">
        <v>0</v>
      </c>
      <c r="AB65" s="228">
        <v>0</v>
      </c>
      <c r="AC65" s="208">
        <v>0</v>
      </c>
      <c r="AD65" s="229">
        <v>0</v>
      </c>
      <c r="AE65" s="212">
        <f t="shared" si="16"/>
        <v>188.97291258</v>
      </c>
      <c r="AF65" s="212">
        <v>0</v>
      </c>
      <c r="AG65" s="212">
        <f t="shared" si="6"/>
        <v>924.453242</v>
      </c>
      <c r="AH65" s="212">
        <v>0</v>
      </c>
      <c r="AI65" s="212">
        <v>0</v>
      </c>
      <c r="AJ65" s="212">
        <v>924.453242</v>
      </c>
      <c r="AK65" s="213">
        <f t="shared" si="7"/>
        <v>1042.74</v>
      </c>
      <c r="AL65" s="210">
        <f t="shared" si="8"/>
        <v>0</v>
      </c>
      <c r="AM65" s="235">
        <f t="shared" si="17"/>
        <v>0</v>
      </c>
      <c r="AN65" s="235">
        <f t="shared" si="9"/>
        <v>0</v>
      </c>
      <c r="AO65" s="213">
        <f t="shared" si="18"/>
        <v>1.04274</v>
      </c>
      <c r="AP65" s="209">
        <f t="shared" si="10"/>
        <v>0.032585625</v>
      </c>
      <c r="AQ65" s="213">
        <f t="shared" si="19"/>
        <v>0.52137</v>
      </c>
      <c r="AR65" s="209">
        <f t="shared" si="11"/>
        <v>0.010861875</v>
      </c>
      <c r="AS65" s="213">
        <f t="shared" si="20"/>
        <v>0</v>
      </c>
      <c r="AT65" s="211">
        <v>0</v>
      </c>
      <c r="AU65" s="211"/>
      <c r="AV65" s="237">
        <f t="shared" si="21"/>
        <v>0</v>
      </c>
      <c r="AW65" s="213"/>
      <c r="AX65" s="213"/>
      <c r="AY65" s="238"/>
      <c r="AZ65" s="238"/>
      <c r="BA65" s="213"/>
      <c r="BB65" s="238"/>
      <c r="BC65" s="238"/>
      <c r="BD65" s="213"/>
      <c r="BE65" s="213"/>
      <c r="BF65" s="213"/>
      <c r="BG65" s="213"/>
      <c r="BH65" s="213"/>
      <c r="BI65" s="213"/>
      <c r="BJ65" s="211"/>
      <c r="BP65" s="241"/>
    </row>
    <row r="66" s="189" customFormat="1" ht="15" customHeight="1" spans="1:68">
      <c r="A66" s="206">
        <v>61</v>
      </c>
      <c r="B66" s="207" t="s">
        <v>154</v>
      </c>
      <c r="C66" s="207" t="s">
        <v>154</v>
      </c>
      <c r="D66" s="207" t="s">
        <v>148</v>
      </c>
      <c r="E66" s="207" t="s">
        <v>155</v>
      </c>
      <c r="F66" s="208">
        <v>817.42</v>
      </c>
      <c r="G66" s="209">
        <f t="shared" si="0"/>
        <v>12.3598187027477</v>
      </c>
      <c r="H66" s="209">
        <f t="shared" si="12"/>
        <v>10103.163004</v>
      </c>
      <c r="I66" s="207">
        <v>3</v>
      </c>
      <c r="J66" s="209">
        <f t="shared" si="13"/>
        <v>5218.6019</v>
      </c>
      <c r="K66" s="209">
        <f t="shared" si="14"/>
        <v>314.0819</v>
      </c>
      <c r="L66" s="207">
        <v>0</v>
      </c>
      <c r="M66" s="209">
        <f t="shared" si="1"/>
        <v>1634.84</v>
      </c>
      <c r="N66" s="208">
        <v>5112.29777</v>
      </c>
      <c r="O66" s="209">
        <f t="shared" si="2"/>
        <v>4904.52</v>
      </c>
      <c r="P66" s="209">
        <v>0</v>
      </c>
      <c r="Q66" s="209">
        <f t="shared" si="15"/>
        <v>627.198014</v>
      </c>
      <c r="R66" s="209">
        <f t="shared" si="3"/>
        <v>0</v>
      </c>
      <c r="S66" s="209">
        <v>0</v>
      </c>
      <c r="T66" s="208">
        <v>0</v>
      </c>
      <c r="U66" s="207">
        <v>0</v>
      </c>
      <c r="V66" s="209"/>
      <c r="W66" s="208">
        <v>314.0819</v>
      </c>
      <c r="X66" s="208">
        <v>0</v>
      </c>
      <c r="Y66" s="209">
        <f t="shared" si="4"/>
        <v>0</v>
      </c>
      <c r="Z66" s="209">
        <f t="shared" si="5"/>
        <v>36.534443</v>
      </c>
      <c r="AA66" s="208">
        <v>0</v>
      </c>
      <c r="AB66" s="228">
        <v>0</v>
      </c>
      <c r="AC66" s="208">
        <v>0</v>
      </c>
      <c r="AD66" s="229">
        <v>36.534443</v>
      </c>
      <c r="AE66" s="208">
        <f t="shared" si="16"/>
        <v>313.116114</v>
      </c>
      <c r="AF66" s="208">
        <v>0</v>
      </c>
      <c r="AG66" s="208">
        <f t="shared" si="6"/>
        <v>4290.598334</v>
      </c>
      <c r="AH66" s="208">
        <v>0</v>
      </c>
      <c r="AI66" s="208">
        <v>0</v>
      </c>
      <c r="AJ66" s="208">
        <v>4290.598334</v>
      </c>
      <c r="AK66" s="209">
        <f t="shared" si="7"/>
        <v>1634.84</v>
      </c>
      <c r="AL66" s="206">
        <f t="shared" si="8"/>
        <v>0</v>
      </c>
      <c r="AM66" s="235">
        <f t="shared" si="17"/>
        <v>0</v>
      </c>
      <c r="AN66" s="235">
        <f t="shared" si="9"/>
        <v>0</v>
      </c>
      <c r="AO66" s="209">
        <f t="shared" si="18"/>
        <v>1.63484</v>
      </c>
      <c r="AP66" s="209">
        <f t="shared" si="10"/>
        <v>0.05108875</v>
      </c>
      <c r="AQ66" s="209">
        <f t="shared" si="19"/>
        <v>0.81742</v>
      </c>
      <c r="AR66" s="209">
        <f t="shared" si="11"/>
        <v>0.0170295833333333</v>
      </c>
      <c r="AS66" s="209">
        <f t="shared" si="20"/>
        <v>0</v>
      </c>
      <c r="AT66" s="207">
        <v>0</v>
      </c>
      <c r="AU66" s="207"/>
      <c r="AV66" s="237">
        <f t="shared" si="21"/>
        <v>0</v>
      </c>
      <c r="AW66" s="209"/>
      <c r="AX66" s="209"/>
      <c r="AY66" s="237"/>
      <c r="AZ66" s="237"/>
      <c r="BA66" s="209"/>
      <c r="BB66" s="237"/>
      <c r="BC66" s="237"/>
      <c r="BD66" s="209"/>
      <c r="BE66" s="209"/>
      <c r="BF66" s="209"/>
      <c r="BG66" s="209"/>
      <c r="BH66" s="209"/>
      <c r="BI66" s="209"/>
      <c r="BJ66" s="207"/>
      <c r="BP66" s="240"/>
    </row>
    <row r="67" s="189" customFormat="1" ht="15" customHeight="1" spans="1:68">
      <c r="A67" s="206">
        <v>62</v>
      </c>
      <c r="B67" s="207" t="s">
        <v>154</v>
      </c>
      <c r="C67" s="207" t="s">
        <v>154</v>
      </c>
      <c r="D67" s="207" t="s">
        <v>149</v>
      </c>
      <c r="E67" s="207" t="s">
        <v>155</v>
      </c>
      <c r="F67" s="208">
        <v>449.49</v>
      </c>
      <c r="G67" s="209">
        <f t="shared" si="0"/>
        <v>11.0432193383613</v>
      </c>
      <c r="H67" s="209">
        <f t="shared" si="12"/>
        <v>4963.8166604</v>
      </c>
      <c r="I67" s="207">
        <v>3</v>
      </c>
      <c r="J67" s="209">
        <f t="shared" si="13"/>
        <v>3679.42289</v>
      </c>
      <c r="K67" s="209">
        <f t="shared" si="14"/>
        <v>982.48289</v>
      </c>
      <c r="L67" s="207">
        <v>0</v>
      </c>
      <c r="M67" s="209">
        <f t="shared" si="1"/>
        <v>898.98</v>
      </c>
      <c r="N67" s="208">
        <v>2687.040421</v>
      </c>
      <c r="O67" s="209">
        <f t="shared" si="2"/>
        <v>2696.94</v>
      </c>
      <c r="P67" s="209">
        <v>0</v>
      </c>
      <c r="Q67" s="209">
        <f t="shared" si="15"/>
        <v>1203.2482634</v>
      </c>
      <c r="R67" s="209">
        <f t="shared" si="3"/>
        <v>0</v>
      </c>
      <c r="S67" s="209">
        <v>0</v>
      </c>
      <c r="T67" s="208">
        <v>0</v>
      </c>
      <c r="U67" s="207">
        <v>0</v>
      </c>
      <c r="V67" s="209"/>
      <c r="W67" s="208">
        <v>910.24538</v>
      </c>
      <c r="X67" s="208">
        <v>36.118755</v>
      </c>
      <c r="Y67" s="209">
        <f t="shared" si="4"/>
        <v>72.23751</v>
      </c>
      <c r="Z67" s="209">
        <f t="shared" si="5"/>
        <v>0</v>
      </c>
      <c r="AA67" s="208">
        <v>0</v>
      </c>
      <c r="AB67" s="228">
        <v>0</v>
      </c>
      <c r="AC67" s="208">
        <v>0</v>
      </c>
      <c r="AD67" s="229">
        <v>0</v>
      </c>
      <c r="AE67" s="208">
        <f t="shared" si="16"/>
        <v>220.7653734</v>
      </c>
      <c r="AF67" s="208">
        <v>0</v>
      </c>
      <c r="AG67" s="208">
        <f t="shared" si="6"/>
        <v>1073.527976</v>
      </c>
      <c r="AH67" s="208">
        <v>0</v>
      </c>
      <c r="AI67" s="208">
        <v>0</v>
      </c>
      <c r="AJ67" s="208">
        <v>1073.527976</v>
      </c>
      <c r="AK67" s="209">
        <f t="shared" si="7"/>
        <v>898.98</v>
      </c>
      <c r="AL67" s="206">
        <f t="shared" si="8"/>
        <v>0</v>
      </c>
      <c r="AM67" s="235">
        <f t="shared" si="17"/>
        <v>0</v>
      </c>
      <c r="AN67" s="235">
        <f t="shared" si="9"/>
        <v>0</v>
      </c>
      <c r="AO67" s="209">
        <f t="shared" si="18"/>
        <v>0.89898</v>
      </c>
      <c r="AP67" s="209">
        <f t="shared" si="10"/>
        <v>0.028093125</v>
      </c>
      <c r="AQ67" s="209">
        <f t="shared" si="19"/>
        <v>0.44949</v>
      </c>
      <c r="AR67" s="209">
        <f t="shared" si="11"/>
        <v>0.009364375</v>
      </c>
      <c r="AS67" s="209">
        <f t="shared" si="20"/>
        <v>0</v>
      </c>
      <c r="AT67" s="207">
        <v>0</v>
      </c>
      <c r="AU67" s="207"/>
      <c r="AV67" s="237">
        <f t="shared" si="21"/>
        <v>0</v>
      </c>
      <c r="AW67" s="209"/>
      <c r="AX67" s="209"/>
      <c r="AY67" s="237"/>
      <c r="AZ67" s="237"/>
      <c r="BA67" s="209"/>
      <c r="BB67" s="237"/>
      <c r="BC67" s="237"/>
      <c r="BD67" s="209"/>
      <c r="BE67" s="209"/>
      <c r="BF67" s="209"/>
      <c r="BG67" s="209"/>
      <c r="BH67" s="209"/>
      <c r="BI67" s="209"/>
      <c r="BJ67" s="207"/>
      <c r="BP67" s="240"/>
    </row>
    <row r="68" s="189" customFormat="1" ht="15" customHeight="1" spans="1:68">
      <c r="A68" s="206">
        <v>63</v>
      </c>
      <c r="B68" s="207" t="s">
        <v>156</v>
      </c>
      <c r="C68" s="207" t="s">
        <v>156</v>
      </c>
      <c r="D68" s="207" t="s">
        <v>135</v>
      </c>
      <c r="E68" s="207" t="s">
        <v>148</v>
      </c>
      <c r="F68" s="208">
        <v>412.39</v>
      </c>
      <c r="G68" s="209">
        <f t="shared" si="0"/>
        <v>6.83725689759694</v>
      </c>
      <c r="H68" s="209">
        <f t="shared" si="12"/>
        <v>2819.616372</v>
      </c>
      <c r="I68" s="226">
        <v>3</v>
      </c>
      <c r="J68" s="209">
        <f t="shared" si="13"/>
        <v>2474.34</v>
      </c>
      <c r="K68" s="209">
        <f t="shared" si="14"/>
        <v>0</v>
      </c>
      <c r="L68" s="207">
        <v>0</v>
      </c>
      <c r="M68" s="209">
        <f t="shared" si="1"/>
        <v>824.78</v>
      </c>
      <c r="N68" s="208">
        <v>2671.155972</v>
      </c>
      <c r="O68" s="209">
        <f t="shared" si="2"/>
        <v>2474.34</v>
      </c>
      <c r="P68" s="209">
        <v>0</v>
      </c>
      <c r="Q68" s="209">
        <f t="shared" si="15"/>
        <v>148.4604</v>
      </c>
      <c r="R68" s="209">
        <f t="shared" si="3"/>
        <v>0</v>
      </c>
      <c r="S68" s="209">
        <v>0</v>
      </c>
      <c r="T68" s="208">
        <v>0</v>
      </c>
      <c r="U68" s="207">
        <v>0</v>
      </c>
      <c r="V68" s="209"/>
      <c r="W68" s="208">
        <v>0</v>
      </c>
      <c r="X68" s="208">
        <v>0</v>
      </c>
      <c r="Y68" s="209">
        <f t="shared" si="4"/>
        <v>0</v>
      </c>
      <c r="Z68" s="209">
        <f t="shared" si="5"/>
        <v>0</v>
      </c>
      <c r="AA68" s="208">
        <v>0</v>
      </c>
      <c r="AB68" s="228">
        <v>0</v>
      </c>
      <c r="AC68" s="208">
        <v>0</v>
      </c>
      <c r="AD68" s="229">
        <v>0</v>
      </c>
      <c r="AE68" s="208">
        <f t="shared" si="16"/>
        <v>148.4604</v>
      </c>
      <c r="AF68" s="208">
        <v>0</v>
      </c>
      <c r="AG68" s="208">
        <f t="shared" si="6"/>
        <v>0</v>
      </c>
      <c r="AH68" s="208">
        <v>0</v>
      </c>
      <c r="AI68" s="208">
        <v>0</v>
      </c>
      <c r="AJ68" s="208">
        <v>0</v>
      </c>
      <c r="AK68" s="209">
        <f t="shared" si="7"/>
        <v>824.78</v>
      </c>
      <c r="AL68" s="206">
        <f t="shared" si="8"/>
        <v>0</v>
      </c>
      <c r="AM68" s="235">
        <f t="shared" si="17"/>
        <v>0</v>
      </c>
      <c r="AN68" s="235">
        <f t="shared" si="9"/>
        <v>0</v>
      </c>
      <c r="AO68" s="209">
        <f t="shared" si="18"/>
        <v>0.82478</v>
      </c>
      <c r="AP68" s="209">
        <f t="shared" si="10"/>
        <v>0.025774375</v>
      </c>
      <c r="AQ68" s="209">
        <f t="shared" si="19"/>
        <v>0.41239</v>
      </c>
      <c r="AR68" s="209">
        <f t="shared" si="11"/>
        <v>0.00859145833333333</v>
      </c>
      <c r="AS68" s="209">
        <f t="shared" si="20"/>
        <v>0</v>
      </c>
      <c r="AT68" s="207">
        <v>0</v>
      </c>
      <c r="AU68" s="207"/>
      <c r="AV68" s="237">
        <f t="shared" si="21"/>
        <v>0</v>
      </c>
      <c r="AW68" s="209"/>
      <c r="AX68" s="209"/>
      <c r="AY68" s="237"/>
      <c r="AZ68" s="237"/>
      <c r="BA68" s="209"/>
      <c r="BB68" s="237"/>
      <c r="BC68" s="237"/>
      <c r="BD68" s="209"/>
      <c r="BE68" s="209"/>
      <c r="BF68" s="209"/>
      <c r="BG68" s="209"/>
      <c r="BH68" s="209"/>
      <c r="BI68" s="209"/>
      <c r="BJ68" s="207"/>
      <c r="BP68" s="240"/>
    </row>
    <row r="69" s="191" customFormat="1" ht="15" customHeight="1" spans="1:68">
      <c r="A69" s="214">
        <v>64</v>
      </c>
      <c r="B69" s="215" t="s">
        <v>143</v>
      </c>
      <c r="C69" s="215" t="s">
        <v>143</v>
      </c>
      <c r="D69" s="215" t="s">
        <v>80</v>
      </c>
      <c r="E69" s="215" t="s">
        <v>135</v>
      </c>
      <c r="F69" s="216">
        <v>502.07</v>
      </c>
      <c r="G69" s="217">
        <f t="shared" si="0"/>
        <v>25.7724913949051</v>
      </c>
      <c r="H69" s="209">
        <f t="shared" si="12"/>
        <v>12939.59475464</v>
      </c>
      <c r="I69" s="226">
        <v>3</v>
      </c>
      <c r="J69" s="209">
        <f t="shared" si="13"/>
        <v>4555.994244</v>
      </c>
      <c r="K69" s="209">
        <f t="shared" si="14"/>
        <v>1543.574244</v>
      </c>
      <c r="L69" s="215">
        <v>2</v>
      </c>
      <c r="M69" s="209">
        <f t="shared" si="1"/>
        <v>1004.14</v>
      </c>
      <c r="N69" s="216">
        <v>6032.079292</v>
      </c>
      <c r="O69" s="217">
        <f t="shared" si="2"/>
        <v>3012.42</v>
      </c>
      <c r="P69" s="217">
        <v>0</v>
      </c>
      <c r="Q69" s="209">
        <f t="shared" si="15"/>
        <v>1816.93389864</v>
      </c>
      <c r="R69" s="209">
        <f t="shared" si="3"/>
        <v>0</v>
      </c>
      <c r="S69" s="209">
        <v>0</v>
      </c>
      <c r="T69" s="216">
        <v>0</v>
      </c>
      <c r="U69" s="215">
        <v>0</v>
      </c>
      <c r="V69" s="217"/>
      <c r="W69" s="216">
        <v>1543.574244</v>
      </c>
      <c r="X69" s="216">
        <v>0</v>
      </c>
      <c r="Y69" s="217">
        <f t="shared" si="4"/>
        <v>0</v>
      </c>
      <c r="Z69" s="209">
        <f t="shared" si="5"/>
        <v>0</v>
      </c>
      <c r="AA69" s="216">
        <v>0</v>
      </c>
      <c r="AB69" s="230">
        <v>0</v>
      </c>
      <c r="AC69" s="216">
        <v>0</v>
      </c>
      <c r="AD69" s="231">
        <v>0</v>
      </c>
      <c r="AE69" s="208">
        <f t="shared" si="16"/>
        <v>273.35965464</v>
      </c>
      <c r="AF69" s="216">
        <v>0</v>
      </c>
      <c r="AG69" s="208">
        <f t="shared" si="6"/>
        <v>5090.581564</v>
      </c>
      <c r="AH69" s="216">
        <v>0</v>
      </c>
      <c r="AI69" s="216">
        <v>0</v>
      </c>
      <c r="AJ69" s="216">
        <v>5090.581564</v>
      </c>
      <c r="AK69" s="217">
        <f t="shared" si="7"/>
        <v>1004.14</v>
      </c>
      <c r="AL69" s="206">
        <f t="shared" si="8"/>
        <v>0</v>
      </c>
      <c r="AM69" s="235">
        <f t="shared" si="17"/>
        <v>0</v>
      </c>
      <c r="AN69" s="235">
        <f t="shared" si="9"/>
        <v>0</v>
      </c>
      <c r="AO69" s="209">
        <f t="shared" si="18"/>
        <v>1.00414</v>
      </c>
      <c r="AP69" s="209">
        <f t="shared" si="10"/>
        <v>0.031379375</v>
      </c>
      <c r="AQ69" s="209">
        <f t="shared" si="19"/>
        <v>0.50207</v>
      </c>
      <c r="AR69" s="209">
        <f t="shared" si="11"/>
        <v>0.0104597916666667</v>
      </c>
      <c r="AS69" s="209">
        <f t="shared" si="20"/>
        <v>0</v>
      </c>
      <c r="AT69" s="215">
        <v>0</v>
      </c>
      <c r="AU69" s="215"/>
      <c r="AV69" s="237">
        <f t="shared" si="21"/>
        <v>0</v>
      </c>
      <c r="AW69" s="209"/>
      <c r="AX69" s="209"/>
      <c r="AY69" s="237"/>
      <c r="AZ69" s="217"/>
      <c r="BA69" s="209"/>
      <c r="BB69" s="237"/>
      <c r="BC69" s="237"/>
      <c r="BD69" s="217"/>
      <c r="BE69" s="209"/>
      <c r="BF69" s="217"/>
      <c r="BG69" s="209"/>
      <c r="BH69" s="209"/>
      <c r="BI69" s="209"/>
      <c r="BJ69" s="215"/>
      <c r="BP69" s="242"/>
    </row>
    <row r="70" s="191" customFormat="1" ht="15" customHeight="1" spans="1:68">
      <c r="A70" s="214">
        <v>65</v>
      </c>
      <c r="B70" s="215" t="s">
        <v>143</v>
      </c>
      <c r="C70" s="215" t="s">
        <v>143</v>
      </c>
      <c r="D70" s="215" t="s">
        <v>135</v>
      </c>
      <c r="E70" s="215" t="s">
        <v>148</v>
      </c>
      <c r="F70" s="216">
        <v>535.85</v>
      </c>
      <c r="G70" s="217">
        <f t="shared" ref="G70:G93" si="22">H70/F70</f>
        <v>25.4911410191658</v>
      </c>
      <c r="H70" s="209">
        <f t="shared" si="12"/>
        <v>13659.42791512</v>
      </c>
      <c r="I70" s="226">
        <v>3</v>
      </c>
      <c r="J70" s="209">
        <f t="shared" si="13"/>
        <v>4956.344102</v>
      </c>
      <c r="K70" s="209">
        <f t="shared" si="14"/>
        <v>1741.244102</v>
      </c>
      <c r="L70" s="215">
        <v>2</v>
      </c>
      <c r="M70" s="209">
        <f t="shared" ref="M70:M93" si="23">F70*IF(L70=4,4,IF(L70=6,6,2))</f>
        <v>1071.7</v>
      </c>
      <c r="N70" s="216">
        <v>6387.63055</v>
      </c>
      <c r="O70" s="217">
        <f t="shared" ref="O70:O93" si="24">M70*3</f>
        <v>3215.1</v>
      </c>
      <c r="P70" s="217">
        <v>0</v>
      </c>
      <c r="Q70" s="209">
        <f t="shared" si="15"/>
        <v>2038.62474812</v>
      </c>
      <c r="R70" s="209">
        <f t="shared" ref="R70:R93" si="25">U70*3</f>
        <v>0</v>
      </c>
      <c r="S70" s="209">
        <v>0</v>
      </c>
      <c r="T70" s="216">
        <v>0</v>
      </c>
      <c r="U70" s="215">
        <v>0</v>
      </c>
      <c r="V70" s="217"/>
      <c r="W70" s="216">
        <v>1741.244102</v>
      </c>
      <c r="X70" s="216">
        <v>0</v>
      </c>
      <c r="Y70" s="217">
        <f t="shared" ref="Y70:Y93" si="26">X70*2</f>
        <v>0</v>
      </c>
      <c r="Z70" s="209">
        <f t="shared" ref="Z70:Z93" si="27">AA70+AB70+AC70+AD70</f>
        <v>0</v>
      </c>
      <c r="AA70" s="216">
        <v>0</v>
      </c>
      <c r="AB70" s="230">
        <v>0</v>
      </c>
      <c r="AC70" s="216">
        <v>0</v>
      </c>
      <c r="AD70" s="231">
        <v>0</v>
      </c>
      <c r="AE70" s="208">
        <f t="shared" si="16"/>
        <v>297.38064612</v>
      </c>
      <c r="AF70" s="216">
        <v>0</v>
      </c>
      <c r="AG70" s="208">
        <f t="shared" ref="AG70:AG93" si="28">AH70+AI70+AJ70</f>
        <v>5233.172617</v>
      </c>
      <c r="AH70" s="216">
        <v>0</v>
      </c>
      <c r="AI70" s="216">
        <v>0</v>
      </c>
      <c r="AJ70" s="216">
        <v>5233.172617</v>
      </c>
      <c r="AK70" s="217">
        <f t="shared" ref="AK70:AK93" si="29">F70*2</f>
        <v>1071.7</v>
      </c>
      <c r="AL70" s="206">
        <f t="shared" ref="AL70:AL91" si="30">AM70/M70*1000</f>
        <v>0</v>
      </c>
      <c r="AM70" s="235">
        <f t="shared" si="17"/>
        <v>0</v>
      </c>
      <c r="AN70" s="235">
        <f t="shared" ref="AN70:AN93" si="31">AM70/60</f>
        <v>0</v>
      </c>
      <c r="AO70" s="209">
        <f t="shared" si="18"/>
        <v>1.0717</v>
      </c>
      <c r="AP70" s="209">
        <f t="shared" ref="AP70:AP93" si="32">AO70/32</f>
        <v>0.033490625</v>
      </c>
      <c r="AQ70" s="209">
        <f t="shared" si="19"/>
        <v>0.53585</v>
      </c>
      <c r="AR70" s="209">
        <f t="shared" ref="AR70:AR93" si="33">AQ70/48</f>
        <v>0.0111635416666667</v>
      </c>
      <c r="AS70" s="209">
        <f t="shared" si="20"/>
        <v>0</v>
      </c>
      <c r="AT70" s="215">
        <v>0</v>
      </c>
      <c r="AU70" s="215"/>
      <c r="AV70" s="237">
        <f t="shared" si="21"/>
        <v>0</v>
      </c>
      <c r="AW70" s="209"/>
      <c r="AX70" s="209"/>
      <c r="AY70" s="237"/>
      <c r="AZ70" s="217"/>
      <c r="BA70" s="209"/>
      <c r="BB70" s="237"/>
      <c r="BC70" s="237"/>
      <c r="BD70" s="217"/>
      <c r="BE70" s="209"/>
      <c r="BF70" s="217"/>
      <c r="BG70" s="209"/>
      <c r="BH70" s="209"/>
      <c r="BI70" s="209"/>
      <c r="BJ70" s="215"/>
      <c r="BP70" s="242"/>
    </row>
    <row r="71" s="191" customFormat="1" ht="15" customHeight="1" spans="1:68">
      <c r="A71" s="214">
        <v>66</v>
      </c>
      <c r="B71" s="215" t="s">
        <v>143</v>
      </c>
      <c r="C71" s="215" t="s">
        <v>157</v>
      </c>
      <c r="D71" s="215"/>
      <c r="E71" s="215"/>
      <c r="F71" s="216">
        <v>13.61</v>
      </c>
      <c r="G71" s="217">
        <f t="shared" si="22"/>
        <v>18.9932744305658</v>
      </c>
      <c r="H71" s="209">
        <f t="shared" ref="H71:H134" si="34">N71+T71+W71+Y71+AE71+AF71+AG71+Z71*2</f>
        <v>258.498465</v>
      </c>
      <c r="I71" s="226">
        <v>3</v>
      </c>
      <c r="J71" s="209">
        <f t="shared" ref="J71:J93" si="35">O71+P71+T71+W71+Y71</f>
        <v>81.66</v>
      </c>
      <c r="K71" s="209">
        <f t="shared" ref="K71:K93" si="36">P71+S71+W71+Y71</f>
        <v>0</v>
      </c>
      <c r="L71" s="215">
        <v>0</v>
      </c>
      <c r="M71" s="209">
        <f t="shared" si="23"/>
        <v>27.22</v>
      </c>
      <c r="N71" s="216">
        <v>253.598865</v>
      </c>
      <c r="O71" s="217">
        <f t="shared" si="24"/>
        <v>81.66</v>
      </c>
      <c r="P71" s="217">
        <v>0</v>
      </c>
      <c r="Q71" s="209">
        <f t="shared" ref="Q71:Q93" si="37">P71+S71+W71+Y71+AE71</f>
        <v>4.8996</v>
      </c>
      <c r="R71" s="209">
        <f t="shared" si="25"/>
        <v>0</v>
      </c>
      <c r="S71" s="209">
        <v>0</v>
      </c>
      <c r="T71" s="216">
        <v>0</v>
      </c>
      <c r="U71" s="215">
        <v>0</v>
      </c>
      <c r="V71" s="217"/>
      <c r="W71" s="216">
        <v>0</v>
      </c>
      <c r="X71" s="216">
        <v>0</v>
      </c>
      <c r="Y71" s="217">
        <f t="shared" si="26"/>
        <v>0</v>
      </c>
      <c r="Z71" s="209">
        <f t="shared" si="27"/>
        <v>0</v>
      </c>
      <c r="AA71" s="216">
        <v>0</v>
      </c>
      <c r="AB71" s="230">
        <v>0</v>
      </c>
      <c r="AC71" s="216">
        <v>0</v>
      </c>
      <c r="AD71" s="231">
        <v>0</v>
      </c>
      <c r="AE71" s="208">
        <f t="shared" ref="AE71:AE93" si="38">J71*IF(I71=1,0.08,IF(I71=2,0.07,IF(I71=3,0.06)))</f>
        <v>4.8996</v>
      </c>
      <c r="AF71" s="216">
        <v>0</v>
      </c>
      <c r="AG71" s="208">
        <f t="shared" si="28"/>
        <v>0</v>
      </c>
      <c r="AH71" s="216">
        <v>0</v>
      </c>
      <c r="AI71" s="216">
        <v>0</v>
      </c>
      <c r="AJ71" s="216">
        <v>0</v>
      </c>
      <c r="AK71" s="217">
        <f t="shared" si="29"/>
        <v>27.22</v>
      </c>
      <c r="AL71" s="206">
        <f t="shared" si="30"/>
        <v>0</v>
      </c>
      <c r="AM71" s="235">
        <f t="shared" ref="AM71:AM134" si="39">M71*IF(I71=1,0,IF(I71=2,0,IF(I71=3,0,IF(I71=4,0))))/1000</f>
        <v>0</v>
      </c>
      <c r="AN71" s="235">
        <f t="shared" si="31"/>
        <v>0</v>
      </c>
      <c r="AO71" s="209">
        <f t="shared" ref="AO71:AO134" si="40">M71*IF(I71=1,2,IF(I71=2,2,IF(I71=3,1,IF(I71=4,0))))/1000</f>
        <v>0.02722</v>
      </c>
      <c r="AP71" s="209">
        <f t="shared" si="32"/>
        <v>0.000850625</v>
      </c>
      <c r="AQ71" s="209">
        <f t="shared" ref="AQ71:AQ134" si="41">M71/1000/2*IF(I71=1,2,IF(I71=2,2,IF(I71=3,1,IF(I71=4,0))))</f>
        <v>0.01361</v>
      </c>
      <c r="AR71" s="209">
        <f t="shared" si="33"/>
        <v>0.000283541666666667</v>
      </c>
      <c r="AS71" s="209">
        <f t="shared" ref="AS71:AS93" si="42">F71*U71/1000*2</f>
        <v>0</v>
      </c>
      <c r="AT71" s="215">
        <v>0</v>
      </c>
      <c r="AU71" s="215"/>
      <c r="AV71" s="237">
        <f t="shared" ref="AV71:AV134" si="43">AM71*26.99/10000*340</f>
        <v>0</v>
      </c>
      <c r="AW71" s="209"/>
      <c r="AX71" s="209"/>
      <c r="AY71" s="237"/>
      <c r="AZ71" s="217"/>
      <c r="BA71" s="209"/>
      <c r="BB71" s="237"/>
      <c r="BC71" s="237"/>
      <c r="BD71" s="217"/>
      <c r="BE71" s="209"/>
      <c r="BF71" s="217"/>
      <c r="BG71" s="209"/>
      <c r="BH71" s="209"/>
      <c r="BI71" s="209"/>
      <c r="BJ71" s="215"/>
      <c r="BP71" s="242"/>
    </row>
    <row r="72" s="189" customFormat="1" ht="15" customHeight="1" spans="1:68">
      <c r="A72" s="206">
        <v>67</v>
      </c>
      <c r="B72" s="207" t="s">
        <v>158</v>
      </c>
      <c r="C72" s="207" t="s">
        <v>158</v>
      </c>
      <c r="D72" s="207" t="s">
        <v>156</v>
      </c>
      <c r="E72" s="207" t="s">
        <v>143</v>
      </c>
      <c r="F72" s="208">
        <v>438.3</v>
      </c>
      <c r="G72" s="209">
        <f t="shared" si="22"/>
        <v>12.5856214236824</v>
      </c>
      <c r="H72" s="209">
        <f t="shared" si="34"/>
        <v>5516.27787</v>
      </c>
      <c r="I72" s="207">
        <v>3</v>
      </c>
      <c r="J72" s="209">
        <f t="shared" si="35"/>
        <v>2629.8</v>
      </c>
      <c r="K72" s="209">
        <f t="shared" si="36"/>
        <v>0</v>
      </c>
      <c r="L72" s="207">
        <v>2</v>
      </c>
      <c r="M72" s="209">
        <f t="shared" si="23"/>
        <v>876.6</v>
      </c>
      <c r="N72" s="208">
        <v>3089.3479</v>
      </c>
      <c r="O72" s="209">
        <f t="shared" si="24"/>
        <v>2629.8</v>
      </c>
      <c r="P72" s="209">
        <v>0</v>
      </c>
      <c r="Q72" s="209">
        <f t="shared" si="37"/>
        <v>157.788</v>
      </c>
      <c r="R72" s="209">
        <f t="shared" si="25"/>
        <v>0</v>
      </c>
      <c r="S72" s="209">
        <v>0</v>
      </c>
      <c r="T72" s="208">
        <v>0</v>
      </c>
      <c r="U72" s="207">
        <v>0</v>
      </c>
      <c r="V72" s="209"/>
      <c r="W72" s="208">
        <v>0</v>
      </c>
      <c r="X72" s="208">
        <v>0</v>
      </c>
      <c r="Y72" s="209">
        <f t="shared" si="26"/>
        <v>0</v>
      </c>
      <c r="Z72" s="209">
        <f t="shared" si="27"/>
        <v>0</v>
      </c>
      <c r="AA72" s="208">
        <v>0</v>
      </c>
      <c r="AB72" s="228">
        <v>0</v>
      </c>
      <c r="AC72" s="208">
        <v>0</v>
      </c>
      <c r="AD72" s="229">
        <v>0</v>
      </c>
      <c r="AE72" s="208">
        <f t="shared" si="38"/>
        <v>157.788</v>
      </c>
      <c r="AF72" s="208">
        <v>0</v>
      </c>
      <c r="AG72" s="208">
        <f t="shared" si="28"/>
        <v>2269.14197</v>
      </c>
      <c r="AH72" s="208">
        <v>0</v>
      </c>
      <c r="AI72" s="208">
        <v>0</v>
      </c>
      <c r="AJ72" s="208">
        <v>2269.14197</v>
      </c>
      <c r="AK72" s="209">
        <f t="shared" si="29"/>
        <v>876.6</v>
      </c>
      <c r="AL72" s="206">
        <f t="shared" si="30"/>
        <v>0</v>
      </c>
      <c r="AM72" s="235">
        <f t="shared" si="39"/>
        <v>0</v>
      </c>
      <c r="AN72" s="235">
        <f t="shared" si="31"/>
        <v>0</v>
      </c>
      <c r="AO72" s="209">
        <f t="shared" si="40"/>
        <v>0.8766</v>
      </c>
      <c r="AP72" s="209">
        <f t="shared" si="32"/>
        <v>0.02739375</v>
      </c>
      <c r="AQ72" s="209">
        <f t="shared" si="41"/>
        <v>0.4383</v>
      </c>
      <c r="AR72" s="209">
        <f t="shared" si="33"/>
        <v>0.00913125</v>
      </c>
      <c r="AS72" s="209">
        <f t="shared" si="42"/>
        <v>0</v>
      </c>
      <c r="AT72" s="207">
        <v>0</v>
      </c>
      <c r="AU72" s="207"/>
      <c r="AV72" s="237">
        <f t="shared" si="43"/>
        <v>0</v>
      </c>
      <c r="AW72" s="209"/>
      <c r="AX72" s="209"/>
      <c r="AY72" s="237"/>
      <c r="AZ72" s="237"/>
      <c r="BA72" s="209"/>
      <c r="BB72" s="237"/>
      <c r="BC72" s="237"/>
      <c r="BD72" s="209"/>
      <c r="BE72" s="209"/>
      <c r="BF72" s="209"/>
      <c r="BG72" s="209"/>
      <c r="BH72" s="209"/>
      <c r="BI72" s="209"/>
      <c r="BJ72" s="207"/>
      <c r="BP72" s="240"/>
    </row>
    <row r="73" s="190" customFormat="1" ht="15" customHeight="1" spans="1:68">
      <c r="A73" s="210">
        <v>68</v>
      </c>
      <c r="B73" s="207" t="s">
        <v>139</v>
      </c>
      <c r="C73" s="211" t="s">
        <v>139</v>
      </c>
      <c r="D73" s="211" t="s">
        <v>92</v>
      </c>
      <c r="E73" s="211" t="s">
        <v>159</v>
      </c>
      <c r="F73" s="212">
        <v>261.31</v>
      </c>
      <c r="G73" s="213">
        <f t="shared" si="22"/>
        <v>177.208864616739</v>
      </c>
      <c r="H73" s="213">
        <f t="shared" si="34"/>
        <v>46306.448413</v>
      </c>
      <c r="I73" s="227">
        <v>3</v>
      </c>
      <c r="J73" s="213">
        <f t="shared" si="35"/>
        <v>1567.86</v>
      </c>
      <c r="K73" s="213">
        <f t="shared" si="36"/>
        <v>0</v>
      </c>
      <c r="L73" s="207">
        <v>2</v>
      </c>
      <c r="M73" s="213">
        <f t="shared" si="23"/>
        <v>522.62</v>
      </c>
      <c r="N73" s="212">
        <v>5553.056304</v>
      </c>
      <c r="O73" s="213">
        <f t="shared" si="24"/>
        <v>1567.86</v>
      </c>
      <c r="P73" s="213">
        <v>0</v>
      </c>
      <c r="Q73" s="213">
        <f t="shared" si="37"/>
        <v>94.0716</v>
      </c>
      <c r="R73" s="213">
        <f t="shared" si="25"/>
        <v>0</v>
      </c>
      <c r="S73" s="213">
        <v>0</v>
      </c>
      <c r="T73" s="212">
        <v>0</v>
      </c>
      <c r="U73" s="211">
        <v>0</v>
      </c>
      <c r="V73" s="213"/>
      <c r="W73" s="212">
        <v>0</v>
      </c>
      <c r="X73" s="212">
        <v>0</v>
      </c>
      <c r="Y73" s="213">
        <f t="shared" si="26"/>
        <v>0</v>
      </c>
      <c r="Z73" s="213">
        <f t="shared" si="27"/>
        <v>0</v>
      </c>
      <c r="AA73" s="208">
        <v>0</v>
      </c>
      <c r="AB73" s="228">
        <v>0</v>
      </c>
      <c r="AC73" s="208">
        <v>0</v>
      </c>
      <c r="AD73" s="229">
        <v>0</v>
      </c>
      <c r="AE73" s="212">
        <f t="shared" si="38"/>
        <v>94.0716</v>
      </c>
      <c r="AF73" s="212">
        <v>0</v>
      </c>
      <c r="AG73" s="212">
        <f t="shared" si="28"/>
        <v>40659.320509</v>
      </c>
      <c r="AH73" s="212">
        <v>40289.765056</v>
      </c>
      <c r="AI73" s="212">
        <v>0</v>
      </c>
      <c r="AJ73" s="212">
        <v>369.555453</v>
      </c>
      <c r="AK73" s="213">
        <f t="shared" si="29"/>
        <v>522.62</v>
      </c>
      <c r="AL73" s="210">
        <f t="shared" si="30"/>
        <v>0</v>
      </c>
      <c r="AM73" s="235">
        <f t="shared" si="39"/>
        <v>0</v>
      </c>
      <c r="AN73" s="235">
        <f t="shared" si="31"/>
        <v>0</v>
      </c>
      <c r="AO73" s="213">
        <f t="shared" si="40"/>
        <v>0.52262</v>
      </c>
      <c r="AP73" s="209">
        <f t="shared" si="32"/>
        <v>0.016331875</v>
      </c>
      <c r="AQ73" s="213">
        <f t="shared" si="41"/>
        <v>0.26131</v>
      </c>
      <c r="AR73" s="209">
        <f t="shared" si="33"/>
        <v>0.00544395833333333</v>
      </c>
      <c r="AS73" s="213">
        <f t="shared" si="42"/>
        <v>0</v>
      </c>
      <c r="AT73" s="211">
        <v>0</v>
      </c>
      <c r="AU73" s="211"/>
      <c r="AV73" s="237">
        <f t="shared" si="43"/>
        <v>0</v>
      </c>
      <c r="AW73" s="213"/>
      <c r="AX73" s="213"/>
      <c r="AY73" s="238"/>
      <c r="AZ73" s="238"/>
      <c r="BA73" s="213"/>
      <c r="BB73" s="238"/>
      <c r="BC73" s="238"/>
      <c r="BD73" s="213"/>
      <c r="BE73" s="213"/>
      <c r="BF73" s="213"/>
      <c r="BG73" s="213"/>
      <c r="BH73" s="213"/>
      <c r="BI73" s="213"/>
      <c r="BJ73" s="211"/>
      <c r="BP73" s="241"/>
    </row>
    <row r="74" s="189" customFormat="1" ht="15" customHeight="1" spans="1:68">
      <c r="A74" s="206">
        <v>69</v>
      </c>
      <c r="B74" s="207" t="s">
        <v>139</v>
      </c>
      <c r="C74" s="207" t="s">
        <v>139</v>
      </c>
      <c r="D74" s="207" t="s">
        <v>160</v>
      </c>
      <c r="E74" s="207" t="s">
        <v>92</v>
      </c>
      <c r="F74" s="208">
        <v>2254.69</v>
      </c>
      <c r="G74" s="209">
        <f t="shared" si="22"/>
        <v>49.6911661056731</v>
      </c>
      <c r="H74" s="209">
        <f t="shared" si="34"/>
        <v>112038.1753068</v>
      </c>
      <c r="I74" s="226">
        <v>3</v>
      </c>
      <c r="J74" s="209">
        <f t="shared" si="35"/>
        <v>19759.93698</v>
      </c>
      <c r="K74" s="209">
        <f t="shared" si="36"/>
        <v>6231.79698</v>
      </c>
      <c r="L74" s="207">
        <v>2</v>
      </c>
      <c r="M74" s="209">
        <f t="shared" si="23"/>
        <v>4509.38</v>
      </c>
      <c r="N74" s="208">
        <v>86414.191246</v>
      </c>
      <c r="O74" s="209">
        <f t="shared" si="24"/>
        <v>13528.14</v>
      </c>
      <c r="P74" s="209">
        <v>0</v>
      </c>
      <c r="Q74" s="209">
        <f t="shared" si="37"/>
        <v>7417.3931988</v>
      </c>
      <c r="R74" s="209">
        <f t="shared" si="25"/>
        <v>0</v>
      </c>
      <c r="S74" s="209">
        <v>0</v>
      </c>
      <c r="T74" s="208">
        <v>0</v>
      </c>
      <c r="U74" s="207">
        <v>0</v>
      </c>
      <c r="V74" s="209"/>
      <c r="W74" s="208">
        <f>5462.903802+768.893178</f>
        <v>6231.79698</v>
      </c>
      <c r="X74" s="208">
        <v>0</v>
      </c>
      <c r="Y74" s="209">
        <f t="shared" si="26"/>
        <v>0</v>
      </c>
      <c r="Z74" s="209">
        <f t="shared" si="27"/>
        <v>678.419889</v>
      </c>
      <c r="AA74" s="208">
        <v>0</v>
      </c>
      <c r="AB74" s="228">
        <v>0</v>
      </c>
      <c r="AC74" s="208">
        <v>486.194514</v>
      </c>
      <c r="AD74" s="229">
        <v>192.225375</v>
      </c>
      <c r="AE74" s="208">
        <f t="shared" si="38"/>
        <v>1185.5962188</v>
      </c>
      <c r="AF74" s="208">
        <v>0</v>
      </c>
      <c r="AG74" s="208">
        <f t="shared" si="28"/>
        <v>16849.751084</v>
      </c>
      <c r="AH74" s="208">
        <v>16207.95298</v>
      </c>
      <c r="AI74" s="208">
        <v>0</v>
      </c>
      <c r="AJ74" s="208">
        <v>641.798104</v>
      </c>
      <c r="AK74" s="209">
        <f t="shared" si="29"/>
        <v>4509.38</v>
      </c>
      <c r="AL74" s="206">
        <f t="shared" si="30"/>
        <v>0</v>
      </c>
      <c r="AM74" s="235">
        <f t="shared" si="39"/>
        <v>0</v>
      </c>
      <c r="AN74" s="235">
        <f t="shared" si="31"/>
        <v>0</v>
      </c>
      <c r="AO74" s="209">
        <f t="shared" si="40"/>
        <v>4.50938</v>
      </c>
      <c r="AP74" s="209">
        <f t="shared" si="32"/>
        <v>0.140918125</v>
      </c>
      <c r="AQ74" s="209">
        <f t="shared" si="41"/>
        <v>2.25469</v>
      </c>
      <c r="AR74" s="209">
        <f t="shared" si="33"/>
        <v>0.0469727083333333</v>
      </c>
      <c r="AS74" s="209">
        <f t="shared" si="42"/>
        <v>0</v>
      </c>
      <c r="AT74" s="207">
        <v>0</v>
      </c>
      <c r="AU74" s="207"/>
      <c r="AV74" s="237">
        <f t="shared" si="43"/>
        <v>0</v>
      </c>
      <c r="AW74" s="209"/>
      <c r="AX74" s="209"/>
      <c r="AY74" s="237"/>
      <c r="AZ74" s="237"/>
      <c r="BA74" s="209"/>
      <c r="BB74" s="237"/>
      <c r="BC74" s="237"/>
      <c r="BD74" s="209"/>
      <c r="BE74" s="209"/>
      <c r="BF74" s="209"/>
      <c r="BG74" s="209"/>
      <c r="BH74" s="209"/>
      <c r="BI74" s="209"/>
      <c r="BJ74" s="207"/>
      <c r="BP74" s="240"/>
    </row>
    <row r="75" s="190" customFormat="1" ht="15" customHeight="1" spans="1:68">
      <c r="A75" s="210">
        <v>70</v>
      </c>
      <c r="B75" s="207" t="s">
        <v>161</v>
      </c>
      <c r="C75" s="211" t="s">
        <v>161</v>
      </c>
      <c r="D75" s="211" t="s">
        <v>139</v>
      </c>
      <c r="E75" s="211" t="s">
        <v>162</v>
      </c>
      <c r="F75" s="212">
        <v>177.86</v>
      </c>
      <c r="G75" s="213">
        <f t="shared" si="22"/>
        <v>14.5726015533566</v>
      </c>
      <c r="H75" s="213">
        <f t="shared" si="34"/>
        <v>2591.88291228</v>
      </c>
      <c r="I75" s="211">
        <v>3</v>
      </c>
      <c r="J75" s="213">
        <f t="shared" si="35"/>
        <v>1430.112688</v>
      </c>
      <c r="K75" s="213">
        <f t="shared" si="36"/>
        <v>362.952688</v>
      </c>
      <c r="L75" s="207">
        <v>2</v>
      </c>
      <c r="M75" s="213">
        <f t="shared" si="23"/>
        <v>355.72</v>
      </c>
      <c r="N75" s="212">
        <v>1872.800038</v>
      </c>
      <c r="O75" s="213">
        <f t="shared" si="24"/>
        <v>1067.16</v>
      </c>
      <c r="P75" s="213">
        <v>0</v>
      </c>
      <c r="Q75" s="213">
        <f t="shared" si="37"/>
        <v>448.75944928</v>
      </c>
      <c r="R75" s="213">
        <f t="shared" si="25"/>
        <v>0</v>
      </c>
      <c r="S75" s="213">
        <v>0</v>
      </c>
      <c r="T75" s="212">
        <v>0</v>
      </c>
      <c r="U75" s="211">
        <v>0</v>
      </c>
      <c r="V75" s="213"/>
      <c r="W75" s="212">
        <v>362.952688</v>
      </c>
      <c r="X75" s="212">
        <v>0</v>
      </c>
      <c r="Y75" s="213">
        <f t="shared" si="26"/>
        <v>0</v>
      </c>
      <c r="Z75" s="213">
        <f t="shared" si="27"/>
        <v>0</v>
      </c>
      <c r="AA75" s="208">
        <v>0</v>
      </c>
      <c r="AB75" s="228">
        <v>0</v>
      </c>
      <c r="AC75" s="208">
        <v>0</v>
      </c>
      <c r="AD75" s="229">
        <v>0</v>
      </c>
      <c r="AE75" s="212">
        <f t="shared" si="38"/>
        <v>85.80676128</v>
      </c>
      <c r="AF75" s="212">
        <v>0</v>
      </c>
      <c r="AG75" s="212">
        <f t="shared" si="28"/>
        <v>270.323425</v>
      </c>
      <c r="AH75" s="212">
        <v>0</v>
      </c>
      <c r="AI75" s="212">
        <v>0</v>
      </c>
      <c r="AJ75" s="212">
        <v>270.323425</v>
      </c>
      <c r="AK75" s="213">
        <f t="shared" si="29"/>
        <v>355.72</v>
      </c>
      <c r="AL75" s="210">
        <f t="shared" si="30"/>
        <v>0</v>
      </c>
      <c r="AM75" s="235">
        <f t="shared" si="39"/>
        <v>0</v>
      </c>
      <c r="AN75" s="235">
        <f t="shared" si="31"/>
        <v>0</v>
      </c>
      <c r="AO75" s="213">
        <f t="shared" si="40"/>
        <v>0.35572</v>
      </c>
      <c r="AP75" s="209">
        <f t="shared" si="32"/>
        <v>0.01111625</v>
      </c>
      <c r="AQ75" s="213">
        <f t="shared" si="41"/>
        <v>0.17786</v>
      </c>
      <c r="AR75" s="209">
        <f t="shared" si="33"/>
        <v>0.00370541666666667</v>
      </c>
      <c r="AS75" s="213">
        <f t="shared" si="42"/>
        <v>0</v>
      </c>
      <c r="AT75" s="211">
        <v>0</v>
      </c>
      <c r="AU75" s="211"/>
      <c r="AV75" s="237">
        <f t="shared" si="43"/>
        <v>0</v>
      </c>
      <c r="AW75" s="213"/>
      <c r="AX75" s="213"/>
      <c r="AY75" s="238"/>
      <c r="AZ75" s="238"/>
      <c r="BA75" s="213"/>
      <c r="BB75" s="238"/>
      <c r="BC75" s="238"/>
      <c r="BD75" s="213"/>
      <c r="BE75" s="213"/>
      <c r="BF75" s="213"/>
      <c r="BG75" s="213"/>
      <c r="BH75" s="213"/>
      <c r="BI75" s="213"/>
      <c r="BJ75" s="211"/>
      <c r="BP75" s="241"/>
    </row>
    <row r="76" s="193" customFormat="1" ht="15" customHeight="1" spans="1:68">
      <c r="A76" s="206">
        <v>71</v>
      </c>
      <c r="B76" s="207" t="s">
        <v>163</v>
      </c>
      <c r="C76" s="207" t="s">
        <v>163</v>
      </c>
      <c r="D76" s="207" t="s">
        <v>85</v>
      </c>
      <c r="E76" s="207" t="s">
        <v>139</v>
      </c>
      <c r="F76" s="208">
        <v>106.65</v>
      </c>
      <c r="G76" s="209">
        <f t="shared" si="22"/>
        <v>17.6712299548054</v>
      </c>
      <c r="H76" s="209">
        <f t="shared" si="34"/>
        <v>1884.63667468</v>
      </c>
      <c r="I76" s="207">
        <v>3</v>
      </c>
      <c r="J76" s="209">
        <f t="shared" si="35"/>
        <v>773.503628</v>
      </c>
      <c r="K76" s="209">
        <f t="shared" si="36"/>
        <v>133.603628</v>
      </c>
      <c r="L76" s="207">
        <v>0</v>
      </c>
      <c r="M76" s="209">
        <f t="shared" si="23"/>
        <v>213.3</v>
      </c>
      <c r="N76" s="208">
        <v>1520.491986</v>
      </c>
      <c r="O76" s="237">
        <f t="shared" si="24"/>
        <v>639.9</v>
      </c>
      <c r="P76" s="237">
        <v>0</v>
      </c>
      <c r="Q76" s="209">
        <f t="shared" si="37"/>
        <v>180.01384568</v>
      </c>
      <c r="R76" s="209">
        <f t="shared" si="25"/>
        <v>0</v>
      </c>
      <c r="S76" s="209">
        <v>0</v>
      </c>
      <c r="T76" s="208">
        <v>0</v>
      </c>
      <c r="U76" s="207">
        <v>0</v>
      </c>
      <c r="V76" s="237"/>
      <c r="W76" s="208">
        <v>133.603628</v>
      </c>
      <c r="X76" s="208">
        <v>0</v>
      </c>
      <c r="Y76" s="237">
        <f t="shared" si="26"/>
        <v>0</v>
      </c>
      <c r="Z76" s="209">
        <f t="shared" si="27"/>
        <v>0</v>
      </c>
      <c r="AA76" s="208">
        <v>0</v>
      </c>
      <c r="AB76" s="228">
        <v>0</v>
      </c>
      <c r="AC76" s="208">
        <v>0</v>
      </c>
      <c r="AD76" s="229">
        <v>0</v>
      </c>
      <c r="AE76" s="208">
        <f t="shared" si="38"/>
        <v>46.41021768</v>
      </c>
      <c r="AF76" s="208">
        <v>0</v>
      </c>
      <c r="AG76" s="208">
        <f t="shared" si="28"/>
        <v>184.130843</v>
      </c>
      <c r="AH76" s="208">
        <v>0</v>
      </c>
      <c r="AI76" s="208">
        <v>0</v>
      </c>
      <c r="AJ76" s="208">
        <v>184.130843</v>
      </c>
      <c r="AK76" s="237">
        <f t="shared" si="29"/>
        <v>213.3</v>
      </c>
      <c r="AL76" s="206">
        <f t="shared" si="30"/>
        <v>0</v>
      </c>
      <c r="AM76" s="235">
        <f t="shared" si="39"/>
        <v>0</v>
      </c>
      <c r="AN76" s="235">
        <f t="shared" si="31"/>
        <v>0</v>
      </c>
      <c r="AO76" s="209">
        <f t="shared" si="40"/>
        <v>0.2133</v>
      </c>
      <c r="AP76" s="209">
        <f t="shared" si="32"/>
        <v>0.006665625</v>
      </c>
      <c r="AQ76" s="209">
        <f t="shared" si="41"/>
        <v>0.10665</v>
      </c>
      <c r="AR76" s="209">
        <f t="shared" si="33"/>
        <v>0.002221875</v>
      </c>
      <c r="AS76" s="209">
        <f t="shared" si="42"/>
        <v>0</v>
      </c>
      <c r="AT76" s="207">
        <v>0</v>
      </c>
      <c r="AU76" s="207"/>
      <c r="AV76" s="237">
        <f t="shared" si="43"/>
        <v>0</v>
      </c>
      <c r="AW76" s="209"/>
      <c r="AX76" s="209"/>
      <c r="AY76" s="237"/>
      <c r="AZ76" s="237"/>
      <c r="BA76" s="209"/>
      <c r="BB76" s="237"/>
      <c r="BC76" s="237"/>
      <c r="BD76" s="209"/>
      <c r="BE76" s="209"/>
      <c r="BF76" s="209"/>
      <c r="BG76" s="209"/>
      <c r="BH76" s="209"/>
      <c r="BI76" s="209"/>
      <c r="BJ76" s="207"/>
      <c r="BP76" s="245"/>
    </row>
    <row r="77" s="189" customFormat="1" ht="15" customHeight="1" spans="1:68">
      <c r="A77" s="206">
        <v>72</v>
      </c>
      <c r="B77" s="207" t="s">
        <v>159</v>
      </c>
      <c r="C77" s="207" t="s">
        <v>159</v>
      </c>
      <c r="D77" s="207" t="s">
        <v>83</v>
      </c>
      <c r="E77" s="207" t="s">
        <v>92</v>
      </c>
      <c r="F77" s="208">
        <v>764.15</v>
      </c>
      <c r="G77" s="209">
        <f t="shared" si="22"/>
        <v>11.5847301733953</v>
      </c>
      <c r="H77" s="209">
        <f t="shared" si="34"/>
        <v>8852.471562</v>
      </c>
      <c r="I77" s="226">
        <v>3</v>
      </c>
      <c r="J77" s="209">
        <f t="shared" si="35"/>
        <v>4584.9</v>
      </c>
      <c r="K77" s="209">
        <f t="shared" si="36"/>
        <v>0</v>
      </c>
      <c r="L77" s="207">
        <v>2</v>
      </c>
      <c r="M77" s="209">
        <f t="shared" si="23"/>
        <v>1528.3</v>
      </c>
      <c r="N77" s="208">
        <v>8577.377562</v>
      </c>
      <c r="O77" s="209">
        <f t="shared" si="24"/>
        <v>4584.9</v>
      </c>
      <c r="P77" s="209">
        <v>0</v>
      </c>
      <c r="Q77" s="209">
        <f t="shared" si="37"/>
        <v>275.094</v>
      </c>
      <c r="R77" s="209">
        <f t="shared" si="25"/>
        <v>0</v>
      </c>
      <c r="S77" s="209">
        <v>0</v>
      </c>
      <c r="T77" s="208">
        <v>0</v>
      </c>
      <c r="U77" s="207">
        <v>0</v>
      </c>
      <c r="V77" s="209"/>
      <c r="W77" s="208">
        <v>0</v>
      </c>
      <c r="X77" s="208">
        <v>0</v>
      </c>
      <c r="Y77" s="209">
        <f t="shared" si="26"/>
        <v>0</v>
      </c>
      <c r="Z77" s="209">
        <f t="shared" si="27"/>
        <v>0</v>
      </c>
      <c r="AA77" s="208">
        <v>0</v>
      </c>
      <c r="AB77" s="228">
        <v>0</v>
      </c>
      <c r="AC77" s="208">
        <v>0</v>
      </c>
      <c r="AD77" s="229">
        <v>0</v>
      </c>
      <c r="AE77" s="208">
        <f t="shared" si="38"/>
        <v>275.094</v>
      </c>
      <c r="AF77" s="208">
        <v>0</v>
      </c>
      <c r="AG77" s="208">
        <f t="shared" si="28"/>
        <v>0</v>
      </c>
      <c r="AH77" s="208">
        <v>0</v>
      </c>
      <c r="AI77" s="208">
        <v>0</v>
      </c>
      <c r="AJ77" s="208">
        <v>0</v>
      </c>
      <c r="AK77" s="209">
        <f t="shared" si="29"/>
        <v>1528.3</v>
      </c>
      <c r="AL77" s="206">
        <f t="shared" si="30"/>
        <v>0</v>
      </c>
      <c r="AM77" s="235">
        <f t="shared" si="39"/>
        <v>0</v>
      </c>
      <c r="AN77" s="235">
        <f t="shared" si="31"/>
        <v>0</v>
      </c>
      <c r="AO77" s="209">
        <f t="shared" si="40"/>
        <v>1.5283</v>
      </c>
      <c r="AP77" s="209">
        <f t="shared" si="32"/>
        <v>0.047759375</v>
      </c>
      <c r="AQ77" s="209">
        <f t="shared" si="41"/>
        <v>0.76415</v>
      </c>
      <c r="AR77" s="209">
        <f t="shared" si="33"/>
        <v>0.0159197916666667</v>
      </c>
      <c r="AS77" s="209">
        <f t="shared" si="42"/>
        <v>0</v>
      </c>
      <c r="AT77" s="207">
        <v>0</v>
      </c>
      <c r="AU77" s="207"/>
      <c r="AV77" s="237">
        <f t="shared" si="43"/>
        <v>0</v>
      </c>
      <c r="AW77" s="209"/>
      <c r="AX77" s="209"/>
      <c r="AY77" s="237"/>
      <c r="AZ77" s="237"/>
      <c r="BA77" s="209"/>
      <c r="BB77" s="237"/>
      <c r="BC77" s="237"/>
      <c r="BD77" s="209"/>
      <c r="BE77" s="209"/>
      <c r="BF77" s="209"/>
      <c r="BG77" s="209"/>
      <c r="BH77" s="209"/>
      <c r="BI77" s="209"/>
      <c r="BJ77" s="207"/>
      <c r="BP77" s="240"/>
    </row>
    <row r="78" s="189" customFormat="1" ht="15" customHeight="1" spans="1:68">
      <c r="A78" s="206">
        <v>73</v>
      </c>
      <c r="B78" s="207" t="s">
        <v>159</v>
      </c>
      <c r="C78" s="207" t="s">
        <v>159</v>
      </c>
      <c r="D78" s="207" t="s">
        <v>92</v>
      </c>
      <c r="E78" s="207" t="s">
        <v>83</v>
      </c>
      <c r="F78" s="208">
        <v>732.72</v>
      </c>
      <c r="G78" s="209">
        <f t="shared" si="22"/>
        <v>15.4359534255923</v>
      </c>
      <c r="H78" s="209">
        <f t="shared" si="34"/>
        <v>11310.231794</v>
      </c>
      <c r="I78" s="226">
        <v>3</v>
      </c>
      <c r="J78" s="209">
        <f t="shared" si="35"/>
        <v>4396.32</v>
      </c>
      <c r="K78" s="209">
        <f t="shared" si="36"/>
        <v>0</v>
      </c>
      <c r="L78" s="207">
        <v>2</v>
      </c>
      <c r="M78" s="209">
        <f t="shared" si="23"/>
        <v>1465.44</v>
      </c>
      <c r="N78" s="208">
        <v>9126.146256</v>
      </c>
      <c r="O78" s="209">
        <f t="shared" si="24"/>
        <v>4396.32</v>
      </c>
      <c r="P78" s="209">
        <v>0</v>
      </c>
      <c r="Q78" s="209">
        <f t="shared" si="37"/>
        <v>263.7792</v>
      </c>
      <c r="R78" s="209">
        <f t="shared" si="25"/>
        <v>0</v>
      </c>
      <c r="S78" s="209">
        <v>0</v>
      </c>
      <c r="T78" s="208">
        <v>0</v>
      </c>
      <c r="U78" s="207">
        <v>0</v>
      </c>
      <c r="V78" s="209"/>
      <c r="W78" s="208">
        <v>0</v>
      </c>
      <c r="X78" s="208">
        <v>0</v>
      </c>
      <c r="Y78" s="209">
        <f t="shared" si="26"/>
        <v>0</v>
      </c>
      <c r="Z78" s="209">
        <f t="shared" si="27"/>
        <v>128.591878</v>
      </c>
      <c r="AA78" s="208">
        <v>0</v>
      </c>
      <c r="AB78" s="228">
        <v>0</v>
      </c>
      <c r="AC78" s="208">
        <v>0</v>
      </c>
      <c r="AD78" s="229">
        <v>128.591878</v>
      </c>
      <c r="AE78" s="208">
        <f t="shared" si="38"/>
        <v>263.7792</v>
      </c>
      <c r="AF78" s="208">
        <v>0</v>
      </c>
      <c r="AG78" s="208">
        <f t="shared" si="28"/>
        <v>1663.122582</v>
      </c>
      <c r="AH78" s="208">
        <v>0</v>
      </c>
      <c r="AI78" s="208">
        <v>0</v>
      </c>
      <c r="AJ78" s="208">
        <v>1663.122582</v>
      </c>
      <c r="AK78" s="209">
        <f t="shared" si="29"/>
        <v>1465.44</v>
      </c>
      <c r="AL78" s="206">
        <f t="shared" si="30"/>
        <v>0</v>
      </c>
      <c r="AM78" s="235">
        <f t="shared" si="39"/>
        <v>0</v>
      </c>
      <c r="AN78" s="235">
        <f t="shared" si="31"/>
        <v>0</v>
      </c>
      <c r="AO78" s="209">
        <f t="shared" si="40"/>
        <v>1.46544</v>
      </c>
      <c r="AP78" s="209">
        <f t="shared" si="32"/>
        <v>0.045795</v>
      </c>
      <c r="AQ78" s="209">
        <f t="shared" si="41"/>
        <v>0.73272</v>
      </c>
      <c r="AR78" s="209">
        <f t="shared" si="33"/>
        <v>0.015265</v>
      </c>
      <c r="AS78" s="209">
        <f t="shared" si="42"/>
        <v>0</v>
      </c>
      <c r="AT78" s="207">
        <v>0</v>
      </c>
      <c r="AU78" s="207"/>
      <c r="AV78" s="237">
        <f t="shared" si="43"/>
        <v>0</v>
      </c>
      <c r="AW78" s="209"/>
      <c r="AX78" s="209"/>
      <c r="AY78" s="237"/>
      <c r="AZ78" s="237"/>
      <c r="BA78" s="209"/>
      <c r="BB78" s="237"/>
      <c r="BC78" s="237"/>
      <c r="BD78" s="209"/>
      <c r="BE78" s="209"/>
      <c r="BF78" s="209"/>
      <c r="BG78" s="209"/>
      <c r="BH78" s="209"/>
      <c r="BI78" s="209"/>
      <c r="BJ78" s="207"/>
      <c r="BP78" s="240"/>
    </row>
    <row r="79" s="189" customFormat="1" ht="15" customHeight="1" spans="1:68">
      <c r="A79" s="206">
        <v>74</v>
      </c>
      <c r="B79" s="207" t="s">
        <v>159</v>
      </c>
      <c r="C79" s="207" t="s">
        <v>159</v>
      </c>
      <c r="D79" s="207" t="s">
        <v>164</v>
      </c>
      <c r="E79" s="207" t="s">
        <v>92</v>
      </c>
      <c r="F79" s="208">
        <v>308.88</v>
      </c>
      <c r="G79" s="209">
        <f t="shared" si="22"/>
        <v>19.4242691368816</v>
      </c>
      <c r="H79" s="209">
        <f t="shared" si="34"/>
        <v>5999.768251</v>
      </c>
      <c r="I79" s="226">
        <v>3</v>
      </c>
      <c r="J79" s="209">
        <f t="shared" si="35"/>
        <v>3706.56</v>
      </c>
      <c r="K79" s="209">
        <f t="shared" si="36"/>
        <v>0</v>
      </c>
      <c r="L79" s="207">
        <v>4</v>
      </c>
      <c r="M79" s="209">
        <f t="shared" si="23"/>
        <v>1235.52</v>
      </c>
      <c r="N79" s="208">
        <v>5777.374651</v>
      </c>
      <c r="O79" s="209">
        <f t="shared" si="24"/>
        <v>3706.56</v>
      </c>
      <c r="P79" s="209">
        <v>0</v>
      </c>
      <c r="Q79" s="209">
        <f t="shared" si="37"/>
        <v>222.3936</v>
      </c>
      <c r="R79" s="209">
        <f t="shared" si="25"/>
        <v>0</v>
      </c>
      <c r="S79" s="209">
        <v>0</v>
      </c>
      <c r="T79" s="208">
        <v>0</v>
      </c>
      <c r="U79" s="207">
        <v>0</v>
      </c>
      <c r="V79" s="209"/>
      <c r="W79" s="208">
        <v>0</v>
      </c>
      <c r="X79" s="208">
        <v>0</v>
      </c>
      <c r="Y79" s="209">
        <f t="shared" si="26"/>
        <v>0</v>
      </c>
      <c r="Z79" s="209">
        <f t="shared" si="27"/>
        <v>0</v>
      </c>
      <c r="AA79" s="208">
        <v>0</v>
      </c>
      <c r="AB79" s="228">
        <v>0</v>
      </c>
      <c r="AC79" s="208">
        <v>0</v>
      </c>
      <c r="AD79" s="229">
        <v>0</v>
      </c>
      <c r="AE79" s="208">
        <f t="shared" si="38"/>
        <v>222.3936</v>
      </c>
      <c r="AF79" s="208">
        <v>0</v>
      </c>
      <c r="AG79" s="208">
        <f t="shared" si="28"/>
        <v>0</v>
      </c>
      <c r="AH79" s="208">
        <v>0</v>
      </c>
      <c r="AI79" s="208">
        <v>0</v>
      </c>
      <c r="AJ79" s="208">
        <v>0</v>
      </c>
      <c r="AK79" s="209">
        <f t="shared" si="29"/>
        <v>617.76</v>
      </c>
      <c r="AL79" s="206">
        <f t="shared" si="30"/>
        <v>0</v>
      </c>
      <c r="AM79" s="235">
        <f t="shared" si="39"/>
        <v>0</v>
      </c>
      <c r="AN79" s="235">
        <f t="shared" si="31"/>
        <v>0</v>
      </c>
      <c r="AO79" s="209">
        <f t="shared" si="40"/>
        <v>1.23552</v>
      </c>
      <c r="AP79" s="209">
        <f t="shared" si="32"/>
        <v>0.03861</v>
      </c>
      <c r="AQ79" s="209">
        <f t="shared" si="41"/>
        <v>0.61776</v>
      </c>
      <c r="AR79" s="209">
        <f t="shared" si="33"/>
        <v>0.01287</v>
      </c>
      <c r="AS79" s="209">
        <f t="shared" si="42"/>
        <v>0</v>
      </c>
      <c r="AT79" s="207">
        <v>0</v>
      </c>
      <c r="AU79" s="207"/>
      <c r="AV79" s="237">
        <f t="shared" si="43"/>
        <v>0</v>
      </c>
      <c r="AW79" s="209"/>
      <c r="AX79" s="209"/>
      <c r="AY79" s="237"/>
      <c r="AZ79" s="237"/>
      <c r="BA79" s="209"/>
      <c r="BB79" s="237"/>
      <c r="BC79" s="237"/>
      <c r="BD79" s="209"/>
      <c r="BE79" s="209"/>
      <c r="BF79" s="209"/>
      <c r="BG79" s="209"/>
      <c r="BH79" s="209"/>
      <c r="BI79" s="209"/>
      <c r="BJ79" s="207"/>
      <c r="BP79" s="240"/>
    </row>
    <row r="80" s="190" customFormat="1" ht="15" customHeight="1" spans="1:68">
      <c r="A80" s="210">
        <v>75</v>
      </c>
      <c r="B80" s="207" t="s">
        <v>165</v>
      </c>
      <c r="C80" s="211" t="s">
        <v>165</v>
      </c>
      <c r="D80" s="211" t="s">
        <v>138</v>
      </c>
      <c r="E80" s="211" t="s">
        <v>92</v>
      </c>
      <c r="F80" s="212">
        <v>1150.24</v>
      </c>
      <c r="G80" s="213">
        <f t="shared" si="22"/>
        <v>18.7801840978926</v>
      </c>
      <c r="H80" s="213">
        <f t="shared" si="34"/>
        <v>21601.71895676</v>
      </c>
      <c r="I80" s="211">
        <v>3</v>
      </c>
      <c r="J80" s="213">
        <f t="shared" si="35"/>
        <v>7027.424546</v>
      </c>
      <c r="K80" s="213">
        <f t="shared" si="36"/>
        <v>125.984546</v>
      </c>
      <c r="L80" s="207">
        <v>2</v>
      </c>
      <c r="M80" s="213">
        <f t="shared" si="23"/>
        <v>2300.48</v>
      </c>
      <c r="N80" s="212">
        <v>7867.090159</v>
      </c>
      <c r="O80" s="213">
        <f t="shared" si="24"/>
        <v>6901.44</v>
      </c>
      <c r="P80" s="213">
        <v>0</v>
      </c>
      <c r="Q80" s="213">
        <f t="shared" si="37"/>
        <v>547.63001876</v>
      </c>
      <c r="R80" s="213">
        <f t="shared" si="25"/>
        <v>0</v>
      </c>
      <c r="S80" s="213">
        <v>0</v>
      </c>
      <c r="T80" s="212">
        <v>0</v>
      </c>
      <c r="U80" s="211">
        <v>0</v>
      </c>
      <c r="V80" s="213"/>
      <c r="W80" s="212">
        <v>125.984546</v>
      </c>
      <c r="X80" s="212">
        <v>0</v>
      </c>
      <c r="Y80" s="213">
        <f t="shared" si="26"/>
        <v>0</v>
      </c>
      <c r="Z80" s="213">
        <f t="shared" si="27"/>
        <v>661.214336</v>
      </c>
      <c r="AA80" s="208">
        <v>0</v>
      </c>
      <c r="AB80" s="228">
        <v>0</v>
      </c>
      <c r="AC80" s="208">
        <v>0</v>
      </c>
      <c r="AD80" s="229">
        <v>661.214336</v>
      </c>
      <c r="AE80" s="212">
        <f t="shared" si="38"/>
        <v>421.64547276</v>
      </c>
      <c r="AF80" s="212">
        <v>533.722556</v>
      </c>
      <c r="AG80" s="212">
        <f t="shared" si="28"/>
        <v>11330.847551</v>
      </c>
      <c r="AH80" s="212">
        <v>0</v>
      </c>
      <c r="AI80" s="212">
        <v>0</v>
      </c>
      <c r="AJ80" s="212">
        <v>11330.847551</v>
      </c>
      <c r="AK80" s="213">
        <f t="shared" si="29"/>
        <v>2300.48</v>
      </c>
      <c r="AL80" s="210">
        <f t="shared" si="30"/>
        <v>0</v>
      </c>
      <c r="AM80" s="235">
        <f t="shared" si="39"/>
        <v>0</v>
      </c>
      <c r="AN80" s="235">
        <f t="shared" si="31"/>
        <v>0</v>
      </c>
      <c r="AO80" s="213">
        <f t="shared" si="40"/>
        <v>2.30048</v>
      </c>
      <c r="AP80" s="209">
        <f t="shared" si="32"/>
        <v>0.07189</v>
      </c>
      <c r="AQ80" s="213">
        <f t="shared" si="41"/>
        <v>1.15024</v>
      </c>
      <c r="AR80" s="209">
        <f t="shared" si="33"/>
        <v>0.0239633333333333</v>
      </c>
      <c r="AS80" s="213">
        <f t="shared" si="42"/>
        <v>0</v>
      </c>
      <c r="AT80" s="211">
        <v>0</v>
      </c>
      <c r="AU80" s="211"/>
      <c r="AV80" s="237">
        <f t="shared" si="43"/>
        <v>0</v>
      </c>
      <c r="AW80" s="213"/>
      <c r="AX80" s="213"/>
      <c r="AY80" s="238"/>
      <c r="AZ80" s="238"/>
      <c r="BA80" s="213"/>
      <c r="BB80" s="238"/>
      <c r="BC80" s="238"/>
      <c r="BD80" s="213"/>
      <c r="BE80" s="213"/>
      <c r="BF80" s="213"/>
      <c r="BG80" s="213"/>
      <c r="BH80" s="213"/>
      <c r="BI80" s="213"/>
      <c r="BJ80" s="211"/>
      <c r="BP80" s="241"/>
    </row>
    <row r="81" s="189" customFormat="1" ht="15" customHeight="1" spans="1:68">
      <c r="A81" s="206">
        <v>76</v>
      </c>
      <c r="B81" s="207" t="s">
        <v>166</v>
      </c>
      <c r="C81" s="207" t="s">
        <v>166</v>
      </c>
      <c r="D81" s="207" t="s">
        <v>167</v>
      </c>
      <c r="E81" s="207" t="s">
        <v>168</v>
      </c>
      <c r="F81" s="208">
        <v>334.39</v>
      </c>
      <c r="G81" s="209">
        <f t="shared" si="22"/>
        <v>13.5033293434612</v>
      </c>
      <c r="H81" s="209">
        <f t="shared" si="34"/>
        <v>4515.37829916</v>
      </c>
      <c r="I81" s="207">
        <v>3</v>
      </c>
      <c r="J81" s="209">
        <f t="shared" si="35"/>
        <v>4313.518736</v>
      </c>
      <c r="K81" s="209">
        <f t="shared" si="36"/>
        <v>2307.178736</v>
      </c>
      <c r="L81" s="207">
        <v>0</v>
      </c>
      <c r="M81" s="209">
        <f t="shared" si="23"/>
        <v>668.78</v>
      </c>
      <c r="N81" s="208">
        <v>1023.425113</v>
      </c>
      <c r="O81" s="209">
        <f t="shared" si="24"/>
        <v>2006.34</v>
      </c>
      <c r="P81" s="209">
        <v>0</v>
      </c>
      <c r="Q81" s="209">
        <f t="shared" si="37"/>
        <v>2565.98986016</v>
      </c>
      <c r="R81" s="209">
        <f t="shared" si="25"/>
        <v>0</v>
      </c>
      <c r="S81" s="209">
        <v>0</v>
      </c>
      <c r="T81" s="208">
        <v>0</v>
      </c>
      <c r="U81" s="207">
        <v>0</v>
      </c>
      <c r="V81" s="209"/>
      <c r="W81" s="208">
        <v>2307.178736</v>
      </c>
      <c r="X81" s="208">
        <v>0</v>
      </c>
      <c r="Y81" s="209">
        <f t="shared" si="26"/>
        <v>0</v>
      </c>
      <c r="Z81" s="209">
        <f t="shared" si="27"/>
        <v>0</v>
      </c>
      <c r="AA81" s="208">
        <v>0</v>
      </c>
      <c r="AB81" s="228">
        <v>0</v>
      </c>
      <c r="AC81" s="208">
        <v>0</v>
      </c>
      <c r="AD81" s="229">
        <v>0</v>
      </c>
      <c r="AE81" s="208">
        <f t="shared" si="38"/>
        <v>258.81112416</v>
      </c>
      <c r="AF81" s="208">
        <v>0</v>
      </c>
      <c r="AG81" s="208">
        <f t="shared" si="28"/>
        <v>925.963326</v>
      </c>
      <c r="AH81" s="208">
        <v>0</v>
      </c>
      <c r="AI81" s="208">
        <v>0</v>
      </c>
      <c r="AJ81" s="208">
        <v>925.963326</v>
      </c>
      <c r="AK81" s="209">
        <f t="shared" si="29"/>
        <v>668.78</v>
      </c>
      <c r="AL81" s="206">
        <f t="shared" si="30"/>
        <v>0</v>
      </c>
      <c r="AM81" s="235">
        <f t="shared" si="39"/>
        <v>0</v>
      </c>
      <c r="AN81" s="235">
        <f t="shared" si="31"/>
        <v>0</v>
      </c>
      <c r="AO81" s="209">
        <f t="shared" si="40"/>
        <v>0.66878</v>
      </c>
      <c r="AP81" s="209">
        <f t="shared" si="32"/>
        <v>0.020899375</v>
      </c>
      <c r="AQ81" s="209">
        <f t="shared" si="41"/>
        <v>0.33439</v>
      </c>
      <c r="AR81" s="209">
        <f t="shared" si="33"/>
        <v>0.00696645833333333</v>
      </c>
      <c r="AS81" s="209">
        <f t="shared" si="42"/>
        <v>0</v>
      </c>
      <c r="AT81" s="207">
        <v>0</v>
      </c>
      <c r="AU81" s="207"/>
      <c r="AV81" s="237">
        <f t="shared" si="43"/>
        <v>0</v>
      </c>
      <c r="AW81" s="209"/>
      <c r="AX81" s="209"/>
      <c r="AY81" s="237"/>
      <c r="AZ81" s="237"/>
      <c r="BA81" s="209"/>
      <c r="BB81" s="237"/>
      <c r="BC81" s="237"/>
      <c r="BD81" s="209"/>
      <c r="BE81" s="209"/>
      <c r="BF81" s="209"/>
      <c r="BG81" s="209"/>
      <c r="BH81" s="209"/>
      <c r="BI81" s="209"/>
      <c r="BJ81" s="207"/>
      <c r="BP81" s="240"/>
    </row>
    <row r="82" s="189" customFormat="1" ht="15" customHeight="1" spans="1:68">
      <c r="A82" s="206">
        <v>77</v>
      </c>
      <c r="B82" s="207" t="s">
        <v>166</v>
      </c>
      <c r="C82" s="207" t="s">
        <v>166</v>
      </c>
      <c r="D82" s="207" t="s">
        <v>168</v>
      </c>
      <c r="E82" s="207" t="s">
        <v>169</v>
      </c>
      <c r="F82" s="208">
        <v>213.26</v>
      </c>
      <c r="G82" s="209">
        <f t="shared" si="22"/>
        <v>7.06433149676451</v>
      </c>
      <c r="H82" s="209">
        <f t="shared" si="34"/>
        <v>1506.539335</v>
      </c>
      <c r="I82" s="207">
        <v>3</v>
      </c>
      <c r="J82" s="209">
        <f t="shared" si="35"/>
        <v>1279.56</v>
      </c>
      <c r="K82" s="209">
        <f t="shared" si="36"/>
        <v>0</v>
      </c>
      <c r="L82" s="207">
        <v>0</v>
      </c>
      <c r="M82" s="209">
        <f t="shared" si="23"/>
        <v>426.52</v>
      </c>
      <c r="N82" s="208">
        <v>1429.765735</v>
      </c>
      <c r="O82" s="209">
        <f t="shared" si="24"/>
        <v>1279.56</v>
      </c>
      <c r="P82" s="209">
        <v>0</v>
      </c>
      <c r="Q82" s="209">
        <f t="shared" si="37"/>
        <v>76.7736</v>
      </c>
      <c r="R82" s="209">
        <f t="shared" si="25"/>
        <v>0</v>
      </c>
      <c r="S82" s="209">
        <v>0</v>
      </c>
      <c r="T82" s="208">
        <v>0</v>
      </c>
      <c r="U82" s="207">
        <v>0</v>
      </c>
      <c r="V82" s="209"/>
      <c r="W82" s="208">
        <v>0</v>
      </c>
      <c r="X82" s="208">
        <v>0</v>
      </c>
      <c r="Y82" s="209">
        <f t="shared" si="26"/>
        <v>0</v>
      </c>
      <c r="Z82" s="209">
        <f t="shared" si="27"/>
        <v>0</v>
      </c>
      <c r="AA82" s="208">
        <v>0</v>
      </c>
      <c r="AB82" s="228">
        <v>0</v>
      </c>
      <c r="AC82" s="208">
        <v>0</v>
      </c>
      <c r="AD82" s="229">
        <v>0</v>
      </c>
      <c r="AE82" s="208">
        <f t="shared" si="38"/>
        <v>76.7736</v>
      </c>
      <c r="AF82" s="208">
        <v>0</v>
      </c>
      <c r="AG82" s="208">
        <f t="shared" si="28"/>
        <v>0</v>
      </c>
      <c r="AH82" s="208">
        <v>0</v>
      </c>
      <c r="AI82" s="208">
        <v>0</v>
      </c>
      <c r="AJ82" s="208">
        <v>0</v>
      </c>
      <c r="AK82" s="209">
        <f t="shared" si="29"/>
        <v>426.52</v>
      </c>
      <c r="AL82" s="206">
        <f t="shared" si="30"/>
        <v>0</v>
      </c>
      <c r="AM82" s="235">
        <f t="shared" si="39"/>
        <v>0</v>
      </c>
      <c r="AN82" s="235">
        <f t="shared" si="31"/>
        <v>0</v>
      </c>
      <c r="AO82" s="209">
        <f t="shared" si="40"/>
        <v>0.42652</v>
      </c>
      <c r="AP82" s="209">
        <f t="shared" si="32"/>
        <v>0.01332875</v>
      </c>
      <c r="AQ82" s="209">
        <f t="shared" si="41"/>
        <v>0.21326</v>
      </c>
      <c r="AR82" s="209">
        <f t="shared" si="33"/>
        <v>0.00444291666666667</v>
      </c>
      <c r="AS82" s="209">
        <f t="shared" si="42"/>
        <v>0</v>
      </c>
      <c r="AT82" s="207">
        <v>0</v>
      </c>
      <c r="AU82" s="207"/>
      <c r="AV82" s="237">
        <f t="shared" si="43"/>
        <v>0</v>
      </c>
      <c r="AW82" s="209"/>
      <c r="AX82" s="209"/>
      <c r="AY82" s="237"/>
      <c r="AZ82" s="237"/>
      <c r="BA82" s="209"/>
      <c r="BB82" s="237"/>
      <c r="BC82" s="237"/>
      <c r="BD82" s="209"/>
      <c r="BE82" s="209"/>
      <c r="BF82" s="209"/>
      <c r="BG82" s="209"/>
      <c r="BH82" s="209"/>
      <c r="BI82" s="209"/>
      <c r="BJ82" s="207"/>
      <c r="BP82" s="240"/>
    </row>
    <row r="83" s="189" customFormat="1" ht="15" customHeight="1" spans="1:68">
      <c r="A83" s="206">
        <v>78</v>
      </c>
      <c r="B83" s="207" t="s">
        <v>140</v>
      </c>
      <c r="C83" s="207" t="s">
        <v>140</v>
      </c>
      <c r="D83" s="207" t="s">
        <v>170</v>
      </c>
      <c r="E83" s="207" t="s">
        <v>85</v>
      </c>
      <c r="F83" s="208">
        <v>485.93</v>
      </c>
      <c r="G83" s="209">
        <f t="shared" si="22"/>
        <v>27.6155948105283</v>
      </c>
      <c r="H83" s="209">
        <f t="shared" si="34"/>
        <v>13419.24598628</v>
      </c>
      <c r="I83" s="207">
        <v>3</v>
      </c>
      <c r="J83" s="209">
        <f t="shared" si="35"/>
        <v>5262.889438</v>
      </c>
      <c r="K83" s="209">
        <f t="shared" si="36"/>
        <v>2347.309438</v>
      </c>
      <c r="L83" s="207">
        <v>0</v>
      </c>
      <c r="M83" s="209">
        <f t="shared" si="23"/>
        <v>971.86</v>
      </c>
      <c r="N83" s="208">
        <v>7377.50106</v>
      </c>
      <c r="O83" s="209">
        <f t="shared" si="24"/>
        <v>2915.58</v>
      </c>
      <c r="P83" s="209">
        <v>0</v>
      </c>
      <c r="Q83" s="209">
        <f t="shared" si="37"/>
        <v>2663.08280428</v>
      </c>
      <c r="R83" s="209">
        <f t="shared" si="25"/>
        <v>0</v>
      </c>
      <c r="S83" s="209">
        <v>0</v>
      </c>
      <c r="T83" s="208">
        <v>0</v>
      </c>
      <c r="U83" s="207">
        <v>0</v>
      </c>
      <c r="V83" s="209"/>
      <c r="W83" s="208">
        <v>2347.309438</v>
      </c>
      <c r="X83" s="208">
        <v>0</v>
      </c>
      <c r="Y83" s="209">
        <f t="shared" si="26"/>
        <v>0</v>
      </c>
      <c r="Z83" s="209">
        <f t="shared" si="27"/>
        <v>0</v>
      </c>
      <c r="AA83" s="208">
        <v>0</v>
      </c>
      <c r="AB83" s="228">
        <v>0</v>
      </c>
      <c r="AC83" s="208">
        <v>0</v>
      </c>
      <c r="AD83" s="229">
        <v>0</v>
      </c>
      <c r="AE83" s="208">
        <f t="shared" si="38"/>
        <v>315.77336628</v>
      </c>
      <c r="AF83" s="208">
        <v>0</v>
      </c>
      <c r="AG83" s="208">
        <f t="shared" si="28"/>
        <v>3378.662122</v>
      </c>
      <c r="AH83" s="208">
        <v>0</v>
      </c>
      <c r="AI83" s="208">
        <v>0</v>
      </c>
      <c r="AJ83" s="208">
        <v>3378.662122</v>
      </c>
      <c r="AK83" s="209">
        <f t="shared" si="29"/>
        <v>971.86</v>
      </c>
      <c r="AL83" s="206">
        <f t="shared" si="30"/>
        <v>0</v>
      </c>
      <c r="AM83" s="235">
        <f t="shared" si="39"/>
        <v>0</v>
      </c>
      <c r="AN83" s="235">
        <f t="shared" si="31"/>
        <v>0</v>
      </c>
      <c r="AO83" s="209">
        <f t="shared" si="40"/>
        <v>0.97186</v>
      </c>
      <c r="AP83" s="209">
        <f t="shared" si="32"/>
        <v>0.030370625</v>
      </c>
      <c r="AQ83" s="209">
        <f t="shared" si="41"/>
        <v>0.48593</v>
      </c>
      <c r="AR83" s="209">
        <f t="shared" si="33"/>
        <v>0.0101235416666667</v>
      </c>
      <c r="AS83" s="209">
        <f t="shared" si="42"/>
        <v>0</v>
      </c>
      <c r="AT83" s="207">
        <v>0</v>
      </c>
      <c r="AU83" s="207"/>
      <c r="AV83" s="237">
        <f t="shared" si="43"/>
        <v>0</v>
      </c>
      <c r="AW83" s="209"/>
      <c r="AX83" s="209"/>
      <c r="AY83" s="237"/>
      <c r="AZ83" s="237"/>
      <c r="BA83" s="209"/>
      <c r="BB83" s="237"/>
      <c r="BC83" s="237"/>
      <c r="BD83" s="209"/>
      <c r="BE83" s="209"/>
      <c r="BF83" s="209"/>
      <c r="BG83" s="209"/>
      <c r="BH83" s="209"/>
      <c r="BI83" s="209"/>
      <c r="BJ83" s="207"/>
      <c r="BP83" s="240"/>
    </row>
    <row r="84" s="190" customFormat="1" ht="15" customHeight="1" spans="1:68">
      <c r="A84" s="210">
        <v>79</v>
      </c>
      <c r="B84" s="207" t="s">
        <v>171</v>
      </c>
      <c r="C84" s="211" t="s">
        <v>171</v>
      </c>
      <c r="D84" s="211" t="s">
        <v>172</v>
      </c>
      <c r="E84" s="211" t="s">
        <v>170</v>
      </c>
      <c r="F84" s="212">
        <v>272.49</v>
      </c>
      <c r="G84" s="213">
        <f t="shared" si="22"/>
        <v>14.0023775551396</v>
      </c>
      <c r="H84" s="213">
        <f t="shared" si="34"/>
        <v>3815.50786</v>
      </c>
      <c r="I84" s="211">
        <v>3</v>
      </c>
      <c r="J84" s="213">
        <f t="shared" si="35"/>
        <v>1634.94</v>
      </c>
      <c r="K84" s="213">
        <f t="shared" si="36"/>
        <v>0</v>
      </c>
      <c r="L84" s="207">
        <v>2</v>
      </c>
      <c r="M84" s="213">
        <f t="shared" si="23"/>
        <v>544.98</v>
      </c>
      <c r="N84" s="212">
        <v>2402.243998</v>
      </c>
      <c r="O84" s="213">
        <f t="shared" si="24"/>
        <v>1634.94</v>
      </c>
      <c r="P84" s="213">
        <v>0</v>
      </c>
      <c r="Q84" s="213">
        <f t="shared" si="37"/>
        <v>98.0964</v>
      </c>
      <c r="R84" s="213">
        <f t="shared" si="25"/>
        <v>0</v>
      </c>
      <c r="S84" s="213">
        <v>0</v>
      </c>
      <c r="T84" s="212">
        <v>0</v>
      </c>
      <c r="U84" s="211">
        <v>0</v>
      </c>
      <c r="V84" s="213"/>
      <c r="W84" s="212">
        <v>0</v>
      </c>
      <c r="X84" s="212">
        <v>0</v>
      </c>
      <c r="Y84" s="213">
        <f t="shared" si="26"/>
        <v>0</v>
      </c>
      <c r="Z84" s="213">
        <f t="shared" si="27"/>
        <v>0</v>
      </c>
      <c r="AA84" s="208">
        <v>0</v>
      </c>
      <c r="AB84" s="228">
        <v>0</v>
      </c>
      <c r="AC84" s="208">
        <v>0</v>
      </c>
      <c r="AD84" s="229">
        <v>0</v>
      </c>
      <c r="AE84" s="212">
        <f t="shared" si="38"/>
        <v>98.0964</v>
      </c>
      <c r="AF84" s="212">
        <v>0</v>
      </c>
      <c r="AG84" s="212">
        <f t="shared" si="28"/>
        <v>1315.167462</v>
      </c>
      <c r="AH84" s="212">
        <v>0</v>
      </c>
      <c r="AI84" s="212">
        <v>0</v>
      </c>
      <c r="AJ84" s="212">
        <v>1315.167462</v>
      </c>
      <c r="AK84" s="213">
        <f t="shared" si="29"/>
        <v>544.98</v>
      </c>
      <c r="AL84" s="210">
        <f t="shared" si="30"/>
        <v>0</v>
      </c>
      <c r="AM84" s="235">
        <f t="shared" si="39"/>
        <v>0</v>
      </c>
      <c r="AN84" s="235">
        <f t="shared" si="31"/>
        <v>0</v>
      </c>
      <c r="AO84" s="213">
        <f t="shared" si="40"/>
        <v>0.54498</v>
      </c>
      <c r="AP84" s="209">
        <f t="shared" si="32"/>
        <v>0.017030625</v>
      </c>
      <c r="AQ84" s="213">
        <f t="shared" si="41"/>
        <v>0.27249</v>
      </c>
      <c r="AR84" s="209">
        <f t="shared" si="33"/>
        <v>0.005676875</v>
      </c>
      <c r="AS84" s="213">
        <f t="shared" si="42"/>
        <v>0</v>
      </c>
      <c r="AT84" s="211">
        <v>0</v>
      </c>
      <c r="AU84" s="211"/>
      <c r="AV84" s="237">
        <f t="shared" si="43"/>
        <v>0</v>
      </c>
      <c r="AW84" s="213"/>
      <c r="AX84" s="213"/>
      <c r="AY84" s="238"/>
      <c r="AZ84" s="238"/>
      <c r="BA84" s="213"/>
      <c r="BB84" s="238"/>
      <c r="BC84" s="238"/>
      <c r="BD84" s="213"/>
      <c r="BE84" s="213"/>
      <c r="BF84" s="213"/>
      <c r="BG84" s="213"/>
      <c r="BH84" s="213"/>
      <c r="BI84" s="213"/>
      <c r="BJ84" s="211"/>
      <c r="BP84" s="241"/>
    </row>
    <row r="85" s="190" customFormat="1" ht="15" customHeight="1" spans="1:68">
      <c r="A85" s="210">
        <v>80</v>
      </c>
      <c r="B85" s="207" t="s">
        <v>171</v>
      </c>
      <c r="C85" s="211" t="s">
        <v>171</v>
      </c>
      <c r="D85" s="211" t="s">
        <v>173</v>
      </c>
      <c r="E85" s="211" t="s">
        <v>172</v>
      </c>
      <c r="F85" s="212">
        <v>331.21</v>
      </c>
      <c r="G85" s="213">
        <f t="shared" si="22"/>
        <v>10.8083009752121</v>
      </c>
      <c r="H85" s="213">
        <f t="shared" si="34"/>
        <v>3579.817366</v>
      </c>
      <c r="I85" s="211">
        <v>3</v>
      </c>
      <c r="J85" s="213">
        <f t="shared" si="35"/>
        <v>1987.26</v>
      </c>
      <c r="K85" s="213">
        <f t="shared" si="36"/>
        <v>0</v>
      </c>
      <c r="L85" s="207">
        <v>2</v>
      </c>
      <c r="M85" s="213">
        <f t="shared" si="23"/>
        <v>662.42</v>
      </c>
      <c r="N85" s="212">
        <v>2403.679051</v>
      </c>
      <c r="O85" s="213">
        <f t="shared" si="24"/>
        <v>1987.26</v>
      </c>
      <c r="P85" s="213">
        <v>0</v>
      </c>
      <c r="Q85" s="213">
        <f t="shared" si="37"/>
        <v>119.2356</v>
      </c>
      <c r="R85" s="213">
        <f t="shared" si="25"/>
        <v>0</v>
      </c>
      <c r="S85" s="213">
        <v>0</v>
      </c>
      <c r="T85" s="212">
        <v>0</v>
      </c>
      <c r="U85" s="211">
        <v>0</v>
      </c>
      <c r="V85" s="213"/>
      <c r="W85" s="212">
        <v>0</v>
      </c>
      <c r="X85" s="212">
        <v>0</v>
      </c>
      <c r="Y85" s="213">
        <f t="shared" si="26"/>
        <v>0</v>
      </c>
      <c r="Z85" s="213">
        <f t="shared" si="27"/>
        <v>0</v>
      </c>
      <c r="AA85" s="208">
        <v>0</v>
      </c>
      <c r="AB85" s="228">
        <v>0</v>
      </c>
      <c r="AC85" s="208">
        <v>0</v>
      </c>
      <c r="AD85" s="229">
        <v>0</v>
      </c>
      <c r="AE85" s="212">
        <f t="shared" si="38"/>
        <v>119.2356</v>
      </c>
      <c r="AF85" s="212">
        <v>0</v>
      </c>
      <c r="AG85" s="212">
        <f t="shared" si="28"/>
        <v>1056.902715</v>
      </c>
      <c r="AH85" s="212">
        <v>0</v>
      </c>
      <c r="AI85" s="212">
        <v>0</v>
      </c>
      <c r="AJ85" s="212">
        <v>1056.902715</v>
      </c>
      <c r="AK85" s="213">
        <f t="shared" si="29"/>
        <v>662.42</v>
      </c>
      <c r="AL85" s="210">
        <f t="shared" si="30"/>
        <v>0</v>
      </c>
      <c r="AM85" s="235">
        <f t="shared" si="39"/>
        <v>0</v>
      </c>
      <c r="AN85" s="235">
        <f t="shared" si="31"/>
        <v>0</v>
      </c>
      <c r="AO85" s="213">
        <f t="shared" si="40"/>
        <v>0.66242</v>
      </c>
      <c r="AP85" s="209">
        <f t="shared" si="32"/>
        <v>0.020700625</v>
      </c>
      <c r="AQ85" s="213">
        <f t="shared" si="41"/>
        <v>0.33121</v>
      </c>
      <c r="AR85" s="209">
        <f t="shared" si="33"/>
        <v>0.00690020833333333</v>
      </c>
      <c r="AS85" s="213">
        <f t="shared" si="42"/>
        <v>0</v>
      </c>
      <c r="AT85" s="211">
        <v>0</v>
      </c>
      <c r="AU85" s="211"/>
      <c r="AV85" s="237">
        <f t="shared" si="43"/>
        <v>0</v>
      </c>
      <c r="AW85" s="213"/>
      <c r="AX85" s="213"/>
      <c r="AY85" s="238"/>
      <c r="AZ85" s="238"/>
      <c r="BA85" s="213"/>
      <c r="BB85" s="238"/>
      <c r="BC85" s="238"/>
      <c r="BD85" s="213"/>
      <c r="BE85" s="213"/>
      <c r="BF85" s="213"/>
      <c r="BG85" s="213"/>
      <c r="BH85" s="213"/>
      <c r="BI85" s="213"/>
      <c r="BJ85" s="211"/>
      <c r="BP85" s="241"/>
    </row>
    <row r="86" s="190" customFormat="1" ht="15" customHeight="1" spans="1:68">
      <c r="A86" s="210">
        <v>81</v>
      </c>
      <c r="B86" s="207" t="s">
        <v>174</v>
      </c>
      <c r="C86" s="211" t="s">
        <v>174</v>
      </c>
      <c r="D86" s="211" t="s">
        <v>172</v>
      </c>
      <c r="E86" s="211" t="s">
        <v>170</v>
      </c>
      <c r="F86" s="212">
        <v>395.35</v>
      </c>
      <c r="G86" s="213">
        <f t="shared" si="22"/>
        <v>26.6901250862274</v>
      </c>
      <c r="H86" s="213">
        <f t="shared" si="34"/>
        <v>10551.94095284</v>
      </c>
      <c r="I86" s="211">
        <v>3</v>
      </c>
      <c r="J86" s="213">
        <f t="shared" si="35"/>
        <v>3859.003064</v>
      </c>
      <c r="K86" s="213">
        <f t="shared" si="36"/>
        <v>1486.903064</v>
      </c>
      <c r="L86" s="207">
        <v>2</v>
      </c>
      <c r="M86" s="213">
        <f t="shared" si="23"/>
        <v>790.7</v>
      </c>
      <c r="N86" s="212">
        <v>5325.907576</v>
      </c>
      <c r="O86" s="213">
        <f t="shared" si="24"/>
        <v>2372.1</v>
      </c>
      <c r="P86" s="213">
        <v>0</v>
      </c>
      <c r="Q86" s="213">
        <f t="shared" si="37"/>
        <v>1718.44324784</v>
      </c>
      <c r="R86" s="213">
        <f t="shared" si="25"/>
        <v>0</v>
      </c>
      <c r="S86" s="213">
        <v>0</v>
      </c>
      <c r="T86" s="212">
        <v>0</v>
      </c>
      <c r="U86" s="211">
        <v>0</v>
      </c>
      <c r="V86" s="213"/>
      <c r="W86" s="212">
        <v>1486.903064</v>
      </c>
      <c r="X86" s="212">
        <v>0</v>
      </c>
      <c r="Y86" s="213">
        <f t="shared" si="26"/>
        <v>0</v>
      </c>
      <c r="Z86" s="213">
        <f t="shared" si="27"/>
        <v>90.908297</v>
      </c>
      <c r="AA86" s="208">
        <v>90.908297</v>
      </c>
      <c r="AB86" s="228">
        <v>0</v>
      </c>
      <c r="AC86" s="208">
        <v>0</v>
      </c>
      <c r="AD86" s="229">
        <v>0</v>
      </c>
      <c r="AE86" s="212">
        <f t="shared" si="38"/>
        <v>231.54018384</v>
      </c>
      <c r="AF86" s="212">
        <v>0</v>
      </c>
      <c r="AG86" s="212">
        <f t="shared" si="28"/>
        <v>3325.773535</v>
      </c>
      <c r="AH86" s="212">
        <v>0</v>
      </c>
      <c r="AI86" s="212">
        <v>0</v>
      </c>
      <c r="AJ86" s="212">
        <v>3325.773535</v>
      </c>
      <c r="AK86" s="213">
        <f t="shared" si="29"/>
        <v>790.7</v>
      </c>
      <c r="AL86" s="210">
        <f t="shared" si="30"/>
        <v>0</v>
      </c>
      <c r="AM86" s="235">
        <f t="shared" si="39"/>
        <v>0</v>
      </c>
      <c r="AN86" s="235">
        <f t="shared" si="31"/>
        <v>0</v>
      </c>
      <c r="AO86" s="213">
        <f t="shared" si="40"/>
        <v>0.7907</v>
      </c>
      <c r="AP86" s="209">
        <f t="shared" si="32"/>
        <v>0.024709375</v>
      </c>
      <c r="AQ86" s="213">
        <f t="shared" si="41"/>
        <v>0.39535</v>
      </c>
      <c r="AR86" s="209">
        <f t="shared" si="33"/>
        <v>0.00823645833333333</v>
      </c>
      <c r="AS86" s="213">
        <f t="shared" si="42"/>
        <v>0</v>
      </c>
      <c r="AT86" s="211">
        <v>0</v>
      </c>
      <c r="AU86" s="211"/>
      <c r="AV86" s="237">
        <f t="shared" si="43"/>
        <v>0</v>
      </c>
      <c r="AW86" s="213"/>
      <c r="AX86" s="213"/>
      <c r="AY86" s="238"/>
      <c r="AZ86" s="238"/>
      <c r="BA86" s="213"/>
      <c r="BB86" s="238"/>
      <c r="BC86" s="238"/>
      <c r="BD86" s="213"/>
      <c r="BE86" s="213"/>
      <c r="BF86" s="213"/>
      <c r="BG86" s="213"/>
      <c r="BH86" s="213"/>
      <c r="BI86" s="213"/>
      <c r="BJ86" s="211"/>
      <c r="BP86" s="241"/>
    </row>
    <row r="87" s="190" customFormat="1" ht="15" customHeight="1" spans="1:68">
      <c r="A87" s="210">
        <v>82</v>
      </c>
      <c r="B87" s="207" t="s">
        <v>174</v>
      </c>
      <c r="C87" s="211" t="s">
        <v>174</v>
      </c>
      <c r="D87" s="211" t="s">
        <v>175</v>
      </c>
      <c r="E87" s="211" t="s">
        <v>172</v>
      </c>
      <c r="F87" s="212">
        <v>294.9</v>
      </c>
      <c r="G87" s="213">
        <f t="shared" si="22"/>
        <v>18.9797981010512</v>
      </c>
      <c r="H87" s="213">
        <f t="shared" si="34"/>
        <v>5597.14246</v>
      </c>
      <c r="I87" s="211">
        <v>3</v>
      </c>
      <c r="J87" s="213">
        <f t="shared" si="35"/>
        <v>1769.4</v>
      </c>
      <c r="K87" s="213">
        <f t="shared" si="36"/>
        <v>0</v>
      </c>
      <c r="L87" s="207">
        <v>2</v>
      </c>
      <c r="M87" s="213">
        <f t="shared" si="23"/>
        <v>589.8</v>
      </c>
      <c r="N87" s="212">
        <v>3659.023811</v>
      </c>
      <c r="O87" s="213">
        <f t="shared" si="24"/>
        <v>1769.4</v>
      </c>
      <c r="P87" s="213">
        <v>0</v>
      </c>
      <c r="Q87" s="213">
        <f t="shared" si="37"/>
        <v>106.164</v>
      </c>
      <c r="R87" s="213">
        <f t="shared" si="25"/>
        <v>0</v>
      </c>
      <c r="S87" s="213">
        <v>0</v>
      </c>
      <c r="T87" s="212">
        <v>0</v>
      </c>
      <c r="U87" s="211">
        <v>0</v>
      </c>
      <c r="V87" s="213"/>
      <c r="W87" s="212">
        <v>0</v>
      </c>
      <c r="X87" s="212">
        <v>0</v>
      </c>
      <c r="Y87" s="213">
        <f t="shared" si="26"/>
        <v>0</v>
      </c>
      <c r="Z87" s="213">
        <f t="shared" si="27"/>
        <v>0</v>
      </c>
      <c r="AA87" s="208">
        <v>0</v>
      </c>
      <c r="AB87" s="228">
        <v>0</v>
      </c>
      <c r="AC87" s="208">
        <v>0</v>
      </c>
      <c r="AD87" s="229">
        <v>0</v>
      </c>
      <c r="AE87" s="212">
        <f t="shared" si="38"/>
        <v>106.164</v>
      </c>
      <c r="AF87" s="212">
        <v>0</v>
      </c>
      <c r="AG87" s="212">
        <f t="shared" si="28"/>
        <v>1831.954649</v>
      </c>
      <c r="AH87" s="212">
        <v>0</v>
      </c>
      <c r="AI87" s="212">
        <v>0</v>
      </c>
      <c r="AJ87" s="212">
        <v>1831.954649</v>
      </c>
      <c r="AK87" s="213">
        <f t="shared" si="29"/>
        <v>589.8</v>
      </c>
      <c r="AL87" s="210">
        <f t="shared" si="30"/>
        <v>0</v>
      </c>
      <c r="AM87" s="235">
        <f t="shared" si="39"/>
        <v>0</v>
      </c>
      <c r="AN87" s="235">
        <f t="shared" si="31"/>
        <v>0</v>
      </c>
      <c r="AO87" s="213">
        <f t="shared" si="40"/>
        <v>0.5898</v>
      </c>
      <c r="AP87" s="209">
        <f t="shared" si="32"/>
        <v>0.01843125</v>
      </c>
      <c r="AQ87" s="213">
        <f t="shared" si="41"/>
        <v>0.2949</v>
      </c>
      <c r="AR87" s="209">
        <f t="shared" si="33"/>
        <v>0.00614375</v>
      </c>
      <c r="AS87" s="213">
        <f t="shared" si="42"/>
        <v>0</v>
      </c>
      <c r="AT87" s="211">
        <v>0</v>
      </c>
      <c r="AU87" s="211"/>
      <c r="AV87" s="237">
        <f t="shared" si="43"/>
        <v>0</v>
      </c>
      <c r="AW87" s="213"/>
      <c r="AX87" s="213"/>
      <c r="AY87" s="238"/>
      <c r="AZ87" s="238"/>
      <c r="BA87" s="213"/>
      <c r="BB87" s="238"/>
      <c r="BC87" s="238"/>
      <c r="BD87" s="213"/>
      <c r="BE87" s="213"/>
      <c r="BF87" s="213"/>
      <c r="BG87" s="213"/>
      <c r="BH87" s="213"/>
      <c r="BI87" s="213"/>
      <c r="BJ87" s="211"/>
      <c r="BP87" s="241"/>
    </row>
    <row r="88" s="189" customFormat="1" ht="15" customHeight="1" spans="1:68">
      <c r="A88" s="206">
        <v>83</v>
      </c>
      <c r="B88" s="207" t="s">
        <v>168</v>
      </c>
      <c r="C88" s="207" t="s">
        <v>168</v>
      </c>
      <c r="D88" s="207" t="s">
        <v>176</v>
      </c>
      <c r="E88" s="207" t="s">
        <v>177</v>
      </c>
      <c r="F88" s="208">
        <v>204.08</v>
      </c>
      <c r="G88" s="209">
        <f t="shared" si="22"/>
        <v>14.0540225674245</v>
      </c>
      <c r="H88" s="209">
        <f t="shared" si="34"/>
        <v>2868.14492556</v>
      </c>
      <c r="I88" s="207">
        <v>3</v>
      </c>
      <c r="J88" s="209">
        <f t="shared" si="35"/>
        <v>2878.926626</v>
      </c>
      <c r="K88" s="209">
        <f t="shared" si="36"/>
        <v>1654.446626</v>
      </c>
      <c r="L88" s="207">
        <v>0</v>
      </c>
      <c r="M88" s="209">
        <f t="shared" si="23"/>
        <v>408.16</v>
      </c>
      <c r="N88" s="208">
        <v>729.441901</v>
      </c>
      <c r="O88" s="209">
        <f t="shared" si="24"/>
        <v>1224.48</v>
      </c>
      <c r="P88" s="209">
        <v>0</v>
      </c>
      <c r="Q88" s="209">
        <f t="shared" si="37"/>
        <v>1827.18222356</v>
      </c>
      <c r="R88" s="209">
        <f t="shared" si="25"/>
        <v>0</v>
      </c>
      <c r="S88" s="209">
        <v>0</v>
      </c>
      <c r="T88" s="208">
        <v>0</v>
      </c>
      <c r="U88" s="207">
        <v>0</v>
      </c>
      <c r="V88" s="209"/>
      <c r="W88" s="208">
        <v>1654.446626</v>
      </c>
      <c r="X88" s="208">
        <v>0</v>
      </c>
      <c r="Y88" s="209">
        <f t="shared" si="26"/>
        <v>0</v>
      </c>
      <c r="Z88" s="209">
        <f t="shared" si="27"/>
        <v>0</v>
      </c>
      <c r="AA88" s="208">
        <v>0</v>
      </c>
      <c r="AB88" s="228">
        <v>0</v>
      </c>
      <c r="AC88" s="208">
        <v>0</v>
      </c>
      <c r="AD88" s="229">
        <v>0</v>
      </c>
      <c r="AE88" s="208">
        <f t="shared" si="38"/>
        <v>172.73559756</v>
      </c>
      <c r="AF88" s="208">
        <v>0</v>
      </c>
      <c r="AG88" s="208">
        <f t="shared" si="28"/>
        <v>311.520801</v>
      </c>
      <c r="AH88" s="208">
        <v>0</v>
      </c>
      <c r="AI88" s="208">
        <v>0</v>
      </c>
      <c r="AJ88" s="208">
        <v>311.520801</v>
      </c>
      <c r="AK88" s="209">
        <f t="shared" si="29"/>
        <v>408.16</v>
      </c>
      <c r="AL88" s="206">
        <f t="shared" si="30"/>
        <v>0</v>
      </c>
      <c r="AM88" s="235">
        <f t="shared" si="39"/>
        <v>0</v>
      </c>
      <c r="AN88" s="235">
        <f t="shared" si="31"/>
        <v>0</v>
      </c>
      <c r="AO88" s="209">
        <f t="shared" si="40"/>
        <v>0.40816</v>
      </c>
      <c r="AP88" s="209">
        <f t="shared" si="32"/>
        <v>0.012755</v>
      </c>
      <c r="AQ88" s="209">
        <f t="shared" si="41"/>
        <v>0.20408</v>
      </c>
      <c r="AR88" s="209">
        <f t="shared" si="33"/>
        <v>0.00425166666666667</v>
      </c>
      <c r="AS88" s="209">
        <f t="shared" si="42"/>
        <v>0</v>
      </c>
      <c r="AT88" s="207">
        <v>0</v>
      </c>
      <c r="AU88" s="207"/>
      <c r="AV88" s="237">
        <f t="shared" si="43"/>
        <v>0</v>
      </c>
      <c r="AW88" s="209"/>
      <c r="AX88" s="209"/>
      <c r="AY88" s="237"/>
      <c r="AZ88" s="237"/>
      <c r="BA88" s="209"/>
      <c r="BB88" s="237"/>
      <c r="BC88" s="237"/>
      <c r="BD88" s="209"/>
      <c r="BE88" s="209"/>
      <c r="BF88" s="209"/>
      <c r="BG88" s="209"/>
      <c r="BH88" s="209"/>
      <c r="BI88" s="209"/>
      <c r="BJ88" s="207"/>
      <c r="BP88" s="240"/>
    </row>
    <row r="89" s="189" customFormat="1" ht="15" customHeight="1" spans="1:68">
      <c r="A89" s="206">
        <v>84</v>
      </c>
      <c r="B89" s="207" t="s">
        <v>168</v>
      </c>
      <c r="C89" s="207" t="s">
        <v>168</v>
      </c>
      <c r="D89" s="207" t="s">
        <v>178</v>
      </c>
      <c r="E89" s="207" t="s">
        <v>176</v>
      </c>
      <c r="F89" s="208">
        <v>643.29</v>
      </c>
      <c r="G89" s="209">
        <f t="shared" si="22"/>
        <v>17.5491420697975</v>
      </c>
      <c r="H89" s="209">
        <f t="shared" si="34"/>
        <v>11289.18760208</v>
      </c>
      <c r="I89" s="207">
        <v>3</v>
      </c>
      <c r="J89" s="209">
        <f t="shared" si="35"/>
        <v>5026.022168</v>
      </c>
      <c r="K89" s="209">
        <f t="shared" si="36"/>
        <v>1166.282168</v>
      </c>
      <c r="L89" s="207">
        <v>0</v>
      </c>
      <c r="M89" s="209">
        <f t="shared" si="23"/>
        <v>1286.58</v>
      </c>
      <c r="N89" s="208">
        <v>2337.297169</v>
      </c>
      <c r="O89" s="209">
        <f t="shared" si="24"/>
        <v>3859.74</v>
      </c>
      <c r="P89" s="209">
        <v>0</v>
      </c>
      <c r="Q89" s="209">
        <f t="shared" si="37"/>
        <v>1467.84349808</v>
      </c>
      <c r="R89" s="209">
        <f t="shared" si="25"/>
        <v>0</v>
      </c>
      <c r="S89" s="209">
        <v>0</v>
      </c>
      <c r="T89" s="208">
        <v>0</v>
      </c>
      <c r="U89" s="207">
        <v>0</v>
      </c>
      <c r="V89" s="209"/>
      <c r="W89" s="208">
        <v>1166.282168</v>
      </c>
      <c r="X89" s="208">
        <v>0</v>
      </c>
      <c r="Y89" s="209">
        <f t="shared" si="26"/>
        <v>0</v>
      </c>
      <c r="Z89" s="209">
        <f t="shared" si="27"/>
        <v>12.684255</v>
      </c>
      <c r="AA89" s="208">
        <v>12.684255</v>
      </c>
      <c r="AB89" s="228">
        <v>0</v>
      </c>
      <c r="AC89" s="208">
        <v>0</v>
      </c>
      <c r="AD89" s="229">
        <v>0</v>
      </c>
      <c r="AE89" s="208">
        <f t="shared" si="38"/>
        <v>301.56133008</v>
      </c>
      <c r="AF89" s="208">
        <v>0</v>
      </c>
      <c r="AG89" s="208">
        <f t="shared" si="28"/>
        <v>7458.678425</v>
      </c>
      <c r="AH89" s="208">
        <v>0</v>
      </c>
      <c r="AI89" s="208">
        <v>0</v>
      </c>
      <c r="AJ89" s="208">
        <v>7458.678425</v>
      </c>
      <c r="AK89" s="209">
        <f t="shared" si="29"/>
        <v>1286.58</v>
      </c>
      <c r="AL89" s="206">
        <f t="shared" si="30"/>
        <v>0</v>
      </c>
      <c r="AM89" s="235">
        <f t="shared" si="39"/>
        <v>0</v>
      </c>
      <c r="AN89" s="235">
        <f t="shared" si="31"/>
        <v>0</v>
      </c>
      <c r="AO89" s="209">
        <f t="shared" si="40"/>
        <v>1.28658</v>
      </c>
      <c r="AP89" s="209">
        <f t="shared" si="32"/>
        <v>0.040205625</v>
      </c>
      <c r="AQ89" s="209">
        <f t="shared" si="41"/>
        <v>0.64329</v>
      </c>
      <c r="AR89" s="209">
        <f t="shared" si="33"/>
        <v>0.013401875</v>
      </c>
      <c r="AS89" s="209">
        <f t="shared" si="42"/>
        <v>0</v>
      </c>
      <c r="AT89" s="207">
        <v>0</v>
      </c>
      <c r="AU89" s="207"/>
      <c r="AV89" s="237">
        <f t="shared" si="43"/>
        <v>0</v>
      </c>
      <c r="AW89" s="209"/>
      <c r="AX89" s="209"/>
      <c r="AY89" s="237"/>
      <c r="AZ89" s="237"/>
      <c r="BA89" s="209"/>
      <c r="BB89" s="237"/>
      <c r="BC89" s="237"/>
      <c r="BD89" s="209"/>
      <c r="BE89" s="209"/>
      <c r="BF89" s="209"/>
      <c r="BG89" s="209"/>
      <c r="BH89" s="209"/>
      <c r="BI89" s="209"/>
      <c r="BJ89" s="207"/>
      <c r="BP89" s="240"/>
    </row>
    <row r="90" s="190" customFormat="1" ht="15" customHeight="1" spans="1:68">
      <c r="A90" s="210">
        <v>85</v>
      </c>
      <c r="B90" s="207" t="s">
        <v>155</v>
      </c>
      <c r="C90" s="211" t="s">
        <v>155</v>
      </c>
      <c r="D90" s="211" t="s">
        <v>153</v>
      </c>
      <c r="E90" s="211" t="s">
        <v>142</v>
      </c>
      <c r="F90" s="212">
        <v>530.45</v>
      </c>
      <c r="G90" s="213">
        <f t="shared" si="22"/>
        <v>21.4964326632105</v>
      </c>
      <c r="H90" s="213">
        <f t="shared" si="34"/>
        <v>11402.7827062</v>
      </c>
      <c r="I90" s="211">
        <v>3</v>
      </c>
      <c r="J90" s="213">
        <f t="shared" si="35"/>
        <v>4768.88687</v>
      </c>
      <c r="K90" s="213">
        <f t="shared" si="36"/>
        <v>1586.18687</v>
      </c>
      <c r="L90" s="207">
        <v>0</v>
      </c>
      <c r="M90" s="213">
        <f t="shared" si="23"/>
        <v>1060.9</v>
      </c>
      <c r="N90" s="212">
        <v>3258.995585</v>
      </c>
      <c r="O90" s="213">
        <f t="shared" si="24"/>
        <v>3182.7</v>
      </c>
      <c r="P90" s="213">
        <v>0</v>
      </c>
      <c r="Q90" s="213">
        <f t="shared" si="37"/>
        <v>1872.3200822</v>
      </c>
      <c r="R90" s="213">
        <f t="shared" si="25"/>
        <v>0</v>
      </c>
      <c r="S90" s="213">
        <v>0</v>
      </c>
      <c r="T90" s="212">
        <v>0</v>
      </c>
      <c r="U90" s="211">
        <v>0</v>
      </c>
      <c r="V90" s="213"/>
      <c r="W90" s="212">
        <v>1559.936326</v>
      </c>
      <c r="X90" s="212">
        <v>13.125272</v>
      </c>
      <c r="Y90" s="213">
        <f t="shared" si="26"/>
        <v>26.250544</v>
      </c>
      <c r="Z90" s="213">
        <f t="shared" si="27"/>
        <v>16.395466</v>
      </c>
      <c r="AA90" s="208">
        <v>0</v>
      </c>
      <c r="AB90" s="228">
        <v>0</v>
      </c>
      <c r="AC90" s="208">
        <v>0</v>
      </c>
      <c r="AD90" s="229">
        <v>16.395466</v>
      </c>
      <c r="AE90" s="212">
        <f t="shared" si="38"/>
        <v>286.1332122</v>
      </c>
      <c r="AF90" s="212">
        <v>0</v>
      </c>
      <c r="AG90" s="212">
        <f t="shared" si="28"/>
        <v>6238.676107</v>
      </c>
      <c r="AH90" s="212">
        <v>0</v>
      </c>
      <c r="AI90" s="212">
        <v>0</v>
      </c>
      <c r="AJ90" s="212">
        <v>6238.676107</v>
      </c>
      <c r="AK90" s="213">
        <f t="shared" si="29"/>
        <v>1060.9</v>
      </c>
      <c r="AL90" s="210">
        <f t="shared" si="30"/>
        <v>0</v>
      </c>
      <c r="AM90" s="235">
        <f t="shared" si="39"/>
        <v>0</v>
      </c>
      <c r="AN90" s="235">
        <f t="shared" si="31"/>
        <v>0</v>
      </c>
      <c r="AO90" s="213">
        <f t="shared" si="40"/>
        <v>1.0609</v>
      </c>
      <c r="AP90" s="209">
        <f t="shared" si="32"/>
        <v>0.033153125</v>
      </c>
      <c r="AQ90" s="213">
        <f t="shared" si="41"/>
        <v>0.53045</v>
      </c>
      <c r="AR90" s="209">
        <f t="shared" si="33"/>
        <v>0.0110510416666667</v>
      </c>
      <c r="AS90" s="213">
        <f t="shared" si="42"/>
        <v>0</v>
      </c>
      <c r="AT90" s="211">
        <v>0</v>
      </c>
      <c r="AU90" s="211"/>
      <c r="AV90" s="237">
        <f t="shared" si="43"/>
        <v>0</v>
      </c>
      <c r="AW90" s="213"/>
      <c r="AX90" s="213"/>
      <c r="AY90" s="238"/>
      <c r="AZ90" s="238"/>
      <c r="BA90" s="213"/>
      <c r="BB90" s="238"/>
      <c r="BC90" s="238"/>
      <c r="BD90" s="213"/>
      <c r="BE90" s="213"/>
      <c r="BF90" s="213"/>
      <c r="BG90" s="213"/>
      <c r="BH90" s="213"/>
      <c r="BI90" s="213"/>
      <c r="BJ90" s="211"/>
      <c r="BP90" s="241"/>
    </row>
    <row r="91" s="191" customFormat="1" ht="15" customHeight="1" spans="1:68">
      <c r="A91" s="214">
        <v>86</v>
      </c>
      <c r="B91" s="215" t="s">
        <v>179</v>
      </c>
      <c r="C91" s="215" t="s">
        <v>179</v>
      </c>
      <c r="D91" s="215" t="s">
        <v>180</v>
      </c>
      <c r="E91" s="215" t="s">
        <v>181</v>
      </c>
      <c r="F91" s="216">
        <v>709.72</v>
      </c>
      <c r="G91" s="217">
        <f t="shared" si="22"/>
        <v>45.6511135986304</v>
      </c>
      <c r="H91" s="209">
        <f t="shared" si="34"/>
        <v>32399.50834322</v>
      </c>
      <c r="I91" s="226">
        <v>3</v>
      </c>
      <c r="J91" s="209">
        <f t="shared" si="35"/>
        <v>12800.908087</v>
      </c>
      <c r="K91" s="209">
        <f t="shared" si="36"/>
        <v>3922.462302</v>
      </c>
      <c r="L91" s="215">
        <v>2</v>
      </c>
      <c r="M91" s="209">
        <f t="shared" si="23"/>
        <v>1419.44</v>
      </c>
      <c r="N91" s="216">
        <v>12013.64435</v>
      </c>
      <c r="O91" s="217">
        <f t="shared" si="24"/>
        <v>4258.32</v>
      </c>
      <c r="P91" s="217">
        <v>0</v>
      </c>
      <c r="Q91" s="209">
        <f t="shared" si="37"/>
        <v>4690.51678722</v>
      </c>
      <c r="R91" s="209">
        <f t="shared" si="25"/>
        <v>3</v>
      </c>
      <c r="S91" s="209">
        <v>0</v>
      </c>
      <c r="T91" s="216">
        <v>4620.125785</v>
      </c>
      <c r="U91" s="215">
        <v>1</v>
      </c>
      <c r="V91" s="217"/>
      <c r="W91" s="216">
        <v>3922.462302</v>
      </c>
      <c r="X91" s="216">
        <v>0</v>
      </c>
      <c r="Y91" s="217">
        <f t="shared" si="26"/>
        <v>0</v>
      </c>
      <c r="Z91" s="209">
        <f t="shared" si="27"/>
        <v>2350.697864</v>
      </c>
      <c r="AA91" s="216">
        <v>962.330282</v>
      </c>
      <c r="AB91" s="230">
        <v>1388.367582</v>
      </c>
      <c r="AC91" s="216">
        <v>0</v>
      </c>
      <c r="AD91" s="231">
        <v>0</v>
      </c>
      <c r="AE91" s="208">
        <f t="shared" si="38"/>
        <v>768.05448522</v>
      </c>
      <c r="AF91" s="216">
        <v>0</v>
      </c>
      <c r="AG91" s="208">
        <f t="shared" si="28"/>
        <v>6373.825693</v>
      </c>
      <c r="AH91" s="216">
        <v>798.054508</v>
      </c>
      <c r="AI91" s="216">
        <v>0</v>
      </c>
      <c r="AJ91" s="216">
        <v>5575.771185</v>
      </c>
      <c r="AK91" s="217">
        <f t="shared" si="29"/>
        <v>1419.44</v>
      </c>
      <c r="AL91" s="206">
        <f t="shared" si="30"/>
        <v>0</v>
      </c>
      <c r="AM91" s="235">
        <f t="shared" si="39"/>
        <v>0</v>
      </c>
      <c r="AN91" s="235">
        <f t="shared" si="31"/>
        <v>0</v>
      </c>
      <c r="AO91" s="209">
        <f t="shared" si="40"/>
        <v>1.41944</v>
      </c>
      <c r="AP91" s="209">
        <f t="shared" si="32"/>
        <v>0.0443575</v>
      </c>
      <c r="AQ91" s="209">
        <f t="shared" si="41"/>
        <v>0.70972</v>
      </c>
      <c r="AR91" s="209">
        <f t="shared" si="33"/>
        <v>0.0147858333333333</v>
      </c>
      <c r="AS91" s="209">
        <f t="shared" si="42"/>
        <v>1.41944</v>
      </c>
      <c r="AT91" s="215">
        <v>8</v>
      </c>
      <c r="AU91" s="215" t="s">
        <v>89</v>
      </c>
      <c r="AV91" s="237">
        <f t="shared" si="43"/>
        <v>0</v>
      </c>
      <c r="AW91" s="209"/>
      <c r="AX91" s="209"/>
      <c r="AY91" s="237"/>
      <c r="AZ91" s="217"/>
      <c r="BA91" s="209"/>
      <c r="BB91" s="237"/>
      <c r="BC91" s="237"/>
      <c r="BD91" s="217"/>
      <c r="BE91" s="209"/>
      <c r="BF91" s="217"/>
      <c r="BG91" s="209"/>
      <c r="BH91" s="209"/>
      <c r="BI91" s="209"/>
      <c r="BJ91" s="215"/>
      <c r="BP91" s="242"/>
    </row>
    <row r="92" s="191" customFormat="1" ht="15" customHeight="1" spans="1:68">
      <c r="A92" s="206">
        <v>87</v>
      </c>
      <c r="B92" s="244" t="s">
        <v>180</v>
      </c>
      <c r="C92" s="244" t="s">
        <v>180</v>
      </c>
      <c r="D92" s="244" t="s">
        <v>182</v>
      </c>
      <c r="E92" s="244" t="s">
        <v>179</v>
      </c>
      <c r="F92" s="244">
        <v>681.74</v>
      </c>
      <c r="G92" s="217">
        <f t="shared" si="22"/>
        <v>43.9659248393816</v>
      </c>
      <c r="H92" s="209">
        <f t="shared" si="34"/>
        <v>29973.3296</v>
      </c>
      <c r="I92" s="226">
        <v>3</v>
      </c>
      <c r="J92" s="209">
        <f t="shared" si="35"/>
        <v>13090.16</v>
      </c>
      <c r="K92" s="209">
        <f t="shared" si="36"/>
        <v>4386.57</v>
      </c>
      <c r="L92" s="244">
        <v>4</v>
      </c>
      <c r="M92" s="209">
        <f t="shared" si="23"/>
        <v>2726.96</v>
      </c>
      <c r="N92" s="244">
        <f>13471.58+7011.93</f>
        <v>20483.51</v>
      </c>
      <c r="O92" s="217">
        <f t="shared" si="24"/>
        <v>8180.88</v>
      </c>
      <c r="P92" s="217">
        <v>0</v>
      </c>
      <c r="Q92" s="209">
        <f t="shared" si="37"/>
        <v>5171.9796</v>
      </c>
      <c r="R92" s="209">
        <f t="shared" si="25"/>
        <v>6</v>
      </c>
      <c r="S92" s="209">
        <v>0</v>
      </c>
      <c r="T92" s="244">
        <v>522.71</v>
      </c>
      <c r="U92" s="244">
        <v>2</v>
      </c>
      <c r="V92" s="217"/>
      <c r="W92" s="244">
        <v>4386.57</v>
      </c>
      <c r="X92" s="244">
        <v>0</v>
      </c>
      <c r="Y92" s="217">
        <f t="shared" si="26"/>
        <v>0</v>
      </c>
      <c r="Z92" s="209">
        <f t="shared" si="27"/>
        <v>38.96</v>
      </c>
      <c r="AA92" s="244">
        <v>10.69</v>
      </c>
      <c r="AB92" s="244">
        <v>28.27</v>
      </c>
      <c r="AC92" s="244">
        <v>0</v>
      </c>
      <c r="AD92" s="244">
        <v>0</v>
      </c>
      <c r="AE92" s="208">
        <f t="shared" si="38"/>
        <v>785.4096</v>
      </c>
      <c r="AF92" s="244">
        <v>0</v>
      </c>
      <c r="AG92" s="208">
        <f t="shared" si="28"/>
        <v>3717.21</v>
      </c>
      <c r="AH92" s="244">
        <v>2004.81</v>
      </c>
      <c r="AI92" s="244">
        <v>181.45</v>
      </c>
      <c r="AJ92" s="244">
        <v>1530.95</v>
      </c>
      <c r="AK92" s="217">
        <f t="shared" si="29"/>
        <v>1363.48</v>
      </c>
      <c r="AL92" s="206"/>
      <c r="AM92" s="235">
        <f t="shared" si="39"/>
        <v>0</v>
      </c>
      <c r="AN92" s="235">
        <f t="shared" si="31"/>
        <v>0</v>
      </c>
      <c r="AO92" s="209">
        <f t="shared" si="40"/>
        <v>2.72696</v>
      </c>
      <c r="AP92" s="209">
        <f t="shared" si="32"/>
        <v>0.0852175</v>
      </c>
      <c r="AQ92" s="209">
        <f t="shared" si="41"/>
        <v>1.36348</v>
      </c>
      <c r="AR92" s="209">
        <f t="shared" si="33"/>
        <v>0.0284058333333333</v>
      </c>
      <c r="AS92" s="209">
        <f t="shared" si="42"/>
        <v>2.72696</v>
      </c>
      <c r="AT92" s="244">
        <v>2</v>
      </c>
      <c r="AU92" s="215"/>
      <c r="AV92" s="237">
        <f t="shared" si="43"/>
        <v>0</v>
      </c>
      <c r="AW92" s="209"/>
      <c r="AX92" s="209"/>
      <c r="AY92" s="237"/>
      <c r="AZ92" s="217"/>
      <c r="BA92" s="209"/>
      <c r="BB92" s="237"/>
      <c r="BC92" s="237"/>
      <c r="BD92" s="217"/>
      <c r="BE92" s="209"/>
      <c r="BF92" s="217"/>
      <c r="BG92" s="209"/>
      <c r="BH92" s="209"/>
      <c r="BI92" s="209"/>
      <c r="BJ92" s="215"/>
      <c r="BP92" s="242"/>
    </row>
    <row r="93" s="191" customFormat="1" ht="15" customHeight="1" spans="1:68">
      <c r="A93" s="206">
        <v>88</v>
      </c>
      <c r="B93" s="244" t="s">
        <v>180</v>
      </c>
      <c r="C93" s="244" t="s">
        <v>183</v>
      </c>
      <c r="D93" s="244" t="s">
        <v>184</v>
      </c>
      <c r="E93" s="244" t="s">
        <v>184</v>
      </c>
      <c r="F93" s="244">
        <v>40.93</v>
      </c>
      <c r="G93" s="217">
        <f t="shared" si="22"/>
        <v>46.7929342780357</v>
      </c>
      <c r="H93" s="209">
        <f t="shared" si="34"/>
        <v>1915.2348</v>
      </c>
      <c r="I93" s="226">
        <v>3</v>
      </c>
      <c r="J93" s="209">
        <f t="shared" si="35"/>
        <v>245.58</v>
      </c>
      <c r="K93" s="209">
        <f t="shared" si="36"/>
        <v>0</v>
      </c>
      <c r="L93" s="244">
        <v>0</v>
      </c>
      <c r="M93" s="209">
        <f t="shared" si="23"/>
        <v>81.86</v>
      </c>
      <c r="N93" s="244">
        <v>1900.5</v>
      </c>
      <c r="O93" s="217">
        <f t="shared" si="24"/>
        <v>245.58</v>
      </c>
      <c r="P93" s="217">
        <v>0</v>
      </c>
      <c r="Q93" s="209">
        <f t="shared" si="37"/>
        <v>14.7348</v>
      </c>
      <c r="R93" s="209">
        <f t="shared" si="25"/>
        <v>0</v>
      </c>
      <c r="S93" s="209">
        <v>0</v>
      </c>
      <c r="T93" s="244">
        <v>0</v>
      </c>
      <c r="U93" s="244">
        <v>0</v>
      </c>
      <c r="V93" s="217"/>
      <c r="W93" s="244">
        <v>0</v>
      </c>
      <c r="X93" s="244">
        <v>0</v>
      </c>
      <c r="Y93" s="217">
        <f t="shared" si="26"/>
        <v>0</v>
      </c>
      <c r="Z93" s="209">
        <f t="shared" si="27"/>
        <v>0</v>
      </c>
      <c r="AA93" s="244">
        <v>0</v>
      </c>
      <c r="AB93" s="244">
        <v>0</v>
      </c>
      <c r="AC93" s="244">
        <v>0</v>
      </c>
      <c r="AD93" s="244">
        <v>0</v>
      </c>
      <c r="AE93" s="208">
        <f t="shared" si="38"/>
        <v>14.7348</v>
      </c>
      <c r="AF93" s="244">
        <v>0</v>
      </c>
      <c r="AG93" s="208">
        <f t="shared" si="28"/>
        <v>0</v>
      </c>
      <c r="AH93" s="244">
        <v>0</v>
      </c>
      <c r="AI93" s="244">
        <v>0</v>
      </c>
      <c r="AJ93" s="244">
        <v>0</v>
      </c>
      <c r="AK93" s="217">
        <f t="shared" si="29"/>
        <v>81.86</v>
      </c>
      <c r="AL93" s="206"/>
      <c r="AM93" s="235">
        <f t="shared" si="39"/>
        <v>0</v>
      </c>
      <c r="AN93" s="235">
        <f t="shared" si="31"/>
        <v>0</v>
      </c>
      <c r="AO93" s="209">
        <f t="shared" si="40"/>
        <v>0.08186</v>
      </c>
      <c r="AP93" s="209">
        <f t="shared" si="32"/>
        <v>0.002558125</v>
      </c>
      <c r="AQ93" s="209">
        <f t="shared" si="41"/>
        <v>0.04093</v>
      </c>
      <c r="AR93" s="209">
        <f t="shared" si="33"/>
        <v>0.000852708333333333</v>
      </c>
      <c r="AS93" s="209">
        <f t="shared" si="42"/>
        <v>0</v>
      </c>
      <c r="AT93" s="244">
        <v>0</v>
      </c>
      <c r="AU93" s="215"/>
      <c r="AV93" s="237">
        <f t="shared" si="43"/>
        <v>0</v>
      </c>
      <c r="AW93" s="209"/>
      <c r="AX93" s="209"/>
      <c r="AY93" s="237"/>
      <c r="AZ93" s="217"/>
      <c r="BA93" s="209"/>
      <c r="BB93" s="237"/>
      <c r="BC93" s="237"/>
      <c r="BD93" s="217"/>
      <c r="BE93" s="209"/>
      <c r="BF93" s="217"/>
      <c r="BG93" s="209"/>
      <c r="BH93" s="209"/>
      <c r="BI93" s="209"/>
      <c r="BJ93" s="215"/>
      <c r="BP93" s="242"/>
    </row>
    <row r="94" s="191" customFormat="1" ht="15" customHeight="1" spans="1:68">
      <c r="A94" s="214">
        <v>89</v>
      </c>
      <c r="B94" s="215" t="s">
        <v>114</v>
      </c>
      <c r="C94" s="215" t="s">
        <v>114</v>
      </c>
      <c r="D94" s="215" t="s">
        <v>169</v>
      </c>
      <c r="E94" s="215" t="s">
        <v>90</v>
      </c>
      <c r="F94" s="216">
        <v>733.54</v>
      </c>
      <c r="G94" s="217">
        <f t="shared" ref="G94:G135" si="44">H94/F94</f>
        <v>24.1708736691932</v>
      </c>
      <c r="H94" s="209">
        <f t="shared" si="34"/>
        <v>17730.3026713</v>
      </c>
      <c r="I94" s="226">
        <v>3</v>
      </c>
      <c r="J94" s="209">
        <f t="shared" ref="J94:J135" si="45">O94+P94+T94+W94+Y94</f>
        <v>4634.543055</v>
      </c>
      <c r="K94" s="209">
        <f t="shared" ref="K94:K136" si="46">P94+S94+W94+Y94</f>
        <v>233.303055</v>
      </c>
      <c r="L94" s="215">
        <v>2</v>
      </c>
      <c r="M94" s="209">
        <f t="shared" ref="M94:M135" si="47">F94*IF(L94=4,4,IF(L94=6,6,2))</f>
        <v>1467.08</v>
      </c>
      <c r="N94" s="216">
        <v>15851.982428</v>
      </c>
      <c r="O94" s="217">
        <f t="shared" ref="O94:O135" si="48">M94*3</f>
        <v>4401.24</v>
      </c>
      <c r="P94" s="217">
        <v>0</v>
      </c>
      <c r="Q94" s="209">
        <f t="shared" ref="Q94:Q136" si="49">P94+S94+W94+Y94+AE94</f>
        <v>511.3756383</v>
      </c>
      <c r="R94" s="209">
        <f t="shared" ref="R94:R135" si="50">U94*3</f>
        <v>0</v>
      </c>
      <c r="S94" s="209">
        <v>0</v>
      </c>
      <c r="T94" s="216">
        <v>0</v>
      </c>
      <c r="U94" s="215">
        <v>0</v>
      </c>
      <c r="V94" s="217"/>
      <c r="W94" s="216">
        <v>233.303055</v>
      </c>
      <c r="X94" s="216">
        <v>0</v>
      </c>
      <c r="Y94" s="217">
        <f t="shared" ref="Y94:Y135" si="51">X94*2</f>
        <v>0</v>
      </c>
      <c r="Z94" s="209">
        <f t="shared" ref="Z94:Z135" si="52">AA94+AB94+AC94+AD94</f>
        <v>0</v>
      </c>
      <c r="AA94" s="216">
        <v>0</v>
      </c>
      <c r="AB94" s="230">
        <v>0</v>
      </c>
      <c r="AC94" s="216">
        <v>0</v>
      </c>
      <c r="AD94" s="231">
        <v>0</v>
      </c>
      <c r="AE94" s="208">
        <f t="shared" ref="AE94:AE135" si="53">J94*IF(I94=1,0.08,IF(I94=2,0.07,IF(I94=3,0.06)))</f>
        <v>278.0725833</v>
      </c>
      <c r="AF94" s="216">
        <v>0</v>
      </c>
      <c r="AG94" s="208">
        <f t="shared" ref="AG94:AG135" si="54">AH94+AI94+AJ94</f>
        <v>1366.944605</v>
      </c>
      <c r="AH94" s="216">
        <v>1366.944605</v>
      </c>
      <c r="AI94" s="216">
        <v>0</v>
      </c>
      <c r="AJ94" s="216">
        <v>0</v>
      </c>
      <c r="AK94" s="217">
        <f t="shared" ref="AK94:AK135" si="55">F94*2</f>
        <v>1467.08</v>
      </c>
      <c r="AL94" s="206">
        <f t="shared" ref="AL94:AL135" si="56">AM94/M94*1000</f>
        <v>0</v>
      </c>
      <c r="AM94" s="235">
        <f t="shared" si="39"/>
        <v>0</v>
      </c>
      <c r="AN94" s="235">
        <f t="shared" ref="AN94:AN135" si="57">AM94/60</f>
        <v>0</v>
      </c>
      <c r="AO94" s="209">
        <f t="shared" si="40"/>
        <v>1.46708</v>
      </c>
      <c r="AP94" s="209">
        <f t="shared" ref="AP94:AP135" si="58">AO94/32</f>
        <v>0.04584625</v>
      </c>
      <c r="AQ94" s="209">
        <f t="shared" si="41"/>
        <v>0.73354</v>
      </c>
      <c r="AR94" s="209">
        <f t="shared" ref="AR94:AR135" si="59">AQ94/48</f>
        <v>0.0152820833333333</v>
      </c>
      <c r="AS94" s="209">
        <f t="shared" ref="AS94:AS136" si="60">F94*U94/1000*2</f>
        <v>0</v>
      </c>
      <c r="AT94" s="215">
        <v>0</v>
      </c>
      <c r="AU94" s="215" t="s">
        <v>89</v>
      </c>
      <c r="AV94" s="237">
        <f t="shared" si="43"/>
        <v>0</v>
      </c>
      <c r="AW94" s="209"/>
      <c r="AX94" s="209"/>
      <c r="AY94" s="237"/>
      <c r="AZ94" s="217"/>
      <c r="BA94" s="209"/>
      <c r="BB94" s="237"/>
      <c r="BC94" s="237"/>
      <c r="BD94" s="217"/>
      <c r="BE94" s="209"/>
      <c r="BF94" s="217"/>
      <c r="BG94" s="209"/>
      <c r="BH94" s="209"/>
      <c r="BI94" s="209"/>
      <c r="BJ94" s="215"/>
      <c r="BP94" s="242"/>
    </row>
    <row r="95" s="191" customFormat="1" ht="15" customHeight="1" spans="1:68">
      <c r="A95" s="206">
        <v>90</v>
      </c>
      <c r="B95" s="215" t="s">
        <v>114</v>
      </c>
      <c r="C95" s="215" t="s">
        <v>114</v>
      </c>
      <c r="D95" s="215" t="s">
        <v>92</v>
      </c>
      <c r="E95" s="215" t="s">
        <v>111</v>
      </c>
      <c r="F95" s="216">
        <v>227.73</v>
      </c>
      <c r="G95" s="217">
        <f t="shared" si="44"/>
        <v>82.3529539561762</v>
      </c>
      <c r="H95" s="209">
        <f t="shared" si="34"/>
        <v>18754.23820444</v>
      </c>
      <c r="I95" s="215">
        <v>1</v>
      </c>
      <c r="J95" s="209">
        <f t="shared" si="45"/>
        <v>3205.576168</v>
      </c>
      <c r="K95" s="209">
        <f t="shared" si="46"/>
        <v>1490.365302</v>
      </c>
      <c r="L95" s="215">
        <v>2</v>
      </c>
      <c r="M95" s="209">
        <f t="shared" si="47"/>
        <v>455.46</v>
      </c>
      <c r="N95" s="216">
        <v>5018.163528</v>
      </c>
      <c r="O95" s="217">
        <f t="shared" si="48"/>
        <v>1366.38</v>
      </c>
      <c r="P95" s="217">
        <v>0</v>
      </c>
      <c r="Q95" s="209">
        <f t="shared" si="49"/>
        <v>1746.81139544</v>
      </c>
      <c r="R95" s="209">
        <f t="shared" si="50"/>
        <v>3</v>
      </c>
      <c r="S95" s="209">
        <v>0</v>
      </c>
      <c r="T95" s="216">
        <v>348.830866</v>
      </c>
      <c r="U95" s="215">
        <v>1</v>
      </c>
      <c r="V95" s="217"/>
      <c r="W95" s="216">
        <v>1490.365302</v>
      </c>
      <c r="X95" s="216">
        <v>0</v>
      </c>
      <c r="Y95" s="217">
        <f t="shared" si="51"/>
        <v>0</v>
      </c>
      <c r="Z95" s="209">
        <f t="shared" si="52"/>
        <v>109.023316</v>
      </c>
      <c r="AA95" s="216">
        <v>12.644157</v>
      </c>
      <c r="AB95" s="230">
        <v>96.379159</v>
      </c>
      <c r="AC95" s="216">
        <v>0</v>
      </c>
      <c r="AD95" s="231">
        <v>0</v>
      </c>
      <c r="AE95" s="208">
        <f t="shared" si="53"/>
        <v>256.44609344</v>
      </c>
      <c r="AF95" s="216">
        <v>3682.4959</v>
      </c>
      <c r="AG95" s="208">
        <f t="shared" si="54"/>
        <v>7739.889883</v>
      </c>
      <c r="AH95" s="216">
        <v>275.984812</v>
      </c>
      <c r="AI95" s="216">
        <v>0</v>
      </c>
      <c r="AJ95" s="216">
        <v>7463.905071</v>
      </c>
      <c r="AK95" s="217">
        <f t="shared" si="55"/>
        <v>455.46</v>
      </c>
      <c r="AL95" s="206">
        <f t="shared" si="56"/>
        <v>0</v>
      </c>
      <c r="AM95" s="235">
        <f t="shared" si="39"/>
        <v>0</v>
      </c>
      <c r="AN95" s="235">
        <f t="shared" si="57"/>
        <v>0</v>
      </c>
      <c r="AO95" s="209">
        <f t="shared" si="40"/>
        <v>0.91092</v>
      </c>
      <c r="AP95" s="209">
        <f t="shared" si="58"/>
        <v>0.02846625</v>
      </c>
      <c r="AQ95" s="209">
        <f t="shared" si="41"/>
        <v>0.45546</v>
      </c>
      <c r="AR95" s="209">
        <f t="shared" si="59"/>
        <v>0.00948875</v>
      </c>
      <c r="AS95" s="209">
        <f t="shared" si="60"/>
        <v>0.45546</v>
      </c>
      <c r="AT95" s="215">
        <v>6</v>
      </c>
      <c r="AU95" s="215" t="s">
        <v>89</v>
      </c>
      <c r="AV95" s="237">
        <f t="shared" si="43"/>
        <v>0</v>
      </c>
      <c r="AW95" s="209"/>
      <c r="AX95" s="209"/>
      <c r="AY95" s="237"/>
      <c r="AZ95" s="217"/>
      <c r="BA95" s="209"/>
      <c r="BB95" s="237"/>
      <c r="BC95" s="237"/>
      <c r="BD95" s="217"/>
      <c r="BE95" s="209"/>
      <c r="BF95" s="217"/>
      <c r="BG95" s="209"/>
      <c r="BH95" s="209"/>
      <c r="BI95" s="209"/>
      <c r="BJ95" s="215"/>
      <c r="BP95" s="242"/>
    </row>
    <row r="96" s="191" customFormat="1" ht="15" customHeight="1" spans="1:68">
      <c r="A96" s="206">
        <v>91</v>
      </c>
      <c r="B96" s="215" t="s">
        <v>114</v>
      </c>
      <c r="C96" s="215" t="s">
        <v>114</v>
      </c>
      <c r="D96" s="215" t="s">
        <v>93</v>
      </c>
      <c r="E96" s="215" t="s">
        <v>113</v>
      </c>
      <c r="F96" s="216">
        <v>437.05</v>
      </c>
      <c r="G96" s="217">
        <f t="shared" si="44"/>
        <v>45.3192752094497</v>
      </c>
      <c r="H96" s="209">
        <f t="shared" si="34"/>
        <v>19806.78923029</v>
      </c>
      <c r="I96" s="226">
        <v>2</v>
      </c>
      <c r="J96" s="209">
        <f t="shared" si="45"/>
        <v>4760.056347</v>
      </c>
      <c r="K96" s="209">
        <f t="shared" si="46"/>
        <v>2137.756347</v>
      </c>
      <c r="L96" s="215">
        <v>2</v>
      </c>
      <c r="M96" s="209">
        <f t="shared" si="47"/>
        <v>874.1</v>
      </c>
      <c r="N96" s="216">
        <v>8841.145899</v>
      </c>
      <c r="O96" s="217">
        <f t="shared" si="48"/>
        <v>2622.3</v>
      </c>
      <c r="P96" s="217">
        <v>0</v>
      </c>
      <c r="Q96" s="209">
        <f t="shared" si="49"/>
        <v>2470.96029129</v>
      </c>
      <c r="R96" s="209">
        <f t="shared" si="50"/>
        <v>0</v>
      </c>
      <c r="S96" s="209">
        <v>0</v>
      </c>
      <c r="T96" s="216">
        <v>0</v>
      </c>
      <c r="U96" s="215">
        <v>0</v>
      </c>
      <c r="V96" s="217"/>
      <c r="W96" s="216">
        <v>2137.756347</v>
      </c>
      <c r="X96" s="216">
        <v>0</v>
      </c>
      <c r="Y96" s="217">
        <f t="shared" si="51"/>
        <v>0</v>
      </c>
      <c r="Z96" s="209">
        <f t="shared" si="52"/>
        <v>136.060711</v>
      </c>
      <c r="AA96" s="216">
        <v>136.060711</v>
      </c>
      <c r="AB96" s="230">
        <v>0</v>
      </c>
      <c r="AC96" s="216">
        <v>0</v>
      </c>
      <c r="AD96" s="231">
        <v>0</v>
      </c>
      <c r="AE96" s="208">
        <f t="shared" si="53"/>
        <v>333.20394429</v>
      </c>
      <c r="AF96" s="216">
        <v>0</v>
      </c>
      <c r="AG96" s="208">
        <f t="shared" si="54"/>
        <v>8222.561618</v>
      </c>
      <c r="AH96" s="216">
        <v>994.044586</v>
      </c>
      <c r="AI96" s="216">
        <v>0</v>
      </c>
      <c r="AJ96" s="216">
        <v>7228.517032</v>
      </c>
      <c r="AK96" s="217">
        <f t="shared" si="55"/>
        <v>874.1</v>
      </c>
      <c r="AL96" s="206">
        <f t="shared" si="56"/>
        <v>0</v>
      </c>
      <c r="AM96" s="235">
        <f t="shared" si="39"/>
        <v>0</v>
      </c>
      <c r="AN96" s="235">
        <f t="shared" si="57"/>
        <v>0</v>
      </c>
      <c r="AO96" s="209">
        <f t="shared" si="40"/>
        <v>1.7482</v>
      </c>
      <c r="AP96" s="209">
        <f t="shared" si="58"/>
        <v>0.05463125</v>
      </c>
      <c r="AQ96" s="209">
        <f t="shared" si="41"/>
        <v>0.8741</v>
      </c>
      <c r="AR96" s="209">
        <f t="shared" si="59"/>
        <v>0.0182104166666667</v>
      </c>
      <c r="AS96" s="209">
        <f t="shared" si="60"/>
        <v>0</v>
      </c>
      <c r="AT96" s="215">
        <v>0</v>
      </c>
      <c r="AU96" s="215" t="s">
        <v>89</v>
      </c>
      <c r="AV96" s="237">
        <f t="shared" si="43"/>
        <v>0</v>
      </c>
      <c r="AW96" s="209"/>
      <c r="AX96" s="209"/>
      <c r="AY96" s="237"/>
      <c r="AZ96" s="217"/>
      <c r="BA96" s="209"/>
      <c r="BB96" s="237"/>
      <c r="BC96" s="237"/>
      <c r="BD96" s="217"/>
      <c r="BE96" s="209"/>
      <c r="BF96" s="217"/>
      <c r="BG96" s="209"/>
      <c r="BH96" s="209"/>
      <c r="BI96" s="209"/>
      <c r="BJ96" s="215"/>
      <c r="BP96" s="242"/>
    </row>
    <row r="97" s="191" customFormat="1" ht="15" customHeight="1" spans="1:68">
      <c r="A97" s="214">
        <v>92</v>
      </c>
      <c r="B97" s="215" t="s">
        <v>114</v>
      </c>
      <c r="C97" s="215" t="s">
        <v>114</v>
      </c>
      <c r="D97" s="215" t="s">
        <v>90</v>
      </c>
      <c r="E97" s="215" t="s">
        <v>91</v>
      </c>
      <c r="F97" s="216">
        <v>293.29</v>
      </c>
      <c r="G97" s="217">
        <f t="shared" si="44"/>
        <v>44.4308217401207</v>
      </c>
      <c r="H97" s="209">
        <f t="shared" si="34"/>
        <v>13031.11570816</v>
      </c>
      <c r="I97" s="226">
        <v>3</v>
      </c>
      <c r="J97" s="209">
        <f t="shared" si="45"/>
        <v>5449.638536</v>
      </c>
      <c r="K97" s="209">
        <f t="shared" si="46"/>
        <v>1813.32419</v>
      </c>
      <c r="L97" s="215">
        <v>2</v>
      </c>
      <c r="M97" s="209">
        <f t="shared" si="47"/>
        <v>586.58</v>
      </c>
      <c r="N97" s="216">
        <v>4810.331133</v>
      </c>
      <c r="O97" s="217">
        <f t="shared" si="48"/>
        <v>1759.74</v>
      </c>
      <c r="P97" s="217">
        <v>0</v>
      </c>
      <c r="Q97" s="209">
        <f t="shared" si="49"/>
        <v>2140.30250216</v>
      </c>
      <c r="R97" s="209">
        <f t="shared" si="50"/>
        <v>3</v>
      </c>
      <c r="S97" s="209">
        <v>0</v>
      </c>
      <c r="T97" s="216">
        <v>1876.574346</v>
      </c>
      <c r="U97" s="215">
        <v>1</v>
      </c>
      <c r="V97" s="217"/>
      <c r="W97" s="216">
        <v>1813.32419</v>
      </c>
      <c r="X97" s="216">
        <v>0</v>
      </c>
      <c r="Y97" s="217">
        <f t="shared" si="51"/>
        <v>0</v>
      </c>
      <c r="Z97" s="209">
        <f t="shared" si="52"/>
        <v>493.599325</v>
      </c>
      <c r="AA97" s="216">
        <v>0</v>
      </c>
      <c r="AB97" s="230">
        <v>493.599325</v>
      </c>
      <c r="AC97" s="216">
        <v>0</v>
      </c>
      <c r="AD97" s="231">
        <v>0</v>
      </c>
      <c r="AE97" s="208">
        <f t="shared" si="53"/>
        <v>326.97831216</v>
      </c>
      <c r="AF97" s="216">
        <v>0</v>
      </c>
      <c r="AG97" s="208">
        <f t="shared" si="54"/>
        <v>3216.709077</v>
      </c>
      <c r="AH97" s="216">
        <v>562.771597</v>
      </c>
      <c r="AI97" s="216">
        <v>0</v>
      </c>
      <c r="AJ97" s="216">
        <v>2653.93748</v>
      </c>
      <c r="AK97" s="217">
        <f t="shared" si="55"/>
        <v>586.58</v>
      </c>
      <c r="AL97" s="206">
        <f t="shared" si="56"/>
        <v>0</v>
      </c>
      <c r="AM97" s="235">
        <f t="shared" si="39"/>
        <v>0</v>
      </c>
      <c r="AN97" s="235">
        <f t="shared" si="57"/>
        <v>0</v>
      </c>
      <c r="AO97" s="209">
        <f t="shared" si="40"/>
        <v>0.58658</v>
      </c>
      <c r="AP97" s="209">
        <f t="shared" si="58"/>
        <v>0.018330625</v>
      </c>
      <c r="AQ97" s="209">
        <f t="shared" si="41"/>
        <v>0.29329</v>
      </c>
      <c r="AR97" s="209">
        <f t="shared" si="59"/>
        <v>0.00611020833333333</v>
      </c>
      <c r="AS97" s="209">
        <f t="shared" si="60"/>
        <v>0.58658</v>
      </c>
      <c r="AT97" s="215">
        <v>0</v>
      </c>
      <c r="AU97" s="215" t="s">
        <v>89</v>
      </c>
      <c r="AV97" s="237">
        <f t="shared" si="43"/>
        <v>0</v>
      </c>
      <c r="AW97" s="209"/>
      <c r="AX97" s="209"/>
      <c r="AY97" s="237"/>
      <c r="AZ97" s="217"/>
      <c r="BA97" s="209"/>
      <c r="BB97" s="237"/>
      <c r="BC97" s="237"/>
      <c r="BD97" s="217"/>
      <c r="BE97" s="209"/>
      <c r="BF97" s="217"/>
      <c r="BG97" s="209"/>
      <c r="BH97" s="209"/>
      <c r="BI97" s="209"/>
      <c r="BJ97" s="215"/>
      <c r="BP97" s="242"/>
    </row>
    <row r="98" s="191" customFormat="1" ht="15" customHeight="1" spans="1:68">
      <c r="A98" s="206">
        <v>93</v>
      </c>
      <c r="B98" s="215" t="s">
        <v>114</v>
      </c>
      <c r="C98" s="215" t="s">
        <v>114</v>
      </c>
      <c r="D98" s="215" t="s">
        <v>91</v>
      </c>
      <c r="E98" s="215" t="s">
        <v>92</v>
      </c>
      <c r="F98" s="216">
        <v>456.81</v>
      </c>
      <c r="G98" s="217">
        <f t="shared" si="44"/>
        <v>44.3410168251133</v>
      </c>
      <c r="H98" s="209">
        <f t="shared" si="34"/>
        <v>20255.41989588</v>
      </c>
      <c r="I98" s="226">
        <v>3</v>
      </c>
      <c r="J98" s="209">
        <f t="shared" si="45"/>
        <v>7414.234748</v>
      </c>
      <c r="K98" s="209">
        <f t="shared" si="46"/>
        <v>2735.360747</v>
      </c>
      <c r="L98" s="215">
        <v>2</v>
      </c>
      <c r="M98" s="209">
        <f t="shared" si="47"/>
        <v>913.62</v>
      </c>
      <c r="N98" s="216">
        <v>8547.392404</v>
      </c>
      <c r="O98" s="217">
        <f t="shared" si="48"/>
        <v>2740.86</v>
      </c>
      <c r="P98" s="217">
        <v>0</v>
      </c>
      <c r="Q98" s="209">
        <f t="shared" si="49"/>
        <v>3180.21483188</v>
      </c>
      <c r="R98" s="209">
        <f t="shared" si="50"/>
        <v>3</v>
      </c>
      <c r="S98" s="209">
        <v>0</v>
      </c>
      <c r="T98" s="216">
        <v>1938.014001</v>
      </c>
      <c r="U98" s="215">
        <v>1</v>
      </c>
      <c r="V98" s="217"/>
      <c r="W98" s="216">
        <v>2710.999187</v>
      </c>
      <c r="X98" s="216">
        <v>12.18078</v>
      </c>
      <c r="Y98" s="217">
        <f t="shared" si="51"/>
        <v>24.36156</v>
      </c>
      <c r="Z98" s="209">
        <f t="shared" si="52"/>
        <v>493.800308</v>
      </c>
      <c r="AA98" s="216">
        <v>0</v>
      </c>
      <c r="AB98" s="230">
        <v>493.800308</v>
      </c>
      <c r="AC98" s="216">
        <v>0</v>
      </c>
      <c r="AD98" s="231">
        <v>0</v>
      </c>
      <c r="AE98" s="208">
        <f t="shared" si="53"/>
        <v>444.85408488</v>
      </c>
      <c r="AF98" s="216">
        <v>0</v>
      </c>
      <c r="AG98" s="208">
        <f t="shared" si="54"/>
        <v>5602.198043</v>
      </c>
      <c r="AH98" s="216">
        <v>665.736249</v>
      </c>
      <c r="AI98" s="216">
        <v>0</v>
      </c>
      <c r="AJ98" s="216">
        <v>4936.461794</v>
      </c>
      <c r="AK98" s="217">
        <f t="shared" si="55"/>
        <v>913.62</v>
      </c>
      <c r="AL98" s="206">
        <f t="shared" si="56"/>
        <v>0</v>
      </c>
      <c r="AM98" s="235">
        <f t="shared" si="39"/>
        <v>0</v>
      </c>
      <c r="AN98" s="235">
        <f t="shared" si="57"/>
        <v>0</v>
      </c>
      <c r="AO98" s="209">
        <f t="shared" si="40"/>
        <v>0.91362</v>
      </c>
      <c r="AP98" s="209">
        <f t="shared" si="58"/>
        <v>0.028550625</v>
      </c>
      <c r="AQ98" s="209">
        <f t="shared" si="41"/>
        <v>0.45681</v>
      </c>
      <c r="AR98" s="209">
        <f t="shared" si="59"/>
        <v>0.009516875</v>
      </c>
      <c r="AS98" s="209">
        <f t="shared" si="60"/>
        <v>0.91362</v>
      </c>
      <c r="AT98" s="215">
        <v>0</v>
      </c>
      <c r="AU98" s="215" t="s">
        <v>89</v>
      </c>
      <c r="AV98" s="237">
        <f t="shared" si="43"/>
        <v>0</v>
      </c>
      <c r="AW98" s="209"/>
      <c r="AX98" s="209"/>
      <c r="AY98" s="237"/>
      <c r="AZ98" s="217"/>
      <c r="BA98" s="209"/>
      <c r="BB98" s="237"/>
      <c r="BC98" s="237"/>
      <c r="BD98" s="217"/>
      <c r="BE98" s="209"/>
      <c r="BF98" s="217"/>
      <c r="BG98" s="209"/>
      <c r="BH98" s="209"/>
      <c r="BI98" s="209"/>
      <c r="BJ98" s="215"/>
      <c r="BP98" s="242"/>
    </row>
    <row r="99" s="191" customFormat="1" ht="15" customHeight="1" spans="1:68">
      <c r="A99" s="206">
        <v>94</v>
      </c>
      <c r="B99" s="215" t="s">
        <v>114</v>
      </c>
      <c r="C99" s="215" t="s">
        <v>114</v>
      </c>
      <c r="D99" s="215" t="s">
        <v>88</v>
      </c>
      <c r="E99" s="215" t="s">
        <v>93</v>
      </c>
      <c r="F99" s="216">
        <v>469.75</v>
      </c>
      <c r="G99" s="217">
        <f t="shared" si="44"/>
        <v>44.2671014803619</v>
      </c>
      <c r="H99" s="209">
        <f t="shared" si="34"/>
        <v>20794.4709204</v>
      </c>
      <c r="I99" s="226">
        <v>3</v>
      </c>
      <c r="J99" s="209">
        <f t="shared" si="45"/>
        <v>5520.97999</v>
      </c>
      <c r="K99" s="209">
        <f t="shared" si="46"/>
        <v>2702.47999</v>
      </c>
      <c r="L99" s="215">
        <v>2</v>
      </c>
      <c r="M99" s="209">
        <f t="shared" si="47"/>
        <v>939.5</v>
      </c>
      <c r="N99" s="216">
        <v>11055.419164</v>
      </c>
      <c r="O99" s="217">
        <f t="shared" si="48"/>
        <v>2818.5</v>
      </c>
      <c r="P99" s="217">
        <v>0</v>
      </c>
      <c r="Q99" s="209">
        <f t="shared" si="49"/>
        <v>3033.7387894</v>
      </c>
      <c r="R99" s="209">
        <f t="shared" si="50"/>
        <v>0</v>
      </c>
      <c r="S99" s="209">
        <v>0</v>
      </c>
      <c r="T99" s="216">
        <v>0</v>
      </c>
      <c r="U99" s="215">
        <v>0</v>
      </c>
      <c r="V99" s="217"/>
      <c r="W99" s="216">
        <v>2702.47999</v>
      </c>
      <c r="X99" s="216">
        <v>0</v>
      </c>
      <c r="Y99" s="217">
        <f t="shared" si="51"/>
        <v>0</v>
      </c>
      <c r="Z99" s="209">
        <f t="shared" si="52"/>
        <v>0</v>
      </c>
      <c r="AA99" s="216">
        <v>0</v>
      </c>
      <c r="AB99" s="230">
        <v>0</v>
      </c>
      <c r="AC99" s="216">
        <v>0</v>
      </c>
      <c r="AD99" s="231">
        <v>0</v>
      </c>
      <c r="AE99" s="208">
        <f t="shared" si="53"/>
        <v>331.2587994</v>
      </c>
      <c r="AF99" s="216">
        <v>0</v>
      </c>
      <c r="AG99" s="208">
        <f t="shared" si="54"/>
        <v>6705.312967</v>
      </c>
      <c r="AH99" s="216">
        <v>907.952001</v>
      </c>
      <c r="AI99" s="216">
        <v>0</v>
      </c>
      <c r="AJ99" s="216">
        <v>5797.360966</v>
      </c>
      <c r="AK99" s="217">
        <f t="shared" si="55"/>
        <v>939.5</v>
      </c>
      <c r="AL99" s="206">
        <f t="shared" si="56"/>
        <v>0</v>
      </c>
      <c r="AM99" s="235">
        <f t="shared" si="39"/>
        <v>0</v>
      </c>
      <c r="AN99" s="235">
        <f t="shared" si="57"/>
        <v>0</v>
      </c>
      <c r="AO99" s="209">
        <f t="shared" si="40"/>
        <v>0.9395</v>
      </c>
      <c r="AP99" s="209">
        <f t="shared" si="58"/>
        <v>0.029359375</v>
      </c>
      <c r="AQ99" s="209">
        <f t="shared" si="41"/>
        <v>0.46975</v>
      </c>
      <c r="AR99" s="209">
        <f t="shared" si="59"/>
        <v>0.00978645833333333</v>
      </c>
      <c r="AS99" s="209">
        <f t="shared" si="60"/>
        <v>0</v>
      </c>
      <c r="AT99" s="215">
        <v>0</v>
      </c>
      <c r="AU99" s="215" t="s">
        <v>89</v>
      </c>
      <c r="AV99" s="237">
        <f t="shared" si="43"/>
        <v>0</v>
      </c>
      <c r="AW99" s="209"/>
      <c r="AX99" s="209"/>
      <c r="AY99" s="237"/>
      <c r="AZ99" s="217"/>
      <c r="BA99" s="209"/>
      <c r="BB99" s="237"/>
      <c r="BC99" s="237"/>
      <c r="BD99" s="217"/>
      <c r="BE99" s="209"/>
      <c r="BF99" s="217"/>
      <c r="BG99" s="209"/>
      <c r="BH99" s="209"/>
      <c r="BI99" s="209"/>
      <c r="BJ99" s="215"/>
      <c r="BP99" s="242"/>
    </row>
    <row r="100" s="191" customFormat="1" ht="15" customHeight="1" spans="1:68">
      <c r="A100" s="214">
        <v>95</v>
      </c>
      <c r="B100" s="215" t="s">
        <v>114</v>
      </c>
      <c r="C100" s="215" t="s">
        <v>114</v>
      </c>
      <c r="D100" s="215" t="s">
        <v>111</v>
      </c>
      <c r="E100" s="215" t="s">
        <v>88</v>
      </c>
      <c r="F100" s="216">
        <v>508.99</v>
      </c>
      <c r="G100" s="217">
        <f t="shared" si="44"/>
        <v>38.4102494578675</v>
      </c>
      <c r="H100" s="209">
        <f t="shared" si="34"/>
        <v>19550.43287156</v>
      </c>
      <c r="I100" s="215">
        <v>1</v>
      </c>
      <c r="J100" s="209">
        <f t="shared" si="45"/>
        <v>5524.117957</v>
      </c>
      <c r="K100" s="209">
        <f t="shared" si="46"/>
        <v>2470.177957</v>
      </c>
      <c r="L100" s="215">
        <v>2</v>
      </c>
      <c r="M100" s="209">
        <f t="shared" si="47"/>
        <v>1017.98</v>
      </c>
      <c r="N100" s="216">
        <v>11747.241302</v>
      </c>
      <c r="O100" s="217">
        <f t="shared" si="48"/>
        <v>3053.94</v>
      </c>
      <c r="P100" s="217">
        <v>0</v>
      </c>
      <c r="Q100" s="209">
        <f t="shared" si="49"/>
        <v>2912.10739356</v>
      </c>
      <c r="R100" s="209">
        <f t="shared" si="50"/>
        <v>0</v>
      </c>
      <c r="S100" s="209">
        <v>0</v>
      </c>
      <c r="T100" s="216">
        <v>0</v>
      </c>
      <c r="U100" s="215">
        <v>0</v>
      </c>
      <c r="V100" s="217"/>
      <c r="W100" s="216">
        <v>2433.884399</v>
      </c>
      <c r="X100" s="216">
        <v>18.146779</v>
      </c>
      <c r="Y100" s="217">
        <f t="shared" si="51"/>
        <v>36.293558</v>
      </c>
      <c r="Z100" s="209">
        <f t="shared" si="52"/>
        <v>0</v>
      </c>
      <c r="AA100" s="216">
        <v>0</v>
      </c>
      <c r="AB100" s="230">
        <v>0</v>
      </c>
      <c r="AC100" s="216">
        <v>0</v>
      </c>
      <c r="AD100" s="231">
        <v>0</v>
      </c>
      <c r="AE100" s="208">
        <f t="shared" si="53"/>
        <v>441.92943656</v>
      </c>
      <c r="AF100" s="216">
        <v>0</v>
      </c>
      <c r="AG100" s="208">
        <f t="shared" si="54"/>
        <v>4891.084176</v>
      </c>
      <c r="AH100" s="216">
        <v>967.255514</v>
      </c>
      <c r="AI100" s="216">
        <v>0</v>
      </c>
      <c r="AJ100" s="216">
        <v>3923.828662</v>
      </c>
      <c r="AK100" s="217">
        <f t="shared" si="55"/>
        <v>1017.98</v>
      </c>
      <c r="AL100" s="206">
        <f t="shared" si="56"/>
        <v>0</v>
      </c>
      <c r="AM100" s="235">
        <f t="shared" si="39"/>
        <v>0</v>
      </c>
      <c r="AN100" s="235">
        <f t="shared" si="57"/>
        <v>0</v>
      </c>
      <c r="AO100" s="209">
        <f t="shared" si="40"/>
        <v>2.03596</v>
      </c>
      <c r="AP100" s="209">
        <f t="shared" si="58"/>
        <v>0.06362375</v>
      </c>
      <c r="AQ100" s="209">
        <f t="shared" si="41"/>
        <v>1.01798</v>
      </c>
      <c r="AR100" s="209">
        <f t="shared" si="59"/>
        <v>0.0212079166666667</v>
      </c>
      <c r="AS100" s="209">
        <f t="shared" si="60"/>
        <v>0</v>
      </c>
      <c r="AT100" s="215">
        <v>0</v>
      </c>
      <c r="AU100" s="215" t="s">
        <v>89</v>
      </c>
      <c r="AV100" s="237">
        <f t="shared" si="43"/>
        <v>0</v>
      </c>
      <c r="AW100" s="209"/>
      <c r="AX100" s="209"/>
      <c r="AY100" s="237"/>
      <c r="AZ100" s="217"/>
      <c r="BA100" s="209"/>
      <c r="BB100" s="237"/>
      <c r="BC100" s="237"/>
      <c r="BD100" s="217"/>
      <c r="BE100" s="209"/>
      <c r="BF100" s="217"/>
      <c r="BG100" s="209"/>
      <c r="BH100" s="209"/>
      <c r="BI100" s="209"/>
      <c r="BJ100" s="215"/>
      <c r="BP100" s="242"/>
    </row>
    <row r="101" s="189" customFormat="1" ht="15" customHeight="1" spans="1:68">
      <c r="A101" s="206">
        <v>96</v>
      </c>
      <c r="B101" s="207" t="s">
        <v>185</v>
      </c>
      <c r="C101" s="207" t="s">
        <v>185</v>
      </c>
      <c r="D101" s="207" t="s">
        <v>93</v>
      </c>
      <c r="E101" s="207" t="s">
        <v>113</v>
      </c>
      <c r="F101" s="208">
        <v>455.62</v>
      </c>
      <c r="G101" s="209">
        <f t="shared" si="44"/>
        <v>38.4145645048066</v>
      </c>
      <c r="H101" s="209">
        <f t="shared" si="34"/>
        <v>17502.44387968</v>
      </c>
      <c r="I101" s="207">
        <v>2</v>
      </c>
      <c r="J101" s="209">
        <f t="shared" si="45"/>
        <v>6129.571324</v>
      </c>
      <c r="K101" s="209">
        <f t="shared" si="46"/>
        <v>1980.580256</v>
      </c>
      <c r="L101" s="207">
        <v>2</v>
      </c>
      <c r="M101" s="209">
        <f t="shared" si="47"/>
        <v>911.24</v>
      </c>
      <c r="N101" s="208">
        <v>4375.797504</v>
      </c>
      <c r="O101" s="209">
        <f t="shared" si="48"/>
        <v>2733.72</v>
      </c>
      <c r="P101" s="209">
        <v>0</v>
      </c>
      <c r="Q101" s="209">
        <f t="shared" si="49"/>
        <v>2409.65024868</v>
      </c>
      <c r="R101" s="209">
        <f t="shared" si="50"/>
        <v>3</v>
      </c>
      <c r="S101" s="209">
        <v>0</v>
      </c>
      <c r="T101" s="208">
        <v>1415.271068</v>
      </c>
      <c r="U101" s="207">
        <v>1</v>
      </c>
      <c r="V101" s="209"/>
      <c r="W101" s="208">
        <v>1848.73808</v>
      </c>
      <c r="X101" s="208">
        <v>65.921088</v>
      </c>
      <c r="Y101" s="209">
        <f t="shared" si="51"/>
        <v>131.842176</v>
      </c>
      <c r="Z101" s="209">
        <f t="shared" si="52"/>
        <v>809.415753</v>
      </c>
      <c r="AA101" s="208">
        <v>48.37049</v>
      </c>
      <c r="AB101" s="228">
        <v>761.045263</v>
      </c>
      <c r="AC101" s="208">
        <v>0</v>
      </c>
      <c r="AD101" s="229">
        <v>0</v>
      </c>
      <c r="AE101" s="208">
        <f t="shared" si="53"/>
        <v>429.06999268</v>
      </c>
      <c r="AF101" s="208">
        <v>0</v>
      </c>
      <c r="AG101" s="208">
        <f t="shared" si="54"/>
        <v>7682.893553</v>
      </c>
      <c r="AH101" s="208">
        <v>569.684519</v>
      </c>
      <c r="AI101" s="208">
        <v>0</v>
      </c>
      <c r="AJ101" s="208">
        <v>7113.209034</v>
      </c>
      <c r="AK101" s="209">
        <f t="shared" si="55"/>
        <v>911.24</v>
      </c>
      <c r="AL101" s="206">
        <f t="shared" si="56"/>
        <v>0</v>
      </c>
      <c r="AM101" s="235">
        <f t="shared" si="39"/>
        <v>0</v>
      </c>
      <c r="AN101" s="235">
        <f t="shared" si="57"/>
        <v>0</v>
      </c>
      <c r="AO101" s="209">
        <f t="shared" si="40"/>
        <v>1.82248</v>
      </c>
      <c r="AP101" s="209">
        <f t="shared" si="58"/>
        <v>0.0569525</v>
      </c>
      <c r="AQ101" s="209">
        <f t="shared" si="41"/>
        <v>0.91124</v>
      </c>
      <c r="AR101" s="209">
        <f t="shared" si="59"/>
        <v>0.0189841666666667</v>
      </c>
      <c r="AS101" s="209">
        <f t="shared" si="60"/>
        <v>0.91124</v>
      </c>
      <c r="AT101" s="207">
        <v>0</v>
      </c>
      <c r="AU101" s="207"/>
      <c r="AV101" s="237">
        <f t="shared" si="43"/>
        <v>0</v>
      </c>
      <c r="AW101" s="209"/>
      <c r="AX101" s="209"/>
      <c r="AY101" s="237"/>
      <c r="AZ101" s="237"/>
      <c r="BA101" s="209"/>
      <c r="BB101" s="237"/>
      <c r="BC101" s="237"/>
      <c r="BD101" s="217"/>
      <c r="BE101" s="209"/>
      <c r="BF101" s="209"/>
      <c r="BG101" s="209"/>
      <c r="BH101" s="209"/>
      <c r="BI101" s="209"/>
      <c r="BJ101" s="207"/>
      <c r="BP101" s="240"/>
    </row>
    <row r="102" s="191" customFormat="1" ht="15" customHeight="1" spans="1:68">
      <c r="A102" s="206">
        <v>97</v>
      </c>
      <c r="B102" s="215" t="s">
        <v>113</v>
      </c>
      <c r="C102" s="215" t="s">
        <v>113</v>
      </c>
      <c r="D102" s="215" t="s">
        <v>114</v>
      </c>
      <c r="E102" s="215" t="s">
        <v>185</v>
      </c>
      <c r="F102" s="216">
        <v>321.08</v>
      </c>
      <c r="G102" s="217">
        <f t="shared" si="44"/>
        <v>42.0490446355737</v>
      </c>
      <c r="H102" s="209">
        <f t="shared" si="34"/>
        <v>13501.10725159</v>
      </c>
      <c r="I102" s="215">
        <v>2</v>
      </c>
      <c r="J102" s="209">
        <f t="shared" si="45"/>
        <v>3554.973237</v>
      </c>
      <c r="K102" s="209">
        <f t="shared" si="46"/>
        <v>1628.493237</v>
      </c>
      <c r="L102" s="215">
        <v>2</v>
      </c>
      <c r="M102" s="209">
        <f t="shared" si="47"/>
        <v>642.16</v>
      </c>
      <c r="N102" s="216">
        <v>5253.243135</v>
      </c>
      <c r="O102" s="217">
        <f t="shared" si="48"/>
        <v>1926.48</v>
      </c>
      <c r="P102" s="217">
        <v>0</v>
      </c>
      <c r="Q102" s="209">
        <f t="shared" si="49"/>
        <v>1877.34136359</v>
      </c>
      <c r="R102" s="209">
        <f t="shared" si="50"/>
        <v>0</v>
      </c>
      <c r="S102" s="209">
        <v>0</v>
      </c>
      <c r="T102" s="216">
        <v>0</v>
      </c>
      <c r="U102" s="215">
        <v>0</v>
      </c>
      <c r="V102" s="217"/>
      <c r="W102" s="216">
        <v>1628.493237</v>
      </c>
      <c r="X102" s="216">
        <v>0</v>
      </c>
      <c r="Y102" s="217">
        <f t="shared" si="51"/>
        <v>0</v>
      </c>
      <c r="Z102" s="209">
        <f t="shared" si="52"/>
        <v>128.77004</v>
      </c>
      <c r="AA102" s="216">
        <v>128.77004</v>
      </c>
      <c r="AB102" s="230">
        <v>0</v>
      </c>
      <c r="AC102" s="216">
        <v>0</v>
      </c>
      <c r="AD102" s="231">
        <v>0</v>
      </c>
      <c r="AE102" s="208">
        <f t="shared" si="53"/>
        <v>248.84812659</v>
      </c>
      <c r="AF102" s="216">
        <v>0</v>
      </c>
      <c r="AG102" s="208">
        <f t="shared" si="54"/>
        <v>6112.982673</v>
      </c>
      <c r="AH102" s="216">
        <v>795.219788</v>
      </c>
      <c r="AI102" s="216">
        <v>0</v>
      </c>
      <c r="AJ102" s="216">
        <v>5317.762885</v>
      </c>
      <c r="AK102" s="217">
        <f t="shared" si="55"/>
        <v>642.16</v>
      </c>
      <c r="AL102" s="206">
        <f t="shared" si="56"/>
        <v>0</v>
      </c>
      <c r="AM102" s="235">
        <f t="shared" si="39"/>
        <v>0</v>
      </c>
      <c r="AN102" s="235">
        <f t="shared" si="57"/>
        <v>0</v>
      </c>
      <c r="AO102" s="209">
        <f t="shared" si="40"/>
        <v>1.28432</v>
      </c>
      <c r="AP102" s="209">
        <f t="shared" si="58"/>
        <v>0.040135</v>
      </c>
      <c r="AQ102" s="209">
        <f t="shared" si="41"/>
        <v>0.64216</v>
      </c>
      <c r="AR102" s="209">
        <f t="shared" si="59"/>
        <v>0.0133783333333333</v>
      </c>
      <c r="AS102" s="209">
        <f t="shared" si="60"/>
        <v>0</v>
      </c>
      <c r="AT102" s="215">
        <v>1</v>
      </c>
      <c r="AU102" s="215" t="s">
        <v>89</v>
      </c>
      <c r="AV102" s="237">
        <f t="shared" si="43"/>
        <v>0</v>
      </c>
      <c r="AW102" s="209"/>
      <c r="AX102" s="209"/>
      <c r="AY102" s="237"/>
      <c r="AZ102" s="217"/>
      <c r="BA102" s="209"/>
      <c r="BB102" s="237"/>
      <c r="BC102" s="237"/>
      <c r="BD102" s="217"/>
      <c r="BE102" s="209"/>
      <c r="BF102" s="217"/>
      <c r="BG102" s="209"/>
      <c r="BH102" s="209"/>
      <c r="BI102" s="209"/>
      <c r="BJ102" s="215"/>
      <c r="BP102" s="242"/>
    </row>
    <row r="103" s="191" customFormat="1" ht="15" customHeight="1" spans="1:68">
      <c r="A103" s="214">
        <v>98</v>
      </c>
      <c r="B103" s="215" t="s">
        <v>113</v>
      </c>
      <c r="C103" s="215" t="s">
        <v>113</v>
      </c>
      <c r="D103" s="215" t="s">
        <v>111</v>
      </c>
      <c r="E103" s="215" t="s">
        <v>93</v>
      </c>
      <c r="F103" s="216">
        <v>755.5</v>
      </c>
      <c r="G103" s="217">
        <f t="shared" si="44"/>
        <v>41.8412202101125</v>
      </c>
      <c r="H103" s="209">
        <f t="shared" si="34"/>
        <v>31611.04186874</v>
      </c>
      <c r="I103" s="215">
        <v>2</v>
      </c>
      <c r="J103" s="209">
        <f t="shared" si="45"/>
        <v>8502.883282</v>
      </c>
      <c r="K103" s="209">
        <f t="shared" si="46"/>
        <v>3969.883282</v>
      </c>
      <c r="L103" s="215">
        <v>2</v>
      </c>
      <c r="M103" s="209">
        <f t="shared" si="47"/>
        <v>1511</v>
      </c>
      <c r="N103" s="216">
        <v>11375.614413</v>
      </c>
      <c r="O103" s="217">
        <f t="shared" si="48"/>
        <v>4533</v>
      </c>
      <c r="P103" s="217">
        <v>0</v>
      </c>
      <c r="Q103" s="209">
        <f t="shared" si="49"/>
        <v>4565.08511174</v>
      </c>
      <c r="R103" s="209">
        <f t="shared" si="50"/>
        <v>0</v>
      </c>
      <c r="S103" s="209">
        <v>0</v>
      </c>
      <c r="T103" s="216">
        <v>0</v>
      </c>
      <c r="U103" s="215">
        <v>0</v>
      </c>
      <c r="V103" s="217"/>
      <c r="W103" s="216">
        <v>3969.883282</v>
      </c>
      <c r="X103" s="216">
        <v>0</v>
      </c>
      <c r="Y103" s="217">
        <f t="shared" si="51"/>
        <v>0</v>
      </c>
      <c r="Z103" s="209">
        <f t="shared" si="52"/>
        <v>143.600166</v>
      </c>
      <c r="AA103" s="216">
        <v>6.375324</v>
      </c>
      <c r="AB103" s="230">
        <v>0</v>
      </c>
      <c r="AC103" s="216">
        <v>0</v>
      </c>
      <c r="AD103" s="231">
        <v>137.224842</v>
      </c>
      <c r="AE103" s="208">
        <f t="shared" si="53"/>
        <v>595.20182974</v>
      </c>
      <c r="AF103" s="216">
        <v>0</v>
      </c>
      <c r="AG103" s="208">
        <f t="shared" si="54"/>
        <v>15383.142012</v>
      </c>
      <c r="AH103" s="216">
        <v>0</v>
      </c>
      <c r="AI103" s="216">
        <v>0</v>
      </c>
      <c r="AJ103" s="216">
        <v>15383.142012</v>
      </c>
      <c r="AK103" s="217">
        <f t="shared" si="55"/>
        <v>1511</v>
      </c>
      <c r="AL103" s="206">
        <f t="shared" si="56"/>
        <v>0</v>
      </c>
      <c r="AM103" s="235">
        <f t="shared" si="39"/>
        <v>0</v>
      </c>
      <c r="AN103" s="235">
        <f t="shared" si="57"/>
        <v>0</v>
      </c>
      <c r="AO103" s="209">
        <f t="shared" si="40"/>
        <v>3.022</v>
      </c>
      <c r="AP103" s="209">
        <f t="shared" si="58"/>
        <v>0.0944375</v>
      </c>
      <c r="AQ103" s="209">
        <f t="shared" si="41"/>
        <v>1.511</v>
      </c>
      <c r="AR103" s="209">
        <f t="shared" si="59"/>
        <v>0.0314791666666667</v>
      </c>
      <c r="AS103" s="209">
        <f t="shared" si="60"/>
        <v>0</v>
      </c>
      <c r="AT103" s="215">
        <v>1</v>
      </c>
      <c r="AU103" s="215" t="s">
        <v>89</v>
      </c>
      <c r="AV103" s="237">
        <f t="shared" si="43"/>
        <v>0</v>
      </c>
      <c r="AW103" s="209"/>
      <c r="AX103" s="209"/>
      <c r="AY103" s="237"/>
      <c r="AZ103" s="217"/>
      <c r="BA103" s="209"/>
      <c r="BB103" s="237"/>
      <c r="BC103" s="237"/>
      <c r="BD103" s="217"/>
      <c r="BE103" s="209"/>
      <c r="BF103" s="217"/>
      <c r="BG103" s="209"/>
      <c r="BH103" s="209"/>
      <c r="BI103" s="209"/>
      <c r="BJ103" s="215"/>
      <c r="BP103" s="242"/>
    </row>
    <row r="104" s="191" customFormat="1" ht="15" customHeight="1" spans="1:68">
      <c r="A104" s="206">
        <v>99</v>
      </c>
      <c r="B104" s="215" t="s">
        <v>113</v>
      </c>
      <c r="C104" s="215" t="s">
        <v>113</v>
      </c>
      <c r="D104" s="215" t="s">
        <v>93</v>
      </c>
      <c r="E104" s="215" t="s">
        <v>114</v>
      </c>
      <c r="F104" s="216">
        <v>647.26</v>
      </c>
      <c r="G104" s="217">
        <f t="shared" si="44"/>
        <v>39.2291691602138</v>
      </c>
      <c r="H104" s="209">
        <f t="shared" si="34"/>
        <v>25391.47203064</v>
      </c>
      <c r="I104" s="215">
        <v>2</v>
      </c>
      <c r="J104" s="209">
        <f t="shared" si="45"/>
        <v>7181.040952</v>
      </c>
      <c r="K104" s="209">
        <f t="shared" si="46"/>
        <v>3297.480952</v>
      </c>
      <c r="L104" s="215">
        <v>2</v>
      </c>
      <c r="M104" s="209">
        <f t="shared" si="47"/>
        <v>1294.52</v>
      </c>
      <c r="N104" s="216">
        <v>9750.262794</v>
      </c>
      <c r="O104" s="217">
        <f t="shared" si="48"/>
        <v>3883.56</v>
      </c>
      <c r="P104" s="217">
        <v>0</v>
      </c>
      <c r="Q104" s="209">
        <f t="shared" si="49"/>
        <v>3800.15381864</v>
      </c>
      <c r="R104" s="209">
        <f t="shared" si="50"/>
        <v>0</v>
      </c>
      <c r="S104" s="209">
        <v>0</v>
      </c>
      <c r="T104" s="216">
        <v>0</v>
      </c>
      <c r="U104" s="215">
        <v>0</v>
      </c>
      <c r="V104" s="217"/>
      <c r="W104" s="216">
        <v>3297.480952</v>
      </c>
      <c r="X104" s="216">
        <v>0</v>
      </c>
      <c r="Y104" s="217">
        <f t="shared" si="51"/>
        <v>0</v>
      </c>
      <c r="Z104" s="209">
        <f t="shared" si="52"/>
        <v>49.82571</v>
      </c>
      <c r="AA104" s="216">
        <v>49.82571</v>
      </c>
      <c r="AB104" s="230">
        <v>0</v>
      </c>
      <c r="AC104" s="216">
        <v>0</v>
      </c>
      <c r="AD104" s="231">
        <v>0</v>
      </c>
      <c r="AE104" s="208">
        <f t="shared" si="53"/>
        <v>502.67286664</v>
      </c>
      <c r="AF104" s="216">
        <v>0</v>
      </c>
      <c r="AG104" s="208">
        <f t="shared" si="54"/>
        <v>11741.403998</v>
      </c>
      <c r="AH104" s="216">
        <v>0</v>
      </c>
      <c r="AI104" s="216">
        <v>0</v>
      </c>
      <c r="AJ104" s="216">
        <v>11741.403998</v>
      </c>
      <c r="AK104" s="217">
        <f t="shared" si="55"/>
        <v>1294.52</v>
      </c>
      <c r="AL104" s="206">
        <f t="shared" si="56"/>
        <v>0</v>
      </c>
      <c r="AM104" s="235">
        <f t="shared" si="39"/>
        <v>0</v>
      </c>
      <c r="AN104" s="235">
        <f t="shared" si="57"/>
        <v>0</v>
      </c>
      <c r="AO104" s="209">
        <f t="shared" si="40"/>
        <v>2.58904</v>
      </c>
      <c r="AP104" s="209">
        <f t="shared" si="58"/>
        <v>0.0809075</v>
      </c>
      <c r="AQ104" s="209">
        <f t="shared" si="41"/>
        <v>1.29452</v>
      </c>
      <c r="AR104" s="209">
        <f t="shared" si="59"/>
        <v>0.0269691666666667</v>
      </c>
      <c r="AS104" s="209">
        <f t="shared" si="60"/>
        <v>0</v>
      </c>
      <c r="AT104" s="215">
        <v>0</v>
      </c>
      <c r="AU104" s="215" t="s">
        <v>89</v>
      </c>
      <c r="AV104" s="237">
        <f t="shared" si="43"/>
        <v>0</v>
      </c>
      <c r="AW104" s="209"/>
      <c r="AX104" s="209"/>
      <c r="AY104" s="237"/>
      <c r="AZ104" s="217"/>
      <c r="BA104" s="209"/>
      <c r="BB104" s="237"/>
      <c r="BC104" s="237"/>
      <c r="BD104" s="217"/>
      <c r="BE104" s="209"/>
      <c r="BF104" s="217"/>
      <c r="BG104" s="209"/>
      <c r="BH104" s="209"/>
      <c r="BI104" s="209"/>
      <c r="BJ104" s="215"/>
      <c r="BP104" s="242"/>
    </row>
    <row r="105" s="191" customFormat="1" ht="15" customHeight="1" spans="1:68">
      <c r="A105" s="206">
        <v>100</v>
      </c>
      <c r="B105" s="215" t="s">
        <v>113</v>
      </c>
      <c r="C105" s="215" t="s">
        <v>186</v>
      </c>
      <c r="D105" s="215"/>
      <c r="E105" s="215"/>
      <c r="F105" s="216">
        <v>28.98</v>
      </c>
      <c r="G105" s="217">
        <f t="shared" si="44"/>
        <v>17.9597097308489</v>
      </c>
      <c r="H105" s="209">
        <f t="shared" si="34"/>
        <v>520.472388</v>
      </c>
      <c r="I105" s="215">
        <v>2</v>
      </c>
      <c r="J105" s="209">
        <f t="shared" si="45"/>
        <v>173.88</v>
      </c>
      <c r="K105" s="209">
        <f t="shared" si="46"/>
        <v>0</v>
      </c>
      <c r="L105" s="215">
        <v>0</v>
      </c>
      <c r="M105" s="209">
        <f t="shared" si="47"/>
        <v>57.96</v>
      </c>
      <c r="N105" s="216">
        <v>508.300788</v>
      </c>
      <c r="O105" s="217">
        <f t="shared" si="48"/>
        <v>173.88</v>
      </c>
      <c r="P105" s="217">
        <v>0</v>
      </c>
      <c r="Q105" s="209">
        <f t="shared" si="49"/>
        <v>12.1716</v>
      </c>
      <c r="R105" s="209">
        <f t="shared" si="50"/>
        <v>0</v>
      </c>
      <c r="S105" s="209">
        <v>0</v>
      </c>
      <c r="T105" s="216">
        <v>0</v>
      </c>
      <c r="U105" s="215">
        <v>0</v>
      </c>
      <c r="V105" s="217"/>
      <c r="W105" s="216">
        <v>0</v>
      </c>
      <c r="X105" s="216">
        <v>0</v>
      </c>
      <c r="Y105" s="217">
        <f t="shared" si="51"/>
        <v>0</v>
      </c>
      <c r="Z105" s="209">
        <f t="shared" si="52"/>
        <v>0</v>
      </c>
      <c r="AA105" s="216">
        <v>0</v>
      </c>
      <c r="AB105" s="230">
        <v>0</v>
      </c>
      <c r="AC105" s="216">
        <v>0</v>
      </c>
      <c r="AD105" s="231">
        <v>0</v>
      </c>
      <c r="AE105" s="208">
        <f t="shared" si="53"/>
        <v>12.1716</v>
      </c>
      <c r="AF105" s="216">
        <v>0</v>
      </c>
      <c r="AG105" s="208">
        <f t="shared" si="54"/>
        <v>0</v>
      </c>
      <c r="AH105" s="216">
        <v>0</v>
      </c>
      <c r="AI105" s="216">
        <v>0</v>
      </c>
      <c r="AJ105" s="216">
        <v>0</v>
      </c>
      <c r="AK105" s="217">
        <f t="shared" si="55"/>
        <v>57.96</v>
      </c>
      <c r="AL105" s="206">
        <f t="shared" si="56"/>
        <v>0</v>
      </c>
      <c r="AM105" s="235">
        <f t="shared" si="39"/>
        <v>0</v>
      </c>
      <c r="AN105" s="235">
        <f t="shared" si="57"/>
        <v>0</v>
      </c>
      <c r="AO105" s="209">
        <f t="shared" si="40"/>
        <v>0.11592</v>
      </c>
      <c r="AP105" s="209">
        <f t="shared" si="58"/>
        <v>0.0036225</v>
      </c>
      <c r="AQ105" s="209">
        <f t="shared" si="41"/>
        <v>0.05796</v>
      </c>
      <c r="AR105" s="209">
        <f t="shared" si="59"/>
        <v>0.0012075</v>
      </c>
      <c r="AS105" s="209">
        <f t="shared" si="60"/>
        <v>0</v>
      </c>
      <c r="AT105" s="215">
        <v>0</v>
      </c>
      <c r="AU105" s="215" t="s">
        <v>89</v>
      </c>
      <c r="AV105" s="237">
        <f t="shared" si="43"/>
        <v>0</v>
      </c>
      <c r="AW105" s="209"/>
      <c r="AX105" s="209"/>
      <c r="AY105" s="237"/>
      <c r="AZ105" s="217"/>
      <c r="BA105" s="209"/>
      <c r="BB105" s="237"/>
      <c r="BC105" s="237"/>
      <c r="BD105" s="217"/>
      <c r="BE105" s="209"/>
      <c r="BF105" s="217"/>
      <c r="BG105" s="209"/>
      <c r="BH105" s="209"/>
      <c r="BI105" s="209"/>
      <c r="BJ105" s="215"/>
      <c r="BP105" s="242"/>
    </row>
    <row r="106" s="191" customFormat="1" ht="15" customHeight="1" spans="1:68">
      <c r="A106" s="214">
        <v>101</v>
      </c>
      <c r="B106" s="215" t="s">
        <v>113</v>
      </c>
      <c r="C106" s="215" t="s">
        <v>187</v>
      </c>
      <c r="D106" s="215"/>
      <c r="E106" s="215"/>
      <c r="F106" s="216">
        <v>26.48</v>
      </c>
      <c r="G106" s="217">
        <f t="shared" si="44"/>
        <v>19.9337354607251</v>
      </c>
      <c r="H106" s="209">
        <f t="shared" si="34"/>
        <v>527.845315</v>
      </c>
      <c r="I106" s="215">
        <v>2</v>
      </c>
      <c r="J106" s="209">
        <f t="shared" si="45"/>
        <v>158.88</v>
      </c>
      <c r="K106" s="209">
        <f t="shared" si="46"/>
        <v>0</v>
      </c>
      <c r="L106" s="215">
        <v>0</v>
      </c>
      <c r="M106" s="209">
        <f t="shared" si="47"/>
        <v>52.96</v>
      </c>
      <c r="N106" s="216">
        <v>516.723715</v>
      </c>
      <c r="O106" s="217">
        <f t="shared" si="48"/>
        <v>158.88</v>
      </c>
      <c r="P106" s="217">
        <v>0</v>
      </c>
      <c r="Q106" s="209">
        <f t="shared" si="49"/>
        <v>11.1216</v>
      </c>
      <c r="R106" s="209">
        <f t="shared" si="50"/>
        <v>0</v>
      </c>
      <c r="S106" s="209">
        <v>0</v>
      </c>
      <c r="T106" s="216">
        <v>0</v>
      </c>
      <c r="U106" s="215">
        <v>0</v>
      </c>
      <c r="V106" s="217"/>
      <c r="W106" s="216">
        <v>0</v>
      </c>
      <c r="X106" s="216">
        <v>0</v>
      </c>
      <c r="Y106" s="217">
        <f t="shared" si="51"/>
        <v>0</v>
      </c>
      <c r="Z106" s="209">
        <f t="shared" si="52"/>
        <v>0</v>
      </c>
      <c r="AA106" s="216">
        <v>0</v>
      </c>
      <c r="AB106" s="230">
        <v>0</v>
      </c>
      <c r="AC106" s="216">
        <v>0</v>
      </c>
      <c r="AD106" s="231">
        <v>0</v>
      </c>
      <c r="AE106" s="208">
        <f t="shared" si="53"/>
        <v>11.1216</v>
      </c>
      <c r="AF106" s="216">
        <v>0</v>
      </c>
      <c r="AG106" s="208">
        <f t="shared" si="54"/>
        <v>0</v>
      </c>
      <c r="AH106" s="216">
        <v>0</v>
      </c>
      <c r="AI106" s="216">
        <v>0</v>
      </c>
      <c r="AJ106" s="216">
        <v>0</v>
      </c>
      <c r="AK106" s="217">
        <f t="shared" si="55"/>
        <v>52.96</v>
      </c>
      <c r="AL106" s="206">
        <f t="shared" si="56"/>
        <v>0</v>
      </c>
      <c r="AM106" s="235">
        <f t="shared" si="39"/>
        <v>0</v>
      </c>
      <c r="AN106" s="235">
        <f t="shared" si="57"/>
        <v>0</v>
      </c>
      <c r="AO106" s="209">
        <f t="shared" si="40"/>
        <v>0.10592</v>
      </c>
      <c r="AP106" s="209">
        <f t="shared" si="58"/>
        <v>0.00331</v>
      </c>
      <c r="AQ106" s="209">
        <f t="shared" si="41"/>
        <v>0.05296</v>
      </c>
      <c r="AR106" s="209">
        <f t="shared" si="59"/>
        <v>0.00110333333333333</v>
      </c>
      <c r="AS106" s="209">
        <f t="shared" si="60"/>
        <v>0</v>
      </c>
      <c r="AT106" s="215">
        <v>0</v>
      </c>
      <c r="AU106" s="215" t="s">
        <v>89</v>
      </c>
      <c r="AV106" s="237">
        <f t="shared" si="43"/>
        <v>0</v>
      </c>
      <c r="AW106" s="209"/>
      <c r="AX106" s="209"/>
      <c r="AY106" s="237"/>
      <c r="AZ106" s="217"/>
      <c r="BA106" s="209"/>
      <c r="BB106" s="237"/>
      <c r="BC106" s="237"/>
      <c r="BD106" s="217"/>
      <c r="BE106" s="209"/>
      <c r="BF106" s="217"/>
      <c r="BG106" s="209"/>
      <c r="BH106" s="209"/>
      <c r="BI106" s="209"/>
      <c r="BJ106" s="215"/>
      <c r="BP106" s="242"/>
    </row>
    <row r="107" s="191" customFormat="1" ht="15" customHeight="1" spans="1:68">
      <c r="A107" s="206">
        <v>102</v>
      </c>
      <c r="B107" s="215" t="s">
        <v>113</v>
      </c>
      <c r="C107" s="215" t="s">
        <v>188</v>
      </c>
      <c r="D107" s="215"/>
      <c r="E107" s="215"/>
      <c r="F107" s="216">
        <v>35.41</v>
      </c>
      <c r="G107" s="217">
        <f t="shared" si="44"/>
        <v>21.9259009036995</v>
      </c>
      <c r="H107" s="209">
        <f t="shared" si="34"/>
        <v>776.396151</v>
      </c>
      <c r="I107" s="215">
        <v>2</v>
      </c>
      <c r="J107" s="209">
        <f t="shared" si="45"/>
        <v>212.46</v>
      </c>
      <c r="K107" s="209">
        <f t="shared" si="46"/>
        <v>0</v>
      </c>
      <c r="L107" s="215">
        <v>0</v>
      </c>
      <c r="M107" s="209">
        <f t="shared" si="47"/>
        <v>70.82</v>
      </c>
      <c r="N107" s="216">
        <v>761.523951</v>
      </c>
      <c r="O107" s="217">
        <f t="shared" si="48"/>
        <v>212.46</v>
      </c>
      <c r="P107" s="217">
        <v>0</v>
      </c>
      <c r="Q107" s="209">
        <f t="shared" si="49"/>
        <v>14.8722</v>
      </c>
      <c r="R107" s="209">
        <f t="shared" si="50"/>
        <v>0</v>
      </c>
      <c r="S107" s="209">
        <v>0</v>
      </c>
      <c r="T107" s="216">
        <v>0</v>
      </c>
      <c r="U107" s="215">
        <v>0</v>
      </c>
      <c r="V107" s="217"/>
      <c r="W107" s="216">
        <v>0</v>
      </c>
      <c r="X107" s="216">
        <v>0</v>
      </c>
      <c r="Y107" s="217">
        <f t="shared" si="51"/>
        <v>0</v>
      </c>
      <c r="Z107" s="209">
        <f t="shared" si="52"/>
        <v>0</v>
      </c>
      <c r="AA107" s="216">
        <v>0</v>
      </c>
      <c r="AB107" s="230">
        <v>0</v>
      </c>
      <c r="AC107" s="216">
        <v>0</v>
      </c>
      <c r="AD107" s="231">
        <v>0</v>
      </c>
      <c r="AE107" s="208">
        <f t="shared" si="53"/>
        <v>14.8722</v>
      </c>
      <c r="AF107" s="216">
        <v>0</v>
      </c>
      <c r="AG107" s="208">
        <f t="shared" si="54"/>
        <v>0</v>
      </c>
      <c r="AH107" s="216">
        <v>0</v>
      </c>
      <c r="AI107" s="216">
        <v>0</v>
      </c>
      <c r="AJ107" s="216">
        <v>0</v>
      </c>
      <c r="AK107" s="217">
        <f t="shared" si="55"/>
        <v>70.82</v>
      </c>
      <c r="AL107" s="206">
        <f t="shared" si="56"/>
        <v>0</v>
      </c>
      <c r="AM107" s="235">
        <f t="shared" si="39"/>
        <v>0</v>
      </c>
      <c r="AN107" s="235">
        <f t="shared" si="57"/>
        <v>0</v>
      </c>
      <c r="AO107" s="209">
        <f t="shared" si="40"/>
        <v>0.14164</v>
      </c>
      <c r="AP107" s="209">
        <f t="shared" si="58"/>
        <v>0.00442625</v>
      </c>
      <c r="AQ107" s="209">
        <f t="shared" si="41"/>
        <v>0.07082</v>
      </c>
      <c r="AR107" s="209">
        <f t="shared" si="59"/>
        <v>0.00147541666666667</v>
      </c>
      <c r="AS107" s="209">
        <f t="shared" si="60"/>
        <v>0</v>
      </c>
      <c r="AT107" s="215">
        <v>0</v>
      </c>
      <c r="AU107" s="215" t="s">
        <v>89</v>
      </c>
      <c r="AV107" s="237">
        <f t="shared" si="43"/>
        <v>0</v>
      </c>
      <c r="AW107" s="209"/>
      <c r="AX107" s="209"/>
      <c r="AY107" s="237"/>
      <c r="AZ107" s="217"/>
      <c r="BA107" s="209"/>
      <c r="BB107" s="237"/>
      <c r="BC107" s="237"/>
      <c r="BD107" s="217"/>
      <c r="BE107" s="209"/>
      <c r="BF107" s="217"/>
      <c r="BG107" s="209"/>
      <c r="BH107" s="209"/>
      <c r="BI107" s="209"/>
      <c r="BJ107" s="215"/>
      <c r="BP107" s="242"/>
    </row>
    <row r="108" s="191" customFormat="1" ht="15" customHeight="1" spans="1:68">
      <c r="A108" s="206">
        <v>103</v>
      </c>
      <c r="B108" s="215" t="s">
        <v>113</v>
      </c>
      <c r="C108" s="215" t="s">
        <v>189</v>
      </c>
      <c r="D108" s="215"/>
      <c r="E108" s="215"/>
      <c r="F108" s="216">
        <v>25.39</v>
      </c>
      <c r="G108" s="217">
        <f t="shared" si="44"/>
        <v>19.0626428121308</v>
      </c>
      <c r="H108" s="209">
        <f t="shared" si="34"/>
        <v>484.000501</v>
      </c>
      <c r="I108" s="215">
        <v>2</v>
      </c>
      <c r="J108" s="209">
        <f t="shared" si="45"/>
        <v>152.34</v>
      </c>
      <c r="K108" s="209">
        <f t="shared" si="46"/>
        <v>0</v>
      </c>
      <c r="L108" s="215">
        <v>0</v>
      </c>
      <c r="M108" s="209">
        <f t="shared" si="47"/>
        <v>50.78</v>
      </c>
      <c r="N108" s="216">
        <v>473.336701</v>
      </c>
      <c r="O108" s="217">
        <f t="shared" si="48"/>
        <v>152.34</v>
      </c>
      <c r="P108" s="217">
        <v>0</v>
      </c>
      <c r="Q108" s="209">
        <f t="shared" si="49"/>
        <v>10.6638</v>
      </c>
      <c r="R108" s="209">
        <f t="shared" si="50"/>
        <v>0</v>
      </c>
      <c r="S108" s="209">
        <v>0</v>
      </c>
      <c r="T108" s="216">
        <v>0</v>
      </c>
      <c r="U108" s="215">
        <v>0</v>
      </c>
      <c r="V108" s="217"/>
      <c r="W108" s="216">
        <v>0</v>
      </c>
      <c r="X108" s="216">
        <v>0</v>
      </c>
      <c r="Y108" s="217">
        <f t="shared" si="51"/>
        <v>0</v>
      </c>
      <c r="Z108" s="209">
        <f t="shared" si="52"/>
        <v>0</v>
      </c>
      <c r="AA108" s="216">
        <v>0</v>
      </c>
      <c r="AB108" s="230">
        <v>0</v>
      </c>
      <c r="AC108" s="216">
        <v>0</v>
      </c>
      <c r="AD108" s="231">
        <v>0</v>
      </c>
      <c r="AE108" s="208">
        <f t="shared" si="53"/>
        <v>10.6638</v>
      </c>
      <c r="AF108" s="216">
        <v>0</v>
      </c>
      <c r="AG108" s="208">
        <f t="shared" si="54"/>
        <v>0</v>
      </c>
      <c r="AH108" s="216">
        <v>0</v>
      </c>
      <c r="AI108" s="216">
        <v>0</v>
      </c>
      <c r="AJ108" s="216">
        <v>0</v>
      </c>
      <c r="AK108" s="217">
        <f t="shared" si="55"/>
        <v>50.78</v>
      </c>
      <c r="AL108" s="206">
        <f t="shared" si="56"/>
        <v>0</v>
      </c>
      <c r="AM108" s="235">
        <f t="shared" si="39"/>
        <v>0</v>
      </c>
      <c r="AN108" s="235">
        <f t="shared" si="57"/>
        <v>0</v>
      </c>
      <c r="AO108" s="209">
        <f t="shared" si="40"/>
        <v>0.10156</v>
      </c>
      <c r="AP108" s="209">
        <f t="shared" si="58"/>
        <v>0.00317375</v>
      </c>
      <c r="AQ108" s="209">
        <f t="shared" si="41"/>
        <v>0.05078</v>
      </c>
      <c r="AR108" s="209">
        <f t="shared" si="59"/>
        <v>0.00105791666666667</v>
      </c>
      <c r="AS108" s="209">
        <f t="shared" si="60"/>
        <v>0</v>
      </c>
      <c r="AT108" s="215">
        <v>0</v>
      </c>
      <c r="AU108" s="215" t="s">
        <v>89</v>
      </c>
      <c r="AV108" s="237">
        <f t="shared" si="43"/>
        <v>0</v>
      </c>
      <c r="AW108" s="209"/>
      <c r="AX108" s="209"/>
      <c r="AY108" s="237"/>
      <c r="AZ108" s="217"/>
      <c r="BA108" s="209"/>
      <c r="BB108" s="237"/>
      <c r="BC108" s="237"/>
      <c r="BD108" s="217"/>
      <c r="BE108" s="209"/>
      <c r="BF108" s="217"/>
      <c r="BG108" s="209"/>
      <c r="BH108" s="209"/>
      <c r="BI108" s="209"/>
      <c r="BJ108" s="215"/>
      <c r="BP108" s="242"/>
    </row>
    <row r="109" s="191" customFormat="1" ht="15" customHeight="1" spans="1:68">
      <c r="A109" s="214">
        <v>104</v>
      </c>
      <c r="B109" s="215" t="s">
        <v>113</v>
      </c>
      <c r="C109" s="215" t="s">
        <v>113</v>
      </c>
      <c r="D109" s="215" t="s">
        <v>92</v>
      </c>
      <c r="E109" s="215" t="s">
        <v>111</v>
      </c>
      <c r="F109" s="216">
        <v>210.01</v>
      </c>
      <c r="G109" s="217">
        <f t="shared" si="44"/>
        <v>40.3270494109804</v>
      </c>
      <c r="H109" s="209">
        <f t="shared" si="34"/>
        <v>8469.0836468</v>
      </c>
      <c r="I109" s="215">
        <v>2</v>
      </c>
      <c r="J109" s="209">
        <f t="shared" si="45"/>
        <v>2290.23144</v>
      </c>
      <c r="K109" s="209">
        <f t="shared" si="46"/>
        <v>1030.17144</v>
      </c>
      <c r="L109" s="215">
        <v>2</v>
      </c>
      <c r="M109" s="209">
        <f t="shared" si="47"/>
        <v>420.02</v>
      </c>
      <c r="N109" s="216">
        <v>3448.888775</v>
      </c>
      <c r="O109" s="217">
        <f t="shared" si="48"/>
        <v>1260.06</v>
      </c>
      <c r="P109" s="217">
        <v>0</v>
      </c>
      <c r="Q109" s="209">
        <f t="shared" si="49"/>
        <v>1190.4876408</v>
      </c>
      <c r="R109" s="209">
        <f t="shared" si="50"/>
        <v>0</v>
      </c>
      <c r="S109" s="209">
        <v>0</v>
      </c>
      <c r="T109" s="216">
        <v>0</v>
      </c>
      <c r="U109" s="215">
        <v>0</v>
      </c>
      <c r="V109" s="217"/>
      <c r="W109" s="216">
        <v>1030.17144</v>
      </c>
      <c r="X109" s="216">
        <v>0</v>
      </c>
      <c r="Y109" s="217">
        <f t="shared" si="51"/>
        <v>0</v>
      </c>
      <c r="Z109" s="209">
        <f t="shared" si="52"/>
        <v>0</v>
      </c>
      <c r="AA109" s="216">
        <v>0</v>
      </c>
      <c r="AB109" s="230">
        <v>0</v>
      </c>
      <c r="AC109" s="216">
        <v>0</v>
      </c>
      <c r="AD109" s="231">
        <v>0</v>
      </c>
      <c r="AE109" s="208">
        <f t="shared" si="53"/>
        <v>160.3162008</v>
      </c>
      <c r="AF109" s="216">
        <v>0</v>
      </c>
      <c r="AG109" s="208">
        <f t="shared" si="54"/>
        <v>3829.707231</v>
      </c>
      <c r="AH109" s="216">
        <v>0</v>
      </c>
      <c r="AI109" s="216">
        <v>0</v>
      </c>
      <c r="AJ109" s="216">
        <v>3829.707231</v>
      </c>
      <c r="AK109" s="217">
        <f t="shared" si="55"/>
        <v>420.02</v>
      </c>
      <c r="AL109" s="206">
        <f t="shared" si="56"/>
        <v>0</v>
      </c>
      <c r="AM109" s="235">
        <f t="shared" si="39"/>
        <v>0</v>
      </c>
      <c r="AN109" s="235">
        <f t="shared" si="57"/>
        <v>0</v>
      </c>
      <c r="AO109" s="209">
        <f t="shared" si="40"/>
        <v>0.84004</v>
      </c>
      <c r="AP109" s="209">
        <f t="shared" si="58"/>
        <v>0.02625125</v>
      </c>
      <c r="AQ109" s="209">
        <f t="shared" si="41"/>
        <v>0.42002</v>
      </c>
      <c r="AR109" s="209">
        <f t="shared" si="59"/>
        <v>0.00875041666666667</v>
      </c>
      <c r="AS109" s="209">
        <f t="shared" si="60"/>
        <v>0</v>
      </c>
      <c r="AT109" s="215">
        <v>0</v>
      </c>
      <c r="AU109" s="215" t="s">
        <v>89</v>
      </c>
      <c r="AV109" s="237">
        <f t="shared" si="43"/>
        <v>0</v>
      </c>
      <c r="AW109" s="209"/>
      <c r="AX109" s="209"/>
      <c r="AY109" s="237"/>
      <c r="AZ109" s="217"/>
      <c r="BA109" s="209"/>
      <c r="BB109" s="237"/>
      <c r="BC109" s="237"/>
      <c r="BD109" s="217"/>
      <c r="BE109" s="209"/>
      <c r="BF109" s="217"/>
      <c r="BG109" s="209"/>
      <c r="BH109" s="209"/>
      <c r="BI109" s="209"/>
      <c r="BJ109" s="215"/>
      <c r="BP109" s="242"/>
    </row>
    <row r="110" s="191" customFormat="1" ht="15" customHeight="1" spans="1:68">
      <c r="A110" s="206">
        <v>105</v>
      </c>
      <c r="B110" s="215" t="s">
        <v>113</v>
      </c>
      <c r="C110" s="215" t="s">
        <v>113</v>
      </c>
      <c r="D110" s="215" t="s">
        <v>185</v>
      </c>
      <c r="E110" s="215" t="s">
        <v>86</v>
      </c>
      <c r="F110" s="216">
        <v>335.12</v>
      </c>
      <c r="G110" s="217">
        <f t="shared" si="44"/>
        <v>48.3789727105216</v>
      </c>
      <c r="H110" s="209">
        <f t="shared" si="34"/>
        <v>16212.76133475</v>
      </c>
      <c r="I110" s="215">
        <v>2</v>
      </c>
      <c r="J110" s="209">
        <f t="shared" si="45"/>
        <v>6036.302725</v>
      </c>
      <c r="K110" s="209">
        <f t="shared" si="46"/>
        <v>1801.179086</v>
      </c>
      <c r="L110" s="215">
        <v>4</v>
      </c>
      <c r="M110" s="209">
        <f t="shared" si="47"/>
        <v>1340.48</v>
      </c>
      <c r="N110" s="216">
        <v>5866.72485</v>
      </c>
      <c r="O110" s="217">
        <f t="shared" si="48"/>
        <v>4021.44</v>
      </c>
      <c r="P110" s="217">
        <v>0</v>
      </c>
      <c r="Q110" s="209">
        <f t="shared" si="49"/>
        <v>2223.72027675</v>
      </c>
      <c r="R110" s="209">
        <f t="shared" si="50"/>
        <v>6</v>
      </c>
      <c r="S110" s="209">
        <v>0</v>
      </c>
      <c r="T110" s="216">
        <v>213.683639</v>
      </c>
      <c r="U110" s="215">
        <v>2</v>
      </c>
      <c r="V110" s="217"/>
      <c r="W110" s="216">
        <v>1682.817844</v>
      </c>
      <c r="X110" s="216">
        <v>59.180621</v>
      </c>
      <c r="Y110" s="217">
        <f t="shared" si="51"/>
        <v>118.361242</v>
      </c>
      <c r="Z110" s="209">
        <f t="shared" si="52"/>
        <v>25.548414</v>
      </c>
      <c r="AA110" s="216">
        <v>19.050556</v>
      </c>
      <c r="AB110" s="230">
        <v>0</v>
      </c>
      <c r="AC110" s="216">
        <v>0</v>
      </c>
      <c r="AD110" s="231">
        <v>6.497858</v>
      </c>
      <c r="AE110" s="208">
        <f t="shared" si="53"/>
        <v>422.54119075</v>
      </c>
      <c r="AF110" s="216">
        <v>190.885229</v>
      </c>
      <c r="AG110" s="208">
        <f t="shared" si="54"/>
        <v>7666.650512</v>
      </c>
      <c r="AH110" s="216">
        <v>714.5508</v>
      </c>
      <c r="AI110" s="216">
        <v>150.560726</v>
      </c>
      <c r="AJ110" s="216">
        <v>6801.538986</v>
      </c>
      <c r="AK110" s="217">
        <f t="shared" si="55"/>
        <v>670.24</v>
      </c>
      <c r="AL110" s="206">
        <f t="shared" si="56"/>
        <v>0</v>
      </c>
      <c r="AM110" s="235">
        <f t="shared" si="39"/>
        <v>0</v>
      </c>
      <c r="AN110" s="235">
        <f t="shared" si="57"/>
        <v>0</v>
      </c>
      <c r="AO110" s="209">
        <f t="shared" si="40"/>
        <v>2.68096</v>
      </c>
      <c r="AP110" s="209">
        <f t="shared" si="58"/>
        <v>0.08378</v>
      </c>
      <c r="AQ110" s="209">
        <f t="shared" si="41"/>
        <v>1.34048</v>
      </c>
      <c r="AR110" s="209">
        <f t="shared" si="59"/>
        <v>0.0279266666666667</v>
      </c>
      <c r="AS110" s="209">
        <f t="shared" si="60"/>
        <v>1.34048</v>
      </c>
      <c r="AT110" s="215">
        <v>1</v>
      </c>
      <c r="AU110" s="215" t="s">
        <v>89</v>
      </c>
      <c r="AV110" s="237">
        <f t="shared" si="43"/>
        <v>0</v>
      </c>
      <c r="AW110" s="209"/>
      <c r="AX110" s="209"/>
      <c r="AY110" s="237"/>
      <c r="AZ110" s="217"/>
      <c r="BA110" s="209"/>
      <c r="BB110" s="237"/>
      <c r="BC110" s="237"/>
      <c r="BD110" s="217"/>
      <c r="BE110" s="209"/>
      <c r="BF110" s="217"/>
      <c r="BG110" s="209"/>
      <c r="BH110" s="209"/>
      <c r="BI110" s="209"/>
      <c r="BJ110" s="215"/>
      <c r="BP110" s="242"/>
    </row>
    <row r="111" s="190" customFormat="1" ht="15" customHeight="1" spans="1:68">
      <c r="A111" s="210">
        <v>106</v>
      </c>
      <c r="B111" s="207" t="s">
        <v>190</v>
      </c>
      <c r="C111" s="211" t="s">
        <v>190</v>
      </c>
      <c r="D111" s="211" t="s">
        <v>191</v>
      </c>
      <c r="E111" s="211" t="s">
        <v>170</v>
      </c>
      <c r="F111" s="212">
        <v>332.42</v>
      </c>
      <c r="G111" s="213">
        <f t="shared" si="44"/>
        <v>32.2271665867276</v>
      </c>
      <c r="H111" s="213">
        <f t="shared" si="34"/>
        <v>10712.95471676</v>
      </c>
      <c r="I111" s="211">
        <v>3</v>
      </c>
      <c r="J111" s="213">
        <f t="shared" si="45"/>
        <v>2661.556346</v>
      </c>
      <c r="K111" s="213">
        <f t="shared" si="46"/>
        <v>667.036346</v>
      </c>
      <c r="L111" s="207">
        <v>2</v>
      </c>
      <c r="M111" s="213">
        <f t="shared" si="47"/>
        <v>664.84</v>
      </c>
      <c r="N111" s="212">
        <v>1992.591684</v>
      </c>
      <c r="O111" s="213">
        <f t="shared" si="48"/>
        <v>1994.52</v>
      </c>
      <c r="P111" s="213">
        <v>0</v>
      </c>
      <c r="Q111" s="213">
        <f t="shared" si="49"/>
        <v>826.72972676</v>
      </c>
      <c r="R111" s="213">
        <f t="shared" si="50"/>
        <v>0</v>
      </c>
      <c r="S111" s="213">
        <v>0</v>
      </c>
      <c r="T111" s="212">
        <v>0</v>
      </c>
      <c r="U111" s="211">
        <v>0</v>
      </c>
      <c r="V111" s="213"/>
      <c r="W111" s="212">
        <v>0</v>
      </c>
      <c r="X111" s="212">
        <v>333.518173</v>
      </c>
      <c r="Y111" s="213">
        <f t="shared" si="51"/>
        <v>667.036346</v>
      </c>
      <c r="Z111" s="213">
        <f t="shared" si="52"/>
        <v>0</v>
      </c>
      <c r="AA111" s="208">
        <v>0</v>
      </c>
      <c r="AB111" s="228">
        <v>0</v>
      </c>
      <c r="AC111" s="208">
        <v>0</v>
      </c>
      <c r="AD111" s="229">
        <v>0</v>
      </c>
      <c r="AE111" s="212">
        <f t="shared" si="53"/>
        <v>159.69338076</v>
      </c>
      <c r="AF111" s="212">
        <v>0</v>
      </c>
      <c r="AG111" s="212">
        <f t="shared" si="54"/>
        <v>7893.633306</v>
      </c>
      <c r="AH111" s="212">
        <v>0</v>
      </c>
      <c r="AI111" s="212">
        <v>0</v>
      </c>
      <c r="AJ111" s="212">
        <v>7893.633306</v>
      </c>
      <c r="AK111" s="213">
        <f t="shared" si="55"/>
        <v>664.84</v>
      </c>
      <c r="AL111" s="210">
        <f t="shared" si="56"/>
        <v>0</v>
      </c>
      <c r="AM111" s="235">
        <f t="shared" si="39"/>
        <v>0</v>
      </c>
      <c r="AN111" s="235">
        <f t="shared" si="57"/>
        <v>0</v>
      </c>
      <c r="AO111" s="213">
        <f t="shared" si="40"/>
        <v>0.66484</v>
      </c>
      <c r="AP111" s="209">
        <f t="shared" si="58"/>
        <v>0.02077625</v>
      </c>
      <c r="AQ111" s="213">
        <f t="shared" si="41"/>
        <v>0.33242</v>
      </c>
      <c r="AR111" s="209">
        <f t="shared" si="59"/>
        <v>0.00692541666666667</v>
      </c>
      <c r="AS111" s="213">
        <f t="shared" si="60"/>
        <v>0</v>
      </c>
      <c r="AT111" s="211">
        <v>0</v>
      </c>
      <c r="AU111" s="211"/>
      <c r="AV111" s="237">
        <f t="shared" si="43"/>
        <v>0</v>
      </c>
      <c r="AW111" s="213"/>
      <c r="AX111" s="213"/>
      <c r="AY111" s="238"/>
      <c r="AZ111" s="238"/>
      <c r="BA111" s="213"/>
      <c r="BB111" s="238"/>
      <c r="BC111" s="238"/>
      <c r="BD111" s="213"/>
      <c r="BE111" s="213"/>
      <c r="BF111" s="213"/>
      <c r="BG111" s="213"/>
      <c r="BH111" s="213"/>
      <c r="BI111" s="213"/>
      <c r="BJ111" s="211"/>
      <c r="BP111" s="241"/>
    </row>
    <row r="112" s="190" customFormat="1" ht="15" customHeight="1" spans="1:68">
      <c r="A112" s="218">
        <v>107</v>
      </c>
      <c r="B112" s="207" t="s">
        <v>192</v>
      </c>
      <c r="C112" s="211" t="s">
        <v>192</v>
      </c>
      <c r="D112" s="211" t="s">
        <v>170</v>
      </c>
      <c r="E112" s="211" t="s">
        <v>193</v>
      </c>
      <c r="F112" s="212">
        <v>281</v>
      </c>
      <c r="G112" s="213">
        <f t="shared" si="44"/>
        <v>6.83425048569395</v>
      </c>
      <c r="H112" s="213">
        <f t="shared" si="34"/>
        <v>1920.42438648</v>
      </c>
      <c r="I112" s="227">
        <v>3</v>
      </c>
      <c r="J112" s="213">
        <f t="shared" si="45"/>
        <v>2067.449308</v>
      </c>
      <c r="K112" s="213">
        <f t="shared" si="46"/>
        <v>381.449308</v>
      </c>
      <c r="L112" s="207">
        <v>2</v>
      </c>
      <c r="M112" s="213">
        <f t="shared" si="47"/>
        <v>562</v>
      </c>
      <c r="N112" s="212">
        <v>1414.92812</v>
      </c>
      <c r="O112" s="213">
        <f t="shared" si="48"/>
        <v>1686</v>
      </c>
      <c r="P112" s="213">
        <v>0</v>
      </c>
      <c r="Q112" s="213">
        <f t="shared" si="49"/>
        <v>505.49626648</v>
      </c>
      <c r="R112" s="213">
        <f t="shared" si="50"/>
        <v>0</v>
      </c>
      <c r="S112" s="213">
        <v>0</v>
      </c>
      <c r="T112" s="212">
        <v>0</v>
      </c>
      <c r="U112" s="211">
        <v>0</v>
      </c>
      <c r="V112" s="213"/>
      <c r="W112" s="212">
        <v>0</v>
      </c>
      <c r="X112" s="212">
        <v>190.724654</v>
      </c>
      <c r="Y112" s="213">
        <f t="shared" si="51"/>
        <v>381.449308</v>
      </c>
      <c r="Z112" s="213">
        <f t="shared" si="52"/>
        <v>0</v>
      </c>
      <c r="AA112" s="208">
        <v>0</v>
      </c>
      <c r="AB112" s="228">
        <v>0</v>
      </c>
      <c r="AC112" s="208">
        <v>0</v>
      </c>
      <c r="AD112" s="229">
        <v>0</v>
      </c>
      <c r="AE112" s="212">
        <f t="shared" si="53"/>
        <v>124.04695848</v>
      </c>
      <c r="AF112" s="212">
        <v>0</v>
      </c>
      <c r="AG112" s="212">
        <f t="shared" si="54"/>
        <v>0</v>
      </c>
      <c r="AH112" s="212">
        <v>0</v>
      </c>
      <c r="AI112" s="212">
        <v>0</v>
      </c>
      <c r="AJ112" s="212">
        <v>0</v>
      </c>
      <c r="AK112" s="213">
        <f t="shared" si="55"/>
        <v>562</v>
      </c>
      <c r="AL112" s="210">
        <f t="shared" si="56"/>
        <v>0</v>
      </c>
      <c r="AM112" s="235">
        <f t="shared" si="39"/>
        <v>0</v>
      </c>
      <c r="AN112" s="235">
        <f t="shared" si="57"/>
        <v>0</v>
      </c>
      <c r="AO112" s="213">
        <f t="shared" si="40"/>
        <v>0.562</v>
      </c>
      <c r="AP112" s="209">
        <f t="shared" si="58"/>
        <v>0.0175625</v>
      </c>
      <c r="AQ112" s="213">
        <f t="shared" si="41"/>
        <v>0.281</v>
      </c>
      <c r="AR112" s="209">
        <f t="shared" si="59"/>
        <v>0.00585416666666667</v>
      </c>
      <c r="AS112" s="213">
        <f t="shared" si="60"/>
        <v>0</v>
      </c>
      <c r="AT112" s="211">
        <v>0</v>
      </c>
      <c r="AU112" s="211"/>
      <c r="AV112" s="237">
        <f t="shared" si="43"/>
        <v>0</v>
      </c>
      <c r="AW112" s="213"/>
      <c r="AX112" s="213"/>
      <c r="AY112" s="238"/>
      <c r="AZ112" s="238"/>
      <c r="BA112" s="213"/>
      <c r="BB112" s="238"/>
      <c r="BC112" s="238"/>
      <c r="BD112" s="213"/>
      <c r="BE112" s="213"/>
      <c r="BF112" s="213"/>
      <c r="BG112" s="213"/>
      <c r="BH112" s="213"/>
      <c r="BI112" s="213"/>
      <c r="BJ112" s="211"/>
      <c r="BP112" s="241"/>
    </row>
    <row r="113" s="190" customFormat="1" ht="15" customHeight="1" spans="1:68">
      <c r="A113" s="210">
        <v>108</v>
      </c>
      <c r="B113" s="207" t="s">
        <v>194</v>
      </c>
      <c r="C113" s="211" t="s">
        <v>194</v>
      </c>
      <c r="D113" s="211" t="s">
        <v>195</v>
      </c>
      <c r="E113" s="211" t="s">
        <v>170</v>
      </c>
      <c r="F113" s="212">
        <v>266.98</v>
      </c>
      <c r="G113" s="213">
        <f t="shared" si="44"/>
        <v>24.8055676189977</v>
      </c>
      <c r="H113" s="213">
        <f t="shared" si="34"/>
        <v>6622.59044292</v>
      </c>
      <c r="I113" s="227">
        <v>3</v>
      </c>
      <c r="J113" s="213">
        <f t="shared" si="45"/>
        <v>1964.363932</v>
      </c>
      <c r="K113" s="213">
        <f t="shared" si="46"/>
        <v>362.483932</v>
      </c>
      <c r="L113" s="207">
        <v>2</v>
      </c>
      <c r="M113" s="213">
        <f t="shared" si="47"/>
        <v>533.96</v>
      </c>
      <c r="N113" s="212">
        <v>1736.839508</v>
      </c>
      <c r="O113" s="213">
        <f t="shared" si="48"/>
        <v>1601.88</v>
      </c>
      <c r="P113" s="213">
        <v>0</v>
      </c>
      <c r="Q113" s="213">
        <f t="shared" si="49"/>
        <v>480.34576792</v>
      </c>
      <c r="R113" s="213">
        <f t="shared" si="50"/>
        <v>0</v>
      </c>
      <c r="S113" s="213">
        <v>0</v>
      </c>
      <c r="T113" s="212">
        <v>0</v>
      </c>
      <c r="U113" s="211">
        <v>0</v>
      </c>
      <c r="V113" s="213"/>
      <c r="W113" s="212">
        <v>0</v>
      </c>
      <c r="X113" s="212">
        <v>181.241966</v>
      </c>
      <c r="Y113" s="213">
        <f t="shared" si="51"/>
        <v>362.483932</v>
      </c>
      <c r="Z113" s="213">
        <f t="shared" si="52"/>
        <v>0</v>
      </c>
      <c r="AA113" s="208">
        <v>0</v>
      </c>
      <c r="AB113" s="228">
        <v>0</v>
      </c>
      <c r="AC113" s="208">
        <v>0</v>
      </c>
      <c r="AD113" s="229">
        <v>0</v>
      </c>
      <c r="AE113" s="212">
        <f t="shared" si="53"/>
        <v>117.86183592</v>
      </c>
      <c r="AF113" s="212">
        <v>0</v>
      </c>
      <c r="AG113" s="212">
        <f t="shared" si="54"/>
        <v>4405.405167</v>
      </c>
      <c r="AH113" s="212">
        <v>0</v>
      </c>
      <c r="AI113" s="212">
        <v>0</v>
      </c>
      <c r="AJ113" s="212">
        <v>4405.405167</v>
      </c>
      <c r="AK113" s="213">
        <f t="shared" si="55"/>
        <v>533.96</v>
      </c>
      <c r="AL113" s="210">
        <f t="shared" si="56"/>
        <v>0</v>
      </c>
      <c r="AM113" s="235">
        <f t="shared" si="39"/>
        <v>0</v>
      </c>
      <c r="AN113" s="235">
        <f t="shared" si="57"/>
        <v>0</v>
      </c>
      <c r="AO113" s="213">
        <f t="shared" si="40"/>
        <v>0.53396</v>
      </c>
      <c r="AP113" s="209">
        <f t="shared" si="58"/>
        <v>0.01668625</v>
      </c>
      <c r="AQ113" s="213">
        <f t="shared" si="41"/>
        <v>0.26698</v>
      </c>
      <c r="AR113" s="209">
        <f t="shared" si="59"/>
        <v>0.00556208333333333</v>
      </c>
      <c r="AS113" s="213">
        <f t="shared" si="60"/>
        <v>0</v>
      </c>
      <c r="AT113" s="211">
        <v>0</v>
      </c>
      <c r="AU113" s="211"/>
      <c r="AV113" s="237">
        <f t="shared" si="43"/>
        <v>0</v>
      </c>
      <c r="AW113" s="213"/>
      <c r="AX113" s="213"/>
      <c r="AY113" s="238"/>
      <c r="AZ113" s="238"/>
      <c r="BA113" s="213"/>
      <c r="BB113" s="238"/>
      <c r="BC113" s="238"/>
      <c r="BD113" s="213"/>
      <c r="BE113" s="213"/>
      <c r="BF113" s="213"/>
      <c r="BG113" s="213"/>
      <c r="BH113" s="213"/>
      <c r="BI113" s="213"/>
      <c r="BJ113" s="211"/>
      <c r="BP113" s="241"/>
    </row>
    <row r="114" s="190" customFormat="1" ht="15" customHeight="1" spans="1:68">
      <c r="A114" s="210">
        <v>109</v>
      </c>
      <c r="B114" s="207" t="s">
        <v>196</v>
      </c>
      <c r="C114" s="211" t="s">
        <v>196</v>
      </c>
      <c r="D114" s="211" t="s">
        <v>170</v>
      </c>
      <c r="E114" s="211" t="s">
        <v>197</v>
      </c>
      <c r="F114" s="212">
        <v>287.63</v>
      </c>
      <c r="G114" s="213">
        <f t="shared" si="44"/>
        <v>27.9669063176998</v>
      </c>
      <c r="H114" s="213">
        <f t="shared" si="34"/>
        <v>8044.12126416</v>
      </c>
      <c r="I114" s="227">
        <v>3</v>
      </c>
      <c r="J114" s="213">
        <f t="shared" si="45"/>
        <v>2298.412236</v>
      </c>
      <c r="K114" s="213">
        <f t="shared" si="46"/>
        <v>572.632236</v>
      </c>
      <c r="L114" s="207">
        <v>2</v>
      </c>
      <c r="M114" s="213">
        <f t="shared" si="47"/>
        <v>575.26</v>
      </c>
      <c r="N114" s="212">
        <v>1180.740197</v>
      </c>
      <c r="O114" s="213">
        <f t="shared" si="48"/>
        <v>1725.78</v>
      </c>
      <c r="P114" s="213">
        <v>0</v>
      </c>
      <c r="Q114" s="213">
        <f t="shared" si="49"/>
        <v>710.53697016</v>
      </c>
      <c r="R114" s="213">
        <f t="shared" si="50"/>
        <v>0</v>
      </c>
      <c r="S114" s="213">
        <v>0</v>
      </c>
      <c r="T114" s="212">
        <v>0</v>
      </c>
      <c r="U114" s="211">
        <v>0</v>
      </c>
      <c r="V114" s="213"/>
      <c r="W114" s="212">
        <v>0</v>
      </c>
      <c r="X114" s="212">
        <v>286.316118</v>
      </c>
      <c r="Y114" s="213">
        <f t="shared" si="51"/>
        <v>572.632236</v>
      </c>
      <c r="Z114" s="213">
        <f t="shared" si="52"/>
        <v>0</v>
      </c>
      <c r="AA114" s="208">
        <v>0</v>
      </c>
      <c r="AB114" s="228">
        <v>0</v>
      </c>
      <c r="AC114" s="208">
        <v>0</v>
      </c>
      <c r="AD114" s="229">
        <v>0</v>
      </c>
      <c r="AE114" s="212">
        <f t="shared" si="53"/>
        <v>137.90473416</v>
      </c>
      <c r="AF114" s="212">
        <v>0</v>
      </c>
      <c r="AG114" s="212">
        <f t="shared" si="54"/>
        <v>6152.844097</v>
      </c>
      <c r="AH114" s="212">
        <v>0</v>
      </c>
      <c r="AI114" s="212">
        <v>0</v>
      </c>
      <c r="AJ114" s="212">
        <v>6152.844097</v>
      </c>
      <c r="AK114" s="213">
        <f t="shared" si="55"/>
        <v>575.26</v>
      </c>
      <c r="AL114" s="210">
        <f t="shared" si="56"/>
        <v>0</v>
      </c>
      <c r="AM114" s="235">
        <f t="shared" si="39"/>
        <v>0</v>
      </c>
      <c r="AN114" s="235">
        <f t="shared" si="57"/>
        <v>0</v>
      </c>
      <c r="AO114" s="213">
        <f t="shared" si="40"/>
        <v>0.57526</v>
      </c>
      <c r="AP114" s="209">
        <f t="shared" si="58"/>
        <v>0.017976875</v>
      </c>
      <c r="AQ114" s="213">
        <f t="shared" si="41"/>
        <v>0.28763</v>
      </c>
      <c r="AR114" s="209">
        <f t="shared" si="59"/>
        <v>0.00599229166666667</v>
      </c>
      <c r="AS114" s="213">
        <f t="shared" si="60"/>
        <v>0</v>
      </c>
      <c r="AT114" s="211">
        <v>0</v>
      </c>
      <c r="AU114" s="211"/>
      <c r="AV114" s="237">
        <f t="shared" si="43"/>
        <v>0</v>
      </c>
      <c r="AW114" s="213"/>
      <c r="AX114" s="213"/>
      <c r="AY114" s="238"/>
      <c r="AZ114" s="238"/>
      <c r="BA114" s="213"/>
      <c r="BB114" s="238"/>
      <c r="BC114" s="238"/>
      <c r="BD114" s="213"/>
      <c r="BE114" s="213"/>
      <c r="BF114" s="213"/>
      <c r="BG114" s="213"/>
      <c r="BH114" s="213"/>
      <c r="BI114" s="213"/>
      <c r="BJ114" s="211"/>
      <c r="BP114" s="241"/>
    </row>
    <row r="115" s="190" customFormat="1" ht="15" customHeight="1" spans="1:68">
      <c r="A115" s="218">
        <v>110</v>
      </c>
      <c r="B115" s="207" t="s">
        <v>198</v>
      </c>
      <c r="C115" s="211" t="s">
        <v>198</v>
      </c>
      <c r="D115" s="211" t="s">
        <v>196</v>
      </c>
      <c r="E115" s="211" t="s">
        <v>194</v>
      </c>
      <c r="F115" s="212">
        <v>83.58</v>
      </c>
      <c r="G115" s="213">
        <f t="shared" si="44"/>
        <v>6.19456659224695</v>
      </c>
      <c r="H115" s="213">
        <f t="shared" si="34"/>
        <v>517.74187578</v>
      </c>
      <c r="I115" s="211">
        <v>3</v>
      </c>
      <c r="J115" s="213">
        <f t="shared" si="45"/>
        <v>833.897013</v>
      </c>
      <c r="K115" s="213">
        <f t="shared" si="46"/>
        <v>0</v>
      </c>
      <c r="L115" s="207">
        <v>0</v>
      </c>
      <c r="M115" s="213">
        <f t="shared" si="47"/>
        <v>167.16</v>
      </c>
      <c r="N115" s="212">
        <v>0</v>
      </c>
      <c r="O115" s="213">
        <f t="shared" si="48"/>
        <v>501.48</v>
      </c>
      <c r="P115" s="213">
        <v>0</v>
      </c>
      <c r="Q115" s="213">
        <f t="shared" si="49"/>
        <v>50.03382078</v>
      </c>
      <c r="R115" s="213">
        <f t="shared" si="50"/>
        <v>3</v>
      </c>
      <c r="S115" s="213">
        <v>0</v>
      </c>
      <c r="T115" s="212">
        <v>332.417013</v>
      </c>
      <c r="U115" s="211">
        <v>1</v>
      </c>
      <c r="V115" s="213"/>
      <c r="W115" s="212">
        <v>0</v>
      </c>
      <c r="X115" s="212">
        <v>0</v>
      </c>
      <c r="Y115" s="213">
        <f t="shared" si="51"/>
        <v>0</v>
      </c>
      <c r="Z115" s="213">
        <f t="shared" si="52"/>
        <v>67.645521</v>
      </c>
      <c r="AA115" s="208">
        <v>0</v>
      </c>
      <c r="AB115" s="228">
        <v>67.645521</v>
      </c>
      <c r="AC115" s="208">
        <v>0</v>
      </c>
      <c r="AD115" s="229">
        <v>0</v>
      </c>
      <c r="AE115" s="212">
        <f t="shared" si="53"/>
        <v>50.03382078</v>
      </c>
      <c r="AF115" s="212">
        <v>0</v>
      </c>
      <c r="AG115" s="212">
        <f t="shared" si="54"/>
        <v>0</v>
      </c>
      <c r="AH115" s="212">
        <v>0</v>
      </c>
      <c r="AI115" s="212">
        <v>0</v>
      </c>
      <c r="AJ115" s="212">
        <v>0</v>
      </c>
      <c r="AK115" s="213">
        <f t="shared" si="55"/>
        <v>167.16</v>
      </c>
      <c r="AL115" s="210">
        <f t="shared" si="56"/>
        <v>0</v>
      </c>
      <c r="AM115" s="235">
        <f t="shared" si="39"/>
        <v>0</v>
      </c>
      <c r="AN115" s="235">
        <f t="shared" si="57"/>
        <v>0</v>
      </c>
      <c r="AO115" s="213">
        <f t="shared" si="40"/>
        <v>0.16716</v>
      </c>
      <c r="AP115" s="209">
        <f t="shared" si="58"/>
        <v>0.00522375</v>
      </c>
      <c r="AQ115" s="213">
        <f t="shared" si="41"/>
        <v>0.08358</v>
      </c>
      <c r="AR115" s="209">
        <f t="shared" si="59"/>
        <v>0.00174125</v>
      </c>
      <c r="AS115" s="213">
        <f t="shared" si="60"/>
        <v>0.16716</v>
      </c>
      <c r="AT115" s="211">
        <v>0</v>
      </c>
      <c r="AU115" s="211"/>
      <c r="AV115" s="237">
        <f t="shared" si="43"/>
        <v>0</v>
      </c>
      <c r="AW115" s="213"/>
      <c r="AX115" s="213"/>
      <c r="AY115" s="238"/>
      <c r="AZ115" s="238"/>
      <c r="BA115" s="213"/>
      <c r="BB115" s="238"/>
      <c r="BC115" s="238"/>
      <c r="BD115" s="213"/>
      <c r="BE115" s="213"/>
      <c r="BF115" s="213"/>
      <c r="BG115" s="213"/>
      <c r="BH115" s="213"/>
      <c r="BI115" s="213"/>
      <c r="BJ115" s="211"/>
      <c r="BP115" s="241"/>
    </row>
    <row r="116" s="190" customFormat="1" ht="15" customHeight="1" spans="1:68">
      <c r="A116" s="210">
        <v>111</v>
      </c>
      <c r="B116" s="207" t="s">
        <v>199</v>
      </c>
      <c r="C116" s="211" t="s">
        <v>199</v>
      </c>
      <c r="D116" s="211" t="s">
        <v>190</v>
      </c>
      <c r="E116" s="211" t="s">
        <v>192</v>
      </c>
      <c r="F116" s="212">
        <v>115.35</v>
      </c>
      <c r="G116" s="213">
        <f t="shared" si="44"/>
        <v>4.65722135465973</v>
      </c>
      <c r="H116" s="213">
        <f t="shared" si="34"/>
        <v>537.21048326</v>
      </c>
      <c r="I116" s="211">
        <v>3</v>
      </c>
      <c r="J116" s="213">
        <f t="shared" si="45"/>
        <v>1159.726871</v>
      </c>
      <c r="K116" s="213">
        <f t="shared" si="46"/>
        <v>0</v>
      </c>
      <c r="L116" s="207">
        <v>0</v>
      </c>
      <c r="M116" s="213">
        <f t="shared" si="47"/>
        <v>230.7</v>
      </c>
      <c r="N116" s="212">
        <v>0</v>
      </c>
      <c r="O116" s="213">
        <f t="shared" si="48"/>
        <v>692.1</v>
      </c>
      <c r="P116" s="213">
        <v>0</v>
      </c>
      <c r="Q116" s="213">
        <f t="shared" si="49"/>
        <v>69.58361226</v>
      </c>
      <c r="R116" s="213">
        <f t="shared" si="50"/>
        <v>3</v>
      </c>
      <c r="S116" s="213">
        <v>0</v>
      </c>
      <c r="T116" s="212">
        <v>467.626871</v>
      </c>
      <c r="U116" s="211">
        <v>1</v>
      </c>
      <c r="V116" s="213"/>
      <c r="W116" s="212">
        <v>0</v>
      </c>
      <c r="X116" s="212">
        <v>0</v>
      </c>
      <c r="Y116" s="213">
        <f t="shared" si="51"/>
        <v>0</v>
      </c>
      <c r="Z116" s="213">
        <f t="shared" si="52"/>
        <v>0</v>
      </c>
      <c r="AA116" s="208">
        <v>0</v>
      </c>
      <c r="AB116" s="228">
        <v>0</v>
      </c>
      <c r="AC116" s="208">
        <v>0</v>
      </c>
      <c r="AD116" s="229">
        <v>0</v>
      </c>
      <c r="AE116" s="212">
        <f t="shared" si="53"/>
        <v>69.58361226</v>
      </c>
      <c r="AF116" s="212">
        <v>0</v>
      </c>
      <c r="AG116" s="212">
        <f t="shared" si="54"/>
        <v>0</v>
      </c>
      <c r="AH116" s="212">
        <v>0</v>
      </c>
      <c r="AI116" s="212">
        <v>0</v>
      </c>
      <c r="AJ116" s="212">
        <v>0</v>
      </c>
      <c r="AK116" s="213">
        <f t="shared" si="55"/>
        <v>230.7</v>
      </c>
      <c r="AL116" s="210">
        <f t="shared" si="56"/>
        <v>0</v>
      </c>
      <c r="AM116" s="235">
        <f t="shared" si="39"/>
        <v>0</v>
      </c>
      <c r="AN116" s="235">
        <f t="shared" si="57"/>
        <v>0</v>
      </c>
      <c r="AO116" s="213">
        <f t="shared" si="40"/>
        <v>0.2307</v>
      </c>
      <c r="AP116" s="209">
        <f t="shared" si="58"/>
        <v>0.007209375</v>
      </c>
      <c r="AQ116" s="213">
        <f t="shared" si="41"/>
        <v>0.11535</v>
      </c>
      <c r="AR116" s="209">
        <f t="shared" si="59"/>
        <v>0.002403125</v>
      </c>
      <c r="AS116" s="213">
        <f t="shared" si="60"/>
        <v>0.2307</v>
      </c>
      <c r="AT116" s="211">
        <v>0</v>
      </c>
      <c r="AU116" s="211"/>
      <c r="AV116" s="237">
        <f t="shared" si="43"/>
        <v>0</v>
      </c>
      <c r="AW116" s="213"/>
      <c r="AX116" s="213"/>
      <c r="AY116" s="238"/>
      <c r="AZ116" s="238"/>
      <c r="BA116" s="213"/>
      <c r="BB116" s="238"/>
      <c r="BC116" s="238"/>
      <c r="BD116" s="213"/>
      <c r="BE116" s="213"/>
      <c r="BF116" s="213"/>
      <c r="BG116" s="213"/>
      <c r="BH116" s="213"/>
      <c r="BI116" s="213"/>
      <c r="BJ116" s="211"/>
      <c r="BP116" s="241"/>
    </row>
    <row r="117" s="190" customFormat="1" ht="15" customHeight="1" spans="1:68">
      <c r="A117" s="210">
        <v>112</v>
      </c>
      <c r="B117" s="207" t="s">
        <v>200</v>
      </c>
      <c r="C117" s="211" t="s">
        <v>200</v>
      </c>
      <c r="D117" s="211" t="s">
        <v>201</v>
      </c>
      <c r="E117" s="211" t="s">
        <v>202</v>
      </c>
      <c r="F117" s="212">
        <v>1188.98</v>
      </c>
      <c r="G117" s="213">
        <f t="shared" si="44"/>
        <v>6.11173111826944</v>
      </c>
      <c r="H117" s="213">
        <f t="shared" si="34"/>
        <v>7266.726065</v>
      </c>
      <c r="I117" s="211">
        <v>3</v>
      </c>
      <c r="J117" s="213">
        <f t="shared" si="45"/>
        <v>7133.88</v>
      </c>
      <c r="K117" s="213">
        <f t="shared" si="46"/>
        <v>0</v>
      </c>
      <c r="L117" s="207">
        <v>0</v>
      </c>
      <c r="M117" s="213">
        <f t="shared" si="47"/>
        <v>2377.96</v>
      </c>
      <c r="N117" s="212">
        <v>6838.693265</v>
      </c>
      <c r="O117" s="213">
        <f t="shared" si="48"/>
        <v>7133.88</v>
      </c>
      <c r="P117" s="213">
        <v>0</v>
      </c>
      <c r="Q117" s="213">
        <f t="shared" si="49"/>
        <v>428.0328</v>
      </c>
      <c r="R117" s="213">
        <f t="shared" si="50"/>
        <v>0</v>
      </c>
      <c r="S117" s="213">
        <v>0</v>
      </c>
      <c r="T117" s="212">
        <v>0</v>
      </c>
      <c r="U117" s="211">
        <v>0</v>
      </c>
      <c r="V117" s="213"/>
      <c r="W117" s="212">
        <v>0</v>
      </c>
      <c r="X117" s="212">
        <v>0</v>
      </c>
      <c r="Y117" s="213">
        <f t="shared" si="51"/>
        <v>0</v>
      </c>
      <c r="Z117" s="213">
        <f t="shared" si="52"/>
        <v>0</v>
      </c>
      <c r="AA117" s="208">
        <v>0</v>
      </c>
      <c r="AB117" s="228">
        <v>0</v>
      </c>
      <c r="AC117" s="208">
        <v>0</v>
      </c>
      <c r="AD117" s="229">
        <v>0</v>
      </c>
      <c r="AE117" s="212">
        <f t="shared" si="53"/>
        <v>428.0328</v>
      </c>
      <c r="AF117" s="212">
        <v>0</v>
      </c>
      <c r="AG117" s="212">
        <f t="shared" si="54"/>
        <v>0</v>
      </c>
      <c r="AH117" s="212">
        <v>0</v>
      </c>
      <c r="AI117" s="212">
        <v>0</v>
      </c>
      <c r="AJ117" s="212">
        <v>0</v>
      </c>
      <c r="AK117" s="213">
        <f t="shared" si="55"/>
        <v>2377.96</v>
      </c>
      <c r="AL117" s="210">
        <f t="shared" si="56"/>
        <v>0</v>
      </c>
      <c r="AM117" s="235">
        <f t="shared" si="39"/>
        <v>0</v>
      </c>
      <c r="AN117" s="235">
        <f t="shared" si="57"/>
        <v>0</v>
      </c>
      <c r="AO117" s="213">
        <f t="shared" si="40"/>
        <v>2.37796</v>
      </c>
      <c r="AP117" s="209">
        <f t="shared" si="58"/>
        <v>0.07431125</v>
      </c>
      <c r="AQ117" s="213">
        <f t="shared" si="41"/>
        <v>1.18898</v>
      </c>
      <c r="AR117" s="209">
        <f t="shared" si="59"/>
        <v>0.0247704166666667</v>
      </c>
      <c r="AS117" s="213">
        <f t="shared" si="60"/>
        <v>0</v>
      </c>
      <c r="AT117" s="211">
        <v>0</v>
      </c>
      <c r="AU117" s="211"/>
      <c r="AV117" s="237">
        <f t="shared" si="43"/>
        <v>0</v>
      </c>
      <c r="AW117" s="213"/>
      <c r="AX117" s="213"/>
      <c r="AY117" s="238"/>
      <c r="AZ117" s="238"/>
      <c r="BA117" s="213"/>
      <c r="BB117" s="238"/>
      <c r="BC117" s="238"/>
      <c r="BD117" s="213"/>
      <c r="BE117" s="213"/>
      <c r="BF117" s="213"/>
      <c r="BG117" s="213"/>
      <c r="BH117" s="213"/>
      <c r="BI117" s="213"/>
      <c r="BJ117" s="211"/>
      <c r="BP117" s="241"/>
    </row>
    <row r="118" s="190" customFormat="1" ht="15" customHeight="1" spans="1:68">
      <c r="A118" s="218">
        <v>113</v>
      </c>
      <c r="B118" s="207" t="s">
        <v>203</v>
      </c>
      <c r="C118" s="211" t="s">
        <v>203</v>
      </c>
      <c r="D118" s="211" t="s">
        <v>204</v>
      </c>
      <c r="E118" s="211" t="s">
        <v>92</v>
      </c>
      <c r="F118" s="212">
        <v>551.29</v>
      </c>
      <c r="G118" s="213">
        <f t="shared" si="44"/>
        <v>13.5741785228464</v>
      </c>
      <c r="H118" s="213">
        <f t="shared" si="34"/>
        <v>7483.30887786</v>
      </c>
      <c r="I118" s="211">
        <v>3</v>
      </c>
      <c r="J118" s="213">
        <f t="shared" si="45"/>
        <v>5077.326081</v>
      </c>
      <c r="K118" s="213">
        <f t="shared" si="46"/>
        <v>1457.550347</v>
      </c>
      <c r="L118" s="207">
        <v>2</v>
      </c>
      <c r="M118" s="213">
        <f t="shared" si="47"/>
        <v>1102.58</v>
      </c>
      <c r="N118" s="212">
        <v>4364.20386</v>
      </c>
      <c r="O118" s="213">
        <f t="shared" si="48"/>
        <v>3307.74</v>
      </c>
      <c r="P118" s="213">
        <v>0</v>
      </c>
      <c r="Q118" s="213">
        <f t="shared" si="49"/>
        <v>1762.18991186</v>
      </c>
      <c r="R118" s="213">
        <f t="shared" si="50"/>
        <v>3</v>
      </c>
      <c r="S118" s="213">
        <v>0</v>
      </c>
      <c r="T118" s="212">
        <v>312.035734</v>
      </c>
      <c r="U118" s="211">
        <v>1</v>
      </c>
      <c r="V118" s="213"/>
      <c r="W118" s="212">
        <v>1457.550347</v>
      </c>
      <c r="X118" s="212">
        <v>0</v>
      </c>
      <c r="Y118" s="213">
        <f t="shared" si="51"/>
        <v>0</v>
      </c>
      <c r="Z118" s="213">
        <f t="shared" si="52"/>
        <v>230.478698</v>
      </c>
      <c r="AA118" s="208">
        <v>0</v>
      </c>
      <c r="AB118" s="228">
        <v>230.478698</v>
      </c>
      <c r="AC118" s="208">
        <v>0</v>
      </c>
      <c r="AD118" s="229">
        <v>0</v>
      </c>
      <c r="AE118" s="212">
        <f t="shared" si="53"/>
        <v>304.63956486</v>
      </c>
      <c r="AF118" s="212">
        <v>0</v>
      </c>
      <c r="AG118" s="212">
        <f t="shared" si="54"/>
        <v>583.921976</v>
      </c>
      <c r="AH118" s="212">
        <v>0</v>
      </c>
      <c r="AI118" s="212">
        <v>0</v>
      </c>
      <c r="AJ118" s="212">
        <v>583.921976</v>
      </c>
      <c r="AK118" s="213">
        <f t="shared" si="55"/>
        <v>1102.58</v>
      </c>
      <c r="AL118" s="210">
        <f t="shared" si="56"/>
        <v>0</v>
      </c>
      <c r="AM118" s="235">
        <f t="shared" si="39"/>
        <v>0</v>
      </c>
      <c r="AN118" s="235">
        <f t="shared" si="57"/>
        <v>0</v>
      </c>
      <c r="AO118" s="213">
        <f t="shared" si="40"/>
        <v>1.10258</v>
      </c>
      <c r="AP118" s="209">
        <f t="shared" si="58"/>
        <v>0.034455625</v>
      </c>
      <c r="AQ118" s="213">
        <f t="shared" si="41"/>
        <v>0.55129</v>
      </c>
      <c r="AR118" s="209">
        <f t="shared" si="59"/>
        <v>0.0114852083333333</v>
      </c>
      <c r="AS118" s="213">
        <f t="shared" si="60"/>
        <v>1.10258</v>
      </c>
      <c r="AT118" s="211">
        <v>0</v>
      </c>
      <c r="AU118" s="211"/>
      <c r="AV118" s="237">
        <f t="shared" si="43"/>
        <v>0</v>
      </c>
      <c r="AW118" s="213"/>
      <c r="AX118" s="213"/>
      <c r="AY118" s="238"/>
      <c r="AZ118" s="238"/>
      <c r="BA118" s="213"/>
      <c r="BB118" s="238"/>
      <c r="BC118" s="238"/>
      <c r="BD118" s="213"/>
      <c r="BE118" s="213"/>
      <c r="BF118" s="213"/>
      <c r="BG118" s="213"/>
      <c r="BH118" s="213"/>
      <c r="BI118" s="213"/>
      <c r="BJ118" s="211"/>
      <c r="BP118" s="241"/>
    </row>
    <row r="119" s="191" customFormat="1" ht="15" customHeight="1" spans="1:68">
      <c r="A119" s="206">
        <v>114</v>
      </c>
      <c r="B119" s="215" t="s">
        <v>80</v>
      </c>
      <c r="C119" s="215" t="s">
        <v>80</v>
      </c>
      <c r="D119" s="215" t="s">
        <v>143</v>
      </c>
      <c r="E119" s="215" t="s">
        <v>90</v>
      </c>
      <c r="F119" s="216">
        <v>108.12</v>
      </c>
      <c r="G119" s="217">
        <f t="shared" si="44"/>
        <v>52.2935161472438</v>
      </c>
      <c r="H119" s="209">
        <f t="shared" si="34"/>
        <v>5653.97496584</v>
      </c>
      <c r="I119" s="226">
        <v>3</v>
      </c>
      <c r="J119" s="209">
        <f t="shared" si="45"/>
        <v>1280.645914</v>
      </c>
      <c r="K119" s="209">
        <f t="shared" si="46"/>
        <v>631.925914</v>
      </c>
      <c r="L119" s="215">
        <v>2</v>
      </c>
      <c r="M119" s="209">
        <f t="shared" si="47"/>
        <v>216.24</v>
      </c>
      <c r="N119" s="216">
        <v>2949.389612</v>
      </c>
      <c r="O119" s="217">
        <f t="shared" si="48"/>
        <v>648.72</v>
      </c>
      <c r="P119" s="217">
        <v>0</v>
      </c>
      <c r="Q119" s="209">
        <f t="shared" si="49"/>
        <v>708.76466884</v>
      </c>
      <c r="R119" s="209">
        <f t="shared" si="50"/>
        <v>0</v>
      </c>
      <c r="S119" s="209">
        <v>0</v>
      </c>
      <c r="T119" s="216">
        <v>0</v>
      </c>
      <c r="U119" s="215">
        <v>0</v>
      </c>
      <c r="V119" s="217"/>
      <c r="W119" s="216">
        <v>472.176142</v>
      </c>
      <c r="X119" s="216">
        <v>79.874886</v>
      </c>
      <c r="Y119" s="217">
        <f t="shared" si="51"/>
        <v>159.749772</v>
      </c>
      <c r="Z119" s="209">
        <f t="shared" si="52"/>
        <v>0</v>
      </c>
      <c r="AA119" s="216">
        <v>0</v>
      </c>
      <c r="AB119" s="230">
        <v>0</v>
      </c>
      <c r="AC119" s="216">
        <v>0</v>
      </c>
      <c r="AD119" s="231">
        <v>0</v>
      </c>
      <c r="AE119" s="208">
        <f t="shared" si="53"/>
        <v>76.83875484</v>
      </c>
      <c r="AF119" s="216">
        <v>0</v>
      </c>
      <c r="AG119" s="208">
        <f t="shared" si="54"/>
        <v>1995.820685</v>
      </c>
      <c r="AH119" s="216">
        <v>41.528869</v>
      </c>
      <c r="AI119" s="216">
        <v>0</v>
      </c>
      <c r="AJ119" s="216">
        <v>1954.291816</v>
      </c>
      <c r="AK119" s="217">
        <f t="shared" si="55"/>
        <v>216.24</v>
      </c>
      <c r="AL119" s="206">
        <f t="shared" si="56"/>
        <v>0</v>
      </c>
      <c r="AM119" s="235">
        <f t="shared" si="39"/>
        <v>0</v>
      </c>
      <c r="AN119" s="235">
        <f t="shared" si="57"/>
        <v>0</v>
      </c>
      <c r="AO119" s="209">
        <f t="shared" si="40"/>
        <v>0.21624</v>
      </c>
      <c r="AP119" s="209">
        <f t="shared" si="58"/>
        <v>0.0067575</v>
      </c>
      <c r="AQ119" s="209">
        <f t="shared" si="41"/>
        <v>0.10812</v>
      </c>
      <c r="AR119" s="209">
        <f t="shared" si="59"/>
        <v>0.0022525</v>
      </c>
      <c r="AS119" s="209">
        <f t="shared" si="60"/>
        <v>0</v>
      </c>
      <c r="AT119" s="215">
        <v>0</v>
      </c>
      <c r="AU119" s="215"/>
      <c r="AV119" s="237">
        <f t="shared" si="43"/>
        <v>0</v>
      </c>
      <c r="AW119" s="209"/>
      <c r="AX119" s="209"/>
      <c r="AY119" s="237"/>
      <c r="AZ119" s="217"/>
      <c r="BA119" s="209"/>
      <c r="BB119" s="237"/>
      <c r="BC119" s="237"/>
      <c r="BD119" s="217"/>
      <c r="BE119" s="209"/>
      <c r="BF119" s="217"/>
      <c r="BG119" s="209"/>
      <c r="BH119" s="209"/>
      <c r="BI119" s="209"/>
      <c r="BJ119" s="215"/>
      <c r="BP119" s="242"/>
    </row>
    <row r="120" s="191" customFormat="1" ht="15" customHeight="1" spans="1:68">
      <c r="A120" s="206">
        <v>115</v>
      </c>
      <c r="B120" s="215" t="s">
        <v>80</v>
      </c>
      <c r="C120" s="215" t="s">
        <v>80</v>
      </c>
      <c r="D120" s="215" t="s">
        <v>205</v>
      </c>
      <c r="E120" s="215" t="s">
        <v>143</v>
      </c>
      <c r="F120" s="216">
        <v>1447.83</v>
      </c>
      <c r="G120" s="217">
        <f t="shared" si="44"/>
        <v>49.6272749940463</v>
      </c>
      <c r="H120" s="209">
        <f t="shared" si="34"/>
        <v>71851.85755463</v>
      </c>
      <c r="I120" s="226">
        <v>2</v>
      </c>
      <c r="J120" s="209">
        <f t="shared" si="45"/>
        <v>20973.660409</v>
      </c>
      <c r="K120" s="209">
        <f t="shared" si="46"/>
        <v>6659.042045</v>
      </c>
      <c r="L120" s="215">
        <v>2</v>
      </c>
      <c r="M120" s="209">
        <f t="shared" si="47"/>
        <v>2895.66</v>
      </c>
      <c r="N120" s="216">
        <v>28989.79443</v>
      </c>
      <c r="O120" s="217">
        <f t="shared" si="48"/>
        <v>8686.98</v>
      </c>
      <c r="P120" s="217">
        <v>0</v>
      </c>
      <c r="Q120" s="209">
        <f t="shared" si="49"/>
        <v>8127.19827363</v>
      </c>
      <c r="R120" s="209">
        <f t="shared" si="50"/>
        <v>3</v>
      </c>
      <c r="S120" s="209">
        <v>0</v>
      </c>
      <c r="T120" s="216">
        <v>5627.638364</v>
      </c>
      <c r="U120" s="215">
        <v>1</v>
      </c>
      <c r="V120" s="217"/>
      <c r="W120" s="216">
        <v>6513.817409</v>
      </c>
      <c r="X120" s="216">
        <v>72.612318</v>
      </c>
      <c r="Y120" s="217">
        <f t="shared" si="51"/>
        <v>145.224636</v>
      </c>
      <c r="Z120" s="209">
        <f t="shared" si="52"/>
        <v>1429.325943</v>
      </c>
      <c r="AA120" s="216">
        <v>0</v>
      </c>
      <c r="AB120" s="230">
        <v>1429.325943</v>
      </c>
      <c r="AC120" s="216">
        <v>0</v>
      </c>
      <c r="AD120" s="231">
        <v>0</v>
      </c>
      <c r="AE120" s="208">
        <f t="shared" si="53"/>
        <v>1468.15622863</v>
      </c>
      <c r="AF120" s="216">
        <v>0</v>
      </c>
      <c r="AG120" s="208">
        <f t="shared" si="54"/>
        <v>26248.574601</v>
      </c>
      <c r="AH120" s="216">
        <v>2537.283674</v>
      </c>
      <c r="AI120" s="216">
        <v>0</v>
      </c>
      <c r="AJ120" s="216">
        <v>23711.290927</v>
      </c>
      <c r="AK120" s="217">
        <f t="shared" si="55"/>
        <v>2895.66</v>
      </c>
      <c r="AL120" s="206">
        <f t="shared" si="56"/>
        <v>0</v>
      </c>
      <c r="AM120" s="235">
        <f t="shared" si="39"/>
        <v>0</v>
      </c>
      <c r="AN120" s="235">
        <f t="shared" si="57"/>
        <v>0</v>
      </c>
      <c r="AO120" s="209">
        <f t="shared" si="40"/>
        <v>5.79132</v>
      </c>
      <c r="AP120" s="209">
        <f t="shared" si="58"/>
        <v>0.18097875</v>
      </c>
      <c r="AQ120" s="209">
        <f t="shared" si="41"/>
        <v>2.89566</v>
      </c>
      <c r="AR120" s="209">
        <f t="shared" si="59"/>
        <v>0.06032625</v>
      </c>
      <c r="AS120" s="209">
        <f t="shared" si="60"/>
        <v>2.89566</v>
      </c>
      <c r="AT120" s="215">
        <v>0</v>
      </c>
      <c r="AU120" s="215"/>
      <c r="AV120" s="237">
        <f t="shared" si="43"/>
        <v>0</v>
      </c>
      <c r="AW120" s="209"/>
      <c r="AX120" s="209"/>
      <c r="AY120" s="237"/>
      <c r="AZ120" s="217"/>
      <c r="BA120" s="209"/>
      <c r="BB120" s="237"/>
      <c r="BC120" s="237"/>
      <c r="BD120" s="217"/>
      <c r="BE120" s="209"/>
      <c r="BF120" s="217"/>
      <c r="BG120" s="209"/>
      <c r="BH120" s="209"/>
      <c r="BI120" s="209"/>
      <c r="BJ120" s="215"/>
      <c r="BP120" s="242"/>
    </row>
    <row r="121" s="192" customFormat="1" ht="15" customHeight="1" spans="1:68">
      <c r="A121" s="218">
        <v>116</v>
      </c>
      <c r="B121" s="215" t="s">
        <v>80</v>
      </c>
      <c r="C121" s="219" t="s">
        <v>80</v>
      </c>
      <c r="D121" s="219" t="s">
        <v>91</v>
      </c>
      <c r="E121" s="219" t="s">
        <v>92</v>
      </c>
      <c r="F121" s="220">
        <v>424.19</v>
      </c>
      <c r="G121" s="221">
        <f t="shared" si="44"/>
        <v>21.8787405484335</v>
      </c>
      <c r="H121" s="213">
        <f t="shared" si="34"/>
        <v>9280.74295324</v>
      </c>
      <c r="I121" s="227">
        <v>3</v>
      </c>
      <c r="J121" s="213">
        <f t="shared" si="45"/>
        <v>4640.351154</v>
      </c>
      <c r="K121" s="213">
        <f t="shared" si="46"/>
        <v>2095.211154</v>
      </c>
      <c r="L121" s="215">
        <v>2</v>
      </c>
      <c r="M121" s="213">
        <f t="shared" si="47"/>
        <v>848.38</v>
      </c>
      <c r="N121" s="220">
        <v>3818.125903</v>
      </c>
      <c r="O121" s="221">
        <f t="shared" si="48"/>
        <v>2545.14</v>
      </c>
      <c r="P121" s="221">
        <v>0</v>
      </c>
      <c r="Q121" s="213">
        <f t="shared" si="49"/>
        <v>2373.63222324</v>
      </c>
      <c r="R121" s="213">
        <f t="shared" si="50"/>
        <v>0</v>
      </c>
      <c r="S121" s="213">
        <f>T121</f>
        <v>1634.784069</v>
      </c>
      <c r="T121" s="220">
        <v>1634.784069</v>
      </c>
      <c r="U121" s="219">
        <v>0</v>
      </c>
      <c r="V121" s="221"/>
      <c r="W121" s="220">
        <v>394.958993</v>
      </c>
      <c r="X121" s="220">
        <v>32.734046</v>
      </c>
      <c r="Y121" s="221">
        <f t="shared" si="51"/>
        <v>65.468092</v>
      </c>
      <c r="Z121" s="213">
        <f t="shared" si="52"/>
        <v>338.209794</v>
      </c>
      <c r="AA121" s="216">
        <v>0</v>
      </c>
      <c r="AB121" s="230">
        <v>338.209794</v>
      </c>
      <c r="AC121" s="216">
        <v>0</v>
      </c>
      <c r="AD121" s="231">
        <v>0</v>
      </c>
      <c r="AE121" s="212">
        <f t="shared" si="53"/>
        <v>278.42106924</v>
      </c>
      <c r="AF121" s="220">
        <v>0</v>
      </c>
      <c r="AG121" s="212">
        <f t="shared" si="54"/>
        <v>2412.565239</v>
      </c>
      <c r="AH121" s="220">
        <v>0</v>
      </c>
      <c r="AI121" s="220">
        <v>0</v>
      </c>
      <c r="AJ121" s="220">
        <v>2412.565239</v>
      </c>
      <c r="AK121" s="221">
        <f t="shared" si="55"/>
        <v>848.38</v>
      </c>
      <c r="AL121" s="210">
        <f t="shared" si="56"/>
        <v>0</v>
      </c>
      <c r="AM121" s="235">
        <f t="shared" si="39"/>
        <v>0</v>
      </c>
      <c r="AN121" s="235">
        <f t="shared" si="57"/>
        <v>0</v>
      </c>
      <c r="AO121" s="213">
        <f t="shared" si="40"/>
        <v>0.84838</v>
      </c>
      <c r="AP121" s="209">
        <f t="shared" si="58"/>
        <v>0.026511875</v>
      </c>
      <c r="AQ121" s="213">
        <f t="shared" si="41"/>
        <v>0.42419</v>
      </c>
      <c r="AR121" s="209">
        <f t="shared" si="59"/>
        <v>0.00883729166666667</v>
      </c>
      <c r="AS121" s="213">
        <f t="shared" si="60"/>
        <v>0</v>
      </c>
      <c r="AT121" s="219">
        <v>0</v>
      </c>
      <c r="AU121" s="219"/>
      <c r="AV121" s="237">
        <f t="shared" si="43"/>
        <v>0</v>
      </c>
      <c r="AW121" s="213"/>
      <c r="AX121" s="213"/>
      <c r="AY121" s="238"/>
      <c r="AZ121" s="221"/>
      <c r="BA121" s="213"/>
      <c r="BB121" s="238"/>
      <c r="BC121" s="238"/>
      <c r="BD121" s="221"/>
      <c r="BE121" s="213"/>
      <c r="BF121" s="221"/>
      <c r="BG121" s="213"/>
      <c r="BH121" s="213"/>
      <c r="BI121" s="213"/>
      <c r="BJ121" s="219"/>
      <c r="BP121" s="243"/>
    </row>
    <row r="122" s="189" customFormat="1" ht="15" customHeight="1" spans="1:68">
      <c r="A122" s="206">
        <v>117</v>
      </c>
      <c r="B122" s="207" t="s">
        <v>206</v>
      </c>
      <c r="C122" s="207" t="s">
        <v>206</v>
      </c>
      <c r="D122" s="207" t="s">
        <v>80</v>
      </c>
      <c r="E122" s="207" t="s">
        <v>80</v>
      </c>
      <c r="F122" s="208">
        <v>417.57</v>
      </c>
      <c r="G122" s="209">
        <f t="shared" si="44"/>
        <v>10.3581717272793</v>
      </c>
      <c r="H122" s="209">
        <f t="shared" si="34"/>
        <v>4325.26176816</v>
      </c>
      <c r="I122" s="207">
        <v>3</v>
      </c>
      <c r="J122" s="209">
        <f t="shared" si="45"/>
        <v>2570.243836</v>
      </c>
      <c r="K122" s="209">
        <f t="shared" si="46"/>
        <v>64.823836</v>
      </c>
      <c r="L122" s="207">
        <v>2</v>
      </c>
      <c r="M122" s="209">
        <f t="shared" si="47"/>
        <v>835.14</v>
      </c>
      <c r="N122" s="208">
        <v>2687.577342</v>
      </c>
      <c r="O122" s="209">
        <f t="shared" si="48"/>
        <v>2505.42</v>
      </c>
      <c r="P122" s="209">
        <v>0</v>
      </c>
      <c r="Q122" s="209">
        <f t="shared" si="49"/>
        <v>219.03846616</v>
      </c>
      <c r="R122" s="209">
        <f t="shared" si="50"/>
        <v>0</v>
      </c>
      <c r="S122" s="209">
        <v>0</v>
      </c>
      <c r="T122" s="208">
        <v>0</v>
      </c>
      <c r="U122" s="207">
        <v>0</v>
      </c>
      <c r="V122" s="209"/>
      <c r="W122" s="208">
        <v>0</v>
      </c>
      <c r="X122" s="208">
        <v>32.411918</v>
      </c>
      <c r="Y122" s="209">
        <f t="shared" si="51"/>
        <v>64.823836</v>
      </c>
      <c r="Z122" s="209">
        <f t="shared" si="52"/>
        <v>0</v>
      </c>
      <c r="AA122" s="208">
        <v>0</v>
      </c>
      <c r="AB122" s="228">
        <v>0</v>
      </c>
      <c r="AC122" s="208">
        <v>0</v>
      </c>
      <c r="AD122" s="229">
        <v>0</v>
      </c>
      <c r="AE122" s="208">
        <f t="shared" si="53"/>
        <v>154.21463016</v>
      </c>
      <c r="AF122" s="208">
        <v>0</v>
      </c>
      <c r="AG122" s="208">
        <f t="shared" si="54"/>
        <v>1418.64596</v>
      </c>
      <c r="AH122" s="208">
        <v>0</v>
      </c>
      <c r="AI122" s="208">
        <v>0</v>
      </c>
      <c r="AJ122" s="208">
        <v>1418.64596</v>
      </c>
      <c r="AK122" s="209">
        <f t="shared" si="55"/>
        <v>835.14</v>
      </c>
      <c r="AL122" s="206">
        <f t="shared" si="56"/>
        <v>0</v>
      </c>
      <c r="AM122" s="235">
        <f t="shared" si="39"/>
        <v>0</v>
      </c>
      <c r="AN122" s="235">
        <f t="shared" si="57"/>
        <v>0</v>
      </c>
      <c r="AO122" s="209">
        <f t="shared" si="40"/>
        <v>0.83514</v>
      </c>
      <c r="AP122" s="209">
        <f t="shared" si="58"/>
        <v>0.026098125</v>
      </c>
      <c r="AQ122" s="209">
        <f t="shared" si="41"/>
        <v>0.41757</v>
      </c>
      <c r="AR122" s="209">
        <f t="shared" si="59"/>
        <v>0.008699375</v>
      </c>
      <c r="AS122" s="209">
        <f t="shared" si="60"/>
        <v>0</v>
      </c>
      <c r="AT122" s="207">
        <v>0</v>
      </c>
      <c r="AU122" s="207"/>
      <c r="AV122" s="237">
        <f t="shared" si="43"/>
        <v>0</v>
      </c>
      <c r="AW122" s="209"/>
      <c r="AX122" s="209"/>
      <c r="AY122" s="237"/>
      <c r="AZ122" s="237"/>
      <c r="BA122" s="209"/>
      <c r="BB122" s="237"/>
      <c r="BC122" s="237"/>
      <c r="BD122" s="209"/>
      <c r="BE122" s="209"/>
      <c r="BF122" s="209"/>
      <c r="BG122" s="209"/>
      <c r="BH122" s="209"/>
      <c r="BI122" s="209"/>
      <c r="BJ122" s="207"/>
      <c r="BP122" s="240"/>
    </row>
    <row r="123" s="189" customFormat="1" ht="15" customHeight="1" spans="1:68">
      <c r="A123" s="206">
        <v>118</v>
      </c>
      <c r="B123" s="207" t="s">
        <v>169</v>
      </c>
      <c r="C123" s="207" t="s">
        <v>169</v>
      </c>
      <c r="D123" s="207" t="s">
        <v>166</v>
      </c>
      <c r="E123" s="207" t="s">
        <v>80</v>
      </c>
      <c r="F123" s="208">
        <v>576.48</v>
      </c>
      <c r="G123" s="209">
        <f t="shared" si="44"/>
        <v>18.4923065622398</v>
      </c>
      <c r="H123" s="209">
        <f t="shared" si="34"/>
        <v>10660.444887</v>
      </c>
      <c r="I123" s="226">
        <v>3</v>
      </c>
      <c r="J123" s="209">
        <f t="shared" si="45"/>
        <v>3458.88</v>
      </c>
      <c r="K123" s="209">
        <f t="shared" si="46"/>
        <v>0</v>
      </c>
      <c r="L123" s="207">
        <v>0</v>
      </c>
      <c r="M123" s="209">
        <f t="shared" si="47"/>
        <v>1152.96</v>
      </c>
      <c r="N123" s="208">
        <v>10452.912087</v>
      </c>
      <c r="O123" s="209">
        <f t="shared" si="48"/>
        <v>3458.88</v>
      </c>
      <c r="P123" s="209">
        <v>0</v>
      </c>
      <c r="Q123" s="209">
        <f t="shared" si="49"/>
        <v>207.5328</v>
      </c>
      <c r="R123" s="209">
        <f t="shared" si="50"/>
        <v>0</v>
      </c>
      <c r="S123" s="209">
        <v>0</v>
      </c>
      <c r="T123" s="208">
        <v>0</v>
      </c>
      <c r="U123" s="207">
        <v>0</v>
      </c>
      <c r="V123" s="209"/>
      <c r="W123" s="208">
        <v>0</v>
      </c>
      <c r="X123" s="208">
        <v>0</v>
      </c>
      <c r="Y123" s="209">
        <f t="shared" si="51"/>
        <v>0</v>
      </c>
      <c r="Z123" s="209">
        <f t="shared" si="52"/>
        <v>0</v>
      </c>
      <c r="AA123" s="208">
        <v>0</v>
      </c>
      <c r="AB123" s="228">
        <v>0</v>
      </c>
      <c r="AC123" s="208">
        <v>0</v>
      </c>
      <c r="AD123" s="229">
        <v>0</v>
      </c>
      <c r="AE123" s="208">
        <f t="shared" si="53"/>
        <v>207.5328</v>
      </c>
      <c r="AF123" s="208">
        <v>0</v>
      </c>
      <c r="AG123" s="208">
        <f t="shared" si="54"/>
        <v>0</v>
      </c>
      <c r="AH123" s="208">
        <v>0</v>
      </c>
      <c r="AI123" s="208">
        <v>0</v>
      </c>
      <c r="AJ123" s="208">
        <v>0</v>
      </c>
      <c r="AK123" s="209">
        <f t="shared" si="55"/>
        <v>1152.96</v>
      </c>
      <c r="AL123" s="206">
        <f t="shared" si="56"/>
        <v>0</v>
      </c>
      <c r="AM123" s="235">
        <f t="shared" si="39"/>
        <v>0</v>
      </c>
      <c r="AN123" s="235">
        <f t="shared" si="57"/>
        <v>0</v>
      </c>
      <c r="AO123" s="209">
        <f t="shared" si="40"/>
        <v>1.15296</v>
      </c>
      <c r="AP123" s="209">
        <f t="shared" si="58"/>
        <v>0.03603</v>
      </c>
      <c r="AQ123" s="209">
        <f t="shared" si="41"/>
        <v>0.57648</v>
      </c>
      <c r="AR123" s="209">
        <f t="shared" si="59"/>
        <v>0.01201</v>
      </c>
      <c r="AS123" s="209">
        <f t="shared" si="60"/>
        <v>0</v>
      </c>
      <c r="AT123" s="207">
        <v>0</v>
      </c>
      <c r="AU123" s="207"/>
      <c r="AV123" s="237">
        <f t="shared" si="43"/>
        <v>0</v>
      </c>
      <c r="AW123" s="209"/>
      <c r="AX123" s="209"/>
      <c r="AY123" s="237"/>
      <c r="AZ123" s="237"/>
      <c r="BA123" s="209"/>
      <c r="BB123" s="237"/>
      <c r="BC123" s="237"/>
      <c r="BD123" s="209"/>
      <c r="BE123" s="209"/>
      <c r="BF123" s="209"/>
      <c r="BG123" s="209"/>
      <c r="BH123" s="209"/>
      <c r="BI123" s="209"/>
      <c r="BJ123" s="207"/>
      <c r="BP123" s="240"/>
    </row>
    <row r="124" s="190" customFormat="1" ht="15" customHeight="1" spans="1:68">
      <c r="A124" s="218">
        <v>119</v>
      </c>
      <c r="B124" s="207" t="s">
        <v>207</v>
      </c>
      <c r="C124" s="211" t="s">
        <v>207</v>
      </c>
      <c r="D124" s="211" t="s">
        <v>114</v>
      </c>
      <c r="E124" s="211" t="s">
        <v>80</v>
      </c>
      <c r="F124" s="212">
        <v>552.13</v>
      </c>
      <c r="G124" s="213">
        <f t="shared" si="44"/>
        <v>5.0293910564541</v>
      </c>
      <c r="H124" s="213">
        <f t="shared" si="34"/>
        <v>2776.877684</v>
      </c>
      <c r="I124" s="227">
        <v>3</v>
      </c>
      <c r="J124" s="213">
        <f t="shared" si="45"/>
        <v>3312.78</v>
      </c>
      <c r="K124" s="213">
        <f t="shared" si="46"/>
        <v>0</v>
      </c>
      <c r="L124" s="207">
        <v>0</v>
      </c>
      <c r="M124" s="213">
        <f t="shared" si="47"/>
        <v>1104.26</v>
      </c>
      <c r="N124" s="212">
        <v>2578.110884</v>
      </c>
      <c r="O124" s="213">
        <f t="shared" si="48"/>
        <v>3312.78</v>
      </c>
      <c r="P124" s="213">
        <v>0</v>
      </c>
      <c r="Q124" s="213">
        <f t="shared" si="49"/>
        <v>198.7668</v>
      </c>
      <c r="R124" s="213">
        <f t="shared" si="50"/>
        <v>0</v>
      </c>
      <c r="S124" s="213">
        <v>0</v>
      </c>
      <c r="T124" s="212">
        <v>0</v>
      </c>
      <c r="U124" s="211">
        <v>0</v>
      </c>
      <c r="V124" s="213"/>
      <c r="W124" s="212">
        <v>0</v>
      </c>
      <c r="X124" s="212">
        <v>0</v>
      </c>
      <c r="Y124" s="213">
        <f t="shared" si="51"/>
        <v>0</v>
      </c>
      <c r="Z124" s="213">
        <f t="shared" si="52"/>
        <v>0</v>
      </c>
      <c r="AA124" s="208">
        <v>0</v>
      </c>
      <c r="AB124" s="228">
        <v>0</v>
      </c>
      <c r="AC124" s="208">
        <v>0</v>
      </c>
      <c r="AD124" s="229">
        <v>0</v>
      </c>
      <c r="AE124" s="212">
        <f t="shared" si="53"/>
        <v>198.7668</v>
      </c>
      <c r="AF124" s="212">
        <v>0</v>
      </c>
      <c r="AG124" s="212">
        <f t="shared" si="54"/>
        <v>0</v>
      </c>
      <c r="AH124" s="212">
        <v>0</v>
      </c>
      <c r="AI124" s="212">
        <v>0</v>
      </c>
      <c r="AJ124" s="212">
        <v>0</v>
      </c>
      <c r="AK124" s="213">
        <f t="shared" si="55"/>
        <v>1104.26</v>
      </c>
      <c r="AL124" s="210">
        <f t="shared" si="56"/>
        <v>0</v>
      </c>
      <c r="AM124" s="235">
        <f t="shared" si="39"/>
        <v>0</v>
      </c>
      <c r="AN124" s="235">
        <f t="shared" si="57"/>
        <v>0</v>
      </c>
      <c r="AO124" s="213">
        <f t="shared" si="40"/>
        <v>1.10426</v>
      </c>
      <c r="AP124" s="209">
        <f t="shared" si="58"/>
        <v>0.034508125</v>
      </c>
      <c r="AQ124" s="213">
        <f t="shared" si="41"/>
        <v>0.55213</v>
      </c>
      <c r="AR124" s="209">
        <f t="shared" si="59"/>
        <v>0.0115027083333333</v>
      </c>
      <c r="AS124" s="213">
        <f t="shared" si="60"/>
        <v>0</v>
      </c>
      <c r="AT124" s="211">
        <v>0</v>
      </c>
      <c r="AU124" s="211"/>
      <c r="AV124" s="237">
        <f t="shared" si="43"/>
        <v>0</v>
      </c>
      <c r="AW124" s="213"/>
      <c r="AX124" s="213"/>
      <c r="AY124" s="238"/>
      <c r="AZ124" s="238"/>
      <c r="BA124" s="213"/>
      <c r="BB124" s="238"/>
      <c r="BC124" s="238"/>
      <c r="BD124" s="213"/>
      <c r="BE124" s="213"/>
      <c r="BF124" s="213"/>
      <c r="BG124" s="213"/>
      <c r="BH124" s="213"/>
      <c r="BI124" s="213"/>
      <c r="BJ124" s="211"/>
      <c r="BP124" s="241"/>
    </row>
    <row r="125" s="189" customFormat="1" ht="15" customHeight="1" spans="1:68">
      <c r="A125" s="206">
        <v>120</v>
      </c>
      <c r="B125" s="207" t="s">
        <v>202</v>
      </c>
      <c r="C125" s="207" t="s">
        <v>202</v>
      </c>
      <c r="D125" s="207" t="s">
        <v>176</v>
      </c>
      <c r="E125" s="207" t="s">
        <v>80</v>
      </c>
      <c r="F125" s="208">
        <v>489.2</v>
      </c>
      <c r="G125" s="209">
        <f t="shared" si="44"/>
        <v>13.3042986423549</v>
      </c>
      <c r="H125" s="209">
        <f t="shared" si="34"/>
        <v>6508.46289584</v>
      </c>
      <c r="I125" s="207">
        <v>3</v>
      </c>
      <c r="J125" s="209">
        <f t="shared" si="45"/>
        <v>4438.232564</v>
      </c>
      <c r="K125" s="209">
        <f t="shared" si="46"/>
        <v>1503.032564</v>
      </c>
      <c r="L125" s="207">
        <v>0</v>
      </c>
      <c r="M125" s="209">
        <f t="shared" si="47"/>
        <v>978.4</v>
      </c>
      <c r="N125" s="208">
        <v>3558.492523</v>
      </c>
      <c r="O125" s="209">
        <f t="shared" si="48"/>
        <v>2935.2</v>
      </c>
      <c r="P125" s="209">
        <v>0</v>
      </c>
      <c r="Q125" s="209">
        <f t="shared" si="49"/>
        <v>1769.32651784</v>
      </c>
      <c r="R125" s="209">
        <f t="shared" si="50"/>
        <v>0</v>
      </c>
      <c r="S125" s="209">
        <v>0</v>
      </c>
      <c r="T125" s="208">
        <v>0</v>
      </c>
      <c r="U125" s="207">
        <v>0</v>
      </c>
      <c r="V125" s="209"/>
      <c r="W125" s="208">
        <v>1503.032564</v>
      </c>
      <c r="X125" s="208">
        <v>0</v>
      </c>
      <c r="Y125" s="209">
        <f t="shared" si="51"/>
        <v>0</v>
      </c>
      <c r="Z125" s="209">
        <f t="shared" si="52"/>
        <v>0</v>
      </c>
      <c r="AA125" s="208">
        <v>0</v>
      </c>
      <c r="AB125" s="228">
        <v>0</v>
      </c>
      <c r="AC125" s="208">
        <v>0</v>
      </c>
      <c r="AD125" s="229">
        <v>0</v>
      </c>
      <c r="AE125" s="208">
        <f t="shared" si="53"/>
        <v>266.29395384</v>
      </c>
      <c r="AF125" s="208">
        <v>0</v>
      </c>
      <c r="AG125" s="208">
        <f t="shared" si="54"/>
        <v>1180.643855</v>
      </c>
      <c r="AH125" s="208">
        <v>0</v>
      </c>
      <c r="AI125" s="208">
        <v>0</v>
      </c>
      <c r="AJ125" s="208">
        <v>1180.643855</v>
      </c>
      <c r="AK125" s="209">
        <f t="shared" si="55"/>
        <v>978.4</v>
      </c>
      <c r="AL125" s="206">
        <f t="shared" si="56"/>
        <v>0</v>
      </c>
      <c r="AM125" s="235">
        <f t="shared" si="39"/>
        <v>0</v>
      </c>
      <c r="AN125" s="235">
        <f t="shared" si="57"/>
        <v>0</v>
      </c>
      <c r="AO125" s="209">
        <f t="shared" si="40"/>
        <v>0.9784</v>
      </c>
      <c r="AP125" s="209">
        <f t="shared" si="58"/>
        <v>0.030575</v>
      </c>
      <c r="AQ125" s="209">
        <f t="shared" si="41"/>
        <v>0.4892</v>
      </c>
      <c r="AR125" s="209">
        <f t="shared" si="59"/>
        <v>0.0101916666666667</v>
      </c>
      <c r="AS125" s="209">
        <f t="shared" si="60"/>
        <v>0</v>
      </c>
      <c r="AT125" s="207">
        <v>0</v>
      </c>
      <c r="AU125" s="207"/>
      <c r="AV125" s="237">
        <f t="shared" si="43"/>
        <v>0</v>
      </c>
      <c r="AW125" s="209"/>
      <c r="AX125" s="209"/>
      <c r="AY125" s="237"/>
      <c r="AZ125" s="237"/>
      <c r="BA125" s="209"/>
      <c r="BB125" s="237"/>
      <c r="BC125" s="237"/>
      <c r="BD125" s="209"/>
      <c r="BE125" s="209"/>
      <c r="BF125" s="209"/>
      <c r="BG125" s="209"/>
      <c r="BH125" s="209"/>
      <c r="BI125" s="209"/>
      <c r="BJ125" s="207"/>
      <c r="BP125" s="240"/>
    </row>
    <row r="126" s="190" customFormat="1" ht="15" customHeight="1" spans="1:68">
      <c r="A126" s="210">
        <v>121</v>
      </c>
      <c r="B126" s="207" t="s">
        <v>208</v>
      </c>
      <c r="C126" s="211" t="s">
        <v>208</v>
      </c>
      <c r="D126" s="211" t="s">
        <v>144</v>
      </c>
      <c r="E126" s="211" t="s">
        <v>142</v>
      </c>
      <c r="F126" s="212">
        <v>198.58</v>
      </c>
      <c r="G126" s="213">
        <f t="shared" si="44"/>
        <v>27.1659394752744</v>
      </c>
      <c r="H126" s="213">
        <f t="shared" si="34"/>
        <v>5394.612261</v>
      </c>
      <c r="I126" s="211">
        <v>3</v>
      </c>
      <c r="J126" s="213">
        <f t="shared" si="45"/>
        <v>1191.48</v>
      </c>
      <c r="K126" s="213">
        <f t="shared" si="46"/>
        <v>0</v>
      </c>
      <c r="L126" s="207">
        <v>2</v>
      </c>
      <c r="M126" s="213">
        <f t="shared" si="47"/>
        <v>397.16</v>
      </c>
      <c r="N126" s="212">
        <v>2108.741636</v>
      </c>
      <c r="O126" s="213">
        <f t="shared" si="48"/>
        <v>1191.48</v>
      </c>
      <c r="P126" s="213">
        <v>0</v>
      </c>
      <c r="Q126" s="213">
        <f t="shared" si="49"/>
        <v>71.4888</v>
      </c>
      <c r="R126" s="213">
        <f t="shared" si="50"/>
        <v>0</v>
      </c>
      <c r="S126" s="213">
        <v>0</v>
      </c>
      <c r="T126" s="212">
        <v>0</v>
      </c>
      <c r="U126" s="211">
        <v>0</v>
      </c>
      <c r="V126" s="213"/>
      <c r="W126" s="212">
        <v>0</v>
      </c>
      <c r="X126" s="212">
        <v>0</v>
      </c>
      <c r="Y126" s="213">
        <f t="shared" si="51"/>
        <v>0</v>
      </c>
      <c r="Z126" s="213">
        <f t="shared" si="52"/>
        <v>0</v>
      </c>
      <c r="AA126" s="208">
        <v>0</v>
      </c>
      <c r="AB126" s="228">
        <v>0</v>
      </c>
      <c r="AC126" s="208">
        <v>0</v>
      </c>
      <c r="AD126" s="229">
        <v>0</v>
      </c>
      <c r="AE126" s="212">
        <f t="shared" si="53"/>
        <v>71.4888</v>
      </c>
      <c r="AF126" s="212">
        <v>0</v>
      </c>
      <c r="AG126" s="212">
        <f t="shared" si="54"/>
        <v>3214.381825</v>
      </c>
      <c r="AH126" s="212">
        <v>0</v>
      </c>
      <c r="AI126" s="212">
        <v>0</v>
      </c>
      <c r="AJ126" s="212">
        <v>3214.381825</v>
      </c>
      <c r="AK126" s="213">
        <f t="shared" si="55"/>
        <v>397.16</v>
      </c>
      <c r="AL126" s="210">
        <f t="shared" si="56"/>
        <v>0</v>
      </c>
      <c r="AM126" s="235">
        <f t="shared" si="39"/>
        <v>0</v>
      </c>
      <c r="AN126" s="235">
        <f t="shared" si="57"/>
        <v>0</v>
      </c>
      <c r="AO126" s="213">
        <f t="shared" si="40"/>
        <v>0.39716</v>
      </c>
      <c r="AP126" s="209">
        <f t="shared" si="58"/>
        <v>0.01241125</v>
      </c>
      <c r="AQ126" s="213">
        <f t="shared" si="41"/>
        <v>0.19858</v>
      </c>
      <c r="AR126" s="209">
        <f t="shared" si="59"/>
        <v>0.00413708333333333</v>
      </c>
      <c r="AS126" s="213">
        <f t="shared" si="60"/>
        <v>0</v>
      </c>
      <c r="AT126" s="211">
        <v>0</v>
      </c>
      <c r="AU126" s="211"/>
      <c r="AV126" s="237">
        <f t="shared" si="43"/>
        <v>0</v>
      </c>
      <c r="AW126" s="213"/>
      <c r="AX126" s="213"/>
      <c r="AY126" s="238"/>
      <c r="AZ126" s="238"/>
      <c r="BA126" s="213"/>
      <c r="BB126" s="238"/>
      <c r="BC126" s="238"/>
      <c r="BD126" s="213"/>
      <c r="BE126" s="213"/>
      <c r="BF126" s="213"/>
      <c r="BG126" s="213"/>
      <c r="BH126" s="213"/>
      <c r="BI126" s="213"/>
      <c r="BJ126" s="211"/>
      <c r="BP126" s="241"/>
    </row>
    <row r="127" s="190" customFormat="1" ht="15" customHeight="1" spans="1:68">
      <c r="A127" s="218">
        <v>122</v>
      </c>
      <c r="B127" s="207" t="s">
        <v>209</v>
      </c>
      <c r="C127" s="211" t="s">
        <v>209</v>
      </c>
      <c r="D127" s="211" t="s">
        <v>210</v>
      </c>
      <c r="E127" s="211" t="s">
        <v>92</v>
      </c>
      <c r="F127" s="212">
        <v>210.31</v>
      </c>
      <c r="G127" s="213">
        <f t="shared" si="44"/>
        <v>6.7447043079264</v>
      </c>
      <c r="H127" s="213">
        <f t="shared" si="34"/>
        <v>1418.478763</v>
      </c>
      <c r="I127" s="211">
        <v>3</v>
      </c>
      <c r="J127" s="213">
        <f t="shared" si="45"/>
        <v>1261.86</v>
      </c>
      <c r="K127" s="213">
        <f t="shared" si="46"/>
        <v>0</v>
      </c>
      <c r="L127" s="207">
        <v>0</v>
      </c>
      <c r="M127" s="213">
        <f t="shared" si="47"/>
        <v>420.62</v>
      </c>
      <c r="N127" s="212">
        <v>1342.767163</v>
      </c>
      <c r="O127" s="213">
        <f t="shared" si="48"/>
        <v>1261.86</v>
      </c>
      <c r="P127" s="213">
        <v>0</v>
      </c>
      <c r="Q127" s="213">
        <f t="shared" si="49"/>
        <v>75.7116</v>
      </c>
      <c r="R127" s="213">
        <f t="shared" si="50"/>
        <v>0</v>
      </c>
      <c r="S127" s="213">
        <v>0</v>
      </c>
      <c r="T127" s="212">
        <v>0</v>
      </c>
      <c r="U127" s="211">
        <v>0</v>
      </c>
      <c r="V127" s="213"/>
      <c r="W127" s="212">
        <v>0</v>
      </c>
      <c r="X127" s="212">
        <v>0</v>
      </c>
      <c r="Y127" s="213">
        <f t="shared" si="51"/>
        <v>0</v>
      </c>
      <c r="Z127" s="213">
        <f t="shared" si="52"/>
        <v>0</v>
      </c>
      <c r="AA127" s="208">
        <v>0</v>
      </c>
      <c r="AB127" s="228">
        <v>0</v>
      </c>
      <c r="AC127" s="208">
        <v>0</v>
      </c>
      <c r="AD127" s="229">
        <v>0</v>
      </c>
      <c r="AE127" s="212">
        <f t="shared" si="53"/>
        <v>75.7116</v>
      </c>
      <c r="AF127" s="212">
        <v>0</v>
      </c>
      <c r="AG127" s="212">
        <f t="shared" si="54"/>
        <v>0</v>
      </c>
      <c r="AH127" s="212">
        <v>0</v>
      </c>
      <c r="AI127" s="212">
        <v>0</v>
      </c>
      <c r="AJ127" s="212">
        <v>0</v>
      </c>
      <c r="AK127" s="213">
        <f t="shared" si="55"/>
        <v>420.62</v>
      </c>
      <c r="AL127" s="210">
        <f t="shared" si="56"/>
        <v>0</v>
      </c>
      <c r="AM127" s="235">
        <f t="shared" si="39"/>
        <v>0</v>
      </c>
      <c r="AN127" s="235">
        <f t="shared" si="57"/>
        <v>0</v>
      </c>
      <c r="AO127" s="213">
        <f t="shared" si="40"/>
        <v>0.42062</v>
      </c>
      <c r="AP127" s="209">
        <f t="shared" si="58"/>
        <v>0.013144375</v>
      </c>
      <c r="AQ127" s="213">
        <f t="shared" si="41"/>
        <v>0.21031</v>
      </c>
      <c r="AR127" s="209">
        <f t="shared" si="59"/>
        <v>0.00438145833333333</v>
      </c>
      <c r="AS127" s="213">
        <f t="shared" si="60"/>
        <v>0</v>
      </c>
      <c r="AT127" s="211">
        <v>0</v>
      </c>
      <c r="AU127" s="211"/>
      <c r="AV127" s="237">
        <f t="shared" si="43"/>
        <v>0</v>
      </c>
      <c r="AW127" s="213"/>
      <c r="AX127" s="213"/>
      <c r="AY127" s="238"/>
      <c r="AZ127" s="238"/>
      <c r="BA127" s="213"/>
      <c r="BB127" s="238"/>
      <c r="BC127" s="238"/>
      <c r="BD127" s="213"/>
      <c r="BE127" s="213"/>
      <c r="BF127" s="213"/>
      <c r="BG127" s="213"/>
      <c r="BH127" s="213"/>
      <c r="BI127" s="213"/>
      <c r="BJ127" s="211"/>
      <c r="BP127" s="241"/>
    </row>
    <row r="128" s="190" customFormat="1" ht="15" customHeight="1" spans="1:68">
      <c r="A128" s="210">
        <v>123</v>
      </c>
      <c r="B128" s="207" t="s">
        <v>151</v>
      </c>
      <c r="C128" s="211" t="s">
        <v>151</v>
      </c>
      <c r="D128" s="211" t="s">
        <v>211</v>
      </c>
      <c r="E128" s="211" t="s">
        <v>206</v>
      </c>
      <c r="F128" s="212">
        <v>827.97</v>
      </c>
      <c r="G128" s="213">
        <f t="shared" si="44"/>
        <v>9.59367662110946</v>
      </c>
      <c r="H128" s="213">
        <f t="shared" si="34"/>
        <v>7943.27643198</v>
      </c>
      <c r="I128" s="211">
        <v>3</v>
      </c>
      <c r="J128" s="213">
        <f t="shared" si="45"/>
        <v>8952.584083</v>
      </c>
      <c r="K128" s="213">
        <f t="shared" si="46"/>
        <v>3984.764083</v>
      </c>
      <c r="L128" s="207">
        <v>0</v>
      </c>
      <c r="M128" s="213">
        <f t="shared" si="47"/>
        <v>1655.94</v>
      </c>
      <c r="N128" s="212">
        <v>3402.449188</v>
      </c>
      <c r="O128" s="213">
        <f t="shared" si="48"/>
        <v>4967.82</v>
      </c>
      <c r="P128" s="213">
        <v>0</v>
      </c>
      <c r="Q128" s="213">
        <f t="shared" si="49"/>
        <v>4521.91912798</v>
      </c>
      <c r="R128" s="213">
        <f t="shared" si="50"/>
        <v>0</v>
      </c>
      <c r="S128" s="213">
        <v>0</v>
      </c>
      <c r="T128" s="212">
        <v>0</v>
      </c>
      <c r="U128" s="211">
        <v>0</v>
      </c>
      <c r="V128" s="213"/>
      <c r="W128" s="212">
        <v>3984.764083</v>
      </c>
      <c r="X128" s="212">
        <v>0</v>
      </c>
      <c r="Y128" s="213">
        <f t="shared" si="51"/>
        <v>0</v>
      </c>
      <c r="Z128" s="213">
        <f t="shared" si="52"/>
        <v>0</v>
      </c>
      <c r="AA128" s="208">
        <v>0</v>
      </c>
      <c r="AB128" s="228">
        <v>0</v>
      </c>
      <c r="AC128" s="208">
        <v>0</v>
      </c>
      <c r="AD128" s="229">
        <v>0</v>
      </c>
      <c r="AE128" s="212">
        <f t="shared" si="53"/>
        <v>537.15504498</v>
      </c>
      <c r="AF128" s="212">
        <v>0</v>
      </c>
      <c r="AG128" s="212">
        <f t="shared" si="54"/>
        <v>18.908116</v>
      </c>
      <c r="AH128" s="212">
        <v>0</v>
      </c>
      <c r="AI128" s="212">
        <v>0</v>
      </c>
      <c r="AJ128" s="212">
        <v>18.908116</v>
      </c>
      <c r="AK128" s="213">
        <f t="shared" si="55"/>
        <v>1655.94</v>
      </c>
      <c r="AL128" s="210">
        <f t="shared" si="56"/>
        <v>0</v>
      </c>
      <c r="AM128" s="235">
        <f t="shared" si="39"/>
        <v>0</v>
      </c>
      <c r="AN128" s="235">
        <f t="shared" si="57"/>
        <v>0</v>
      </c>
      <c r="AO128" s="213">
        <f t="shared" si="40"/>
        <v>1.65594</v>
      </c>
      <c r="AP128" s="209">
        <f t="shared" si="58"/>
        <v>0.051748125</v>
      </c>
      <c r="AQ128" s="213">
        <f t="shared" si="41"/>
        <v>0.82797</v>
      </c>
      <c r="AR128" s="209">
        <f t="shared" si="59"/>
        <v>0.017249375</v>
      </c>
      <c r="AS128" s="213">
        <f t="shared" si="60"/>
        <v>0</v>
      </c>
      <c r="AT128" s="211">
        <v>0</v>
      </c>
      <c r="AU128" s="211"/>
      <c r="AV128" s="237">
        <f t="shared" si="43"/>
        <v>0</v>
      </c>
      <c r="AW128" s="213"/>
      <c r="AX128" s="213"/>
      <c r="AY128" s="238"/>
      <c r="AZ128" s="238"/>
      <c r="BA128" s="213"/>
      <c r="BB128" s="238"/>
      <c r="BC128" s="238"/>
      <c r="BD128" s="213"/>
      <c r="BE128" s="213"/>
      <c r="BF128" s="213"/>
      <c r="BG128" s="213"/>
      <c r="BH128" s="213"/>
      <c r="BI128" s="213"/>
      <c r="BJ128" s="211"/>
      <c r="BP128" s="241"/>
    </row>
    <row r="129" s="190" customFormat="1" ht="15" customHeight="1" spans="1:68">
      <c r="A129" s="210">
        <v>124</v>
      </c>
      <c r="B129" s="207" t="s">
        <v>212</v>
      </c>
      <c r="C129" s="211" t="s">
        <v>212</v>
      </c>
      <c r="D129" s="211" t="s">
        <v>148</v>
      </c>
      <c r="E129" s="211" t="s">
        <v>213</v>
      </c>
      <c r="F129" s="212">
        <v>310.5</v>
      </c>
      <c r="G129" s="213">
        <f t="shared" si="44"/>
        <v>6.4442708742029</v>
      </c>
      <c r="H129" s="213">
        <f t="shared" si="34"/>
        <v>2000.94610644</v>
      </c>
      <c r="I129" s="211">
        <v>3</v>
      </c>
      <c r="J129" s="213">
        <f t="shared" si="45"/>
        <v>1886.080974</v>
      </c>
      <c r="K129" s="213">
        <f t="shared" si="46"/>
        <v>23.080974</v>
      </c>
      <c r="L129" s="207">
        <v>0</v>
      </c>
      <c r="M129" s="213">
        <f t="shared" si="47"/>
        <v>621</v>
      </c>
      <c r="N129" s="212">
        <v>1476.552636</v>
      </c>
      <c r="O129" s="213">
        <f t="shared" si="48"/>
        <v>1863</v>
      </c>
      <c r="P129" s="213">
        <v>0</v>
      </c>
      <c r="Q129" s="213">
        <f t="shared" si="49"/>
        <v>136.24583244</v>
      </c>
      <c r="R129" s="213">
        <f t="shared" si="50"/>
        <v>0</v>
      </c>
      <c r="S129" s="213">
        <v>0</v>
      </c>
      <c r="T129" s="212">
        <v>0</v>
      </c>
      <c r="U129" s="211">
        <v>0</v>
      </c>
      <c r="V129" s="213"/>
      <c r="W129" s="212">
        <v>23.080974</v>
      </c>
      <c r="X129" s="212">
        <v>0</v>
      </c>
      <c r="Y129" s="213">
        <f t="shared" si="51"/>
        <v>0</v>
      </c>
      <c r="Z129" s="213">
        <f t="shared" si="52"/>
        <v>0</v>
      </c>
      <c r="AA129" s="208">
        <v>0</v>
      </c>
      <c r="AB129" s="228">
        <v>0</v>
      </c>
      <c r="AC129" s="208">
        <v>0</v>
      </c>
      <c r="AD129" s="229">
        <v>0</v>
      </c>
      <c r="AE129" s="212">
        <f t="shared" si="53"/>
        <v>113.16485844</v>
      </c>
      <c r="AF129" s="212">
        <v>0</v>
      </c>
      <c r="AG129" s="212">
        <f t="shared" si="54"/>
        <v>388.147638</v>
      </c>
      <c r="AH129" s="212">
        <v>0</v>
      </c>
      <c r="AI129" s="212">
        <v>0</v>
      </c>
      <c r="AJ129" s="212">
        <v>388.147638</v>
      </c>
      <c r="AK129" s="213">
        <f t="shared" si="55"/>
        <v>621</v>
      </c>
      <c r="AL129" s="210">
        <f t="shared" si="56"/>
        <v>0</v>
      </c>
      <c r="AM129" s="235">
        <f t="shared" si="39"/>
        <v>0</v>
      </c>
      <c r="AN129" s="235">
        <f t="shared" si="57"/>
        <v>0</v>
      </c>
      <c r="AO129" s="213">
        <f t="shared" si="40"/>
        <v>0.621</v>
      </c>
      <c r="AP129" s="209">
        <f t="shared" si="58"/>
        <v>0.01940625</v>
      </c>
      <c r="AQ129" s="213">
        <f t="shared" si="41"/>
        <v>0.3105</v>
      </c>
      <c r="AR129" s="209">
        <f t="shared" si="59"/>
        <v>0.00646875</v>
      </c>
      <c r="AS129" s="213">
        <f t="shared" si="60"/>
        <v>0</v>
      </c>
      <c r="AT129" s="211">
        <v>0</v>
      </c>
      <c r="AU129" s="211"/>
      <c r="AV129" s="237">
        <f t="shared" si="43"/>
        <v>0</v>
      </c>
      <c r="AW129" s="213"/>
      <c r="AX129" s="213"/>
      <c r="AY129" s="238"/>
      <c r="AZ129" s="238"/>
      <c r="BA129" s="213"/>
      <c r="BB129" s="238"/>
      <c r="BC129" s="238"/>
      <c r="BD129" s="213"/>
      <c r="BE129" s="213"/>
      <c r="BF129" s="213"/>
      <c r="BG129" s="213"/>
      <c r="BH129" s="213"/>
      <c r="BI129" s="213"/>
      <c r="BJ129" s="211"/>
      <c r="BP129" s="241"/>
    </row>
    <row r="130" s="191" customFormat="1" ht="15" customHeight="1" spans="1:68">
      <c r="A130" s="214">
        <v>125</v>
      </c>
      <c r="B130" s="215" t="s">
        <v>90</v>
      </c>
      <c r="C130" s="215" t="s">
        <v>214</v>
      </c>
      <c r="D130" s="215"/>
      <c r="E130" s="215"/>
      <c r="F130" s="216">
        <v>34.72</v>
      </c>
      <c r="G130" s="217">
        <f t="shared" si="44"/>
        <v>23.1052194988479</v>
      </c>
      <c r="H130" s="209">
        <f t="shared" si="34"/>
        <v>802.213221</v>
      </c>
      <c r="I130" s="215">
        <v>3</v>
      </c>
      <c r="J130" s="209">
        <f t="shared" si="45"/>
        <v>208.32</v>
      </c>
      <c r="K130" s="209">
        <f t="shared" si="46"/>
        <v>0</v>
      </c>
      <c r="L130" s="215">
        <v>0</v>
      </c>
      <c r="M130" s="209">
        <f t="shared" si="47"/>
        <v>69.44</v>
      </c>
      <c r="N130" s="216">
        <v>789.714021</v>
      </c>
      <c r="O130" s="217">
        <f t="shared" si="48"/>
        <v>208.32</v>
      </c>
      <c r="P130" s="217">
        <v>0</v>
      </c>
      <c r="Q130" s="209">
        <f t="shared" si="49"/>
        <v>12.4992</v>
      </c>
      <c r="R130" s="209">
        <f t="shared" si="50"/>
        <v>0</v>
      </c>
      <c r="S130" s="209">
        <v>0</v>
      </c>
      <c r="T130" s="216">
        <v>0</v>
      </c>
      <c r="U130" s="215">
        <v>0</v>
      </c>
      <c r="V130" s="217"/>
      <c r="W130" s="216">
        <v>0</v>
      </c>
      <c r="X130" s="216">
        <v>0</v>
      </c>
      <c r="Y130" s="217">
        <f t="shared" si="51"/>
        <v>0</v>
      </c>
      <c r="Z130" s="209">
        <f t="shared" si="52"/>
        <v>0</v>
      </c>
      <c r="AA130" s="216">
        <v>0</v>
      </c>
      <c r="AB130" s="230">
        <v>0</v>
      </c>
      <c r="AC130" s="216">
        <v>0</v>
      </c>
      <c r="AD130" s="231">
        <v>0</v>
      </c>
      <c r="AE130" s="208">
        <f t="shared" si="53"/>
        <v>12.4992</v>
      </c>
      <c r="AF130" s="216">
        <v>0</v>
      </c>
      <c r="AG130" s="208">
        <f t="shared" si="54"/>
        <v>0</v>
      </c>
      <c r="AH130" s="216">
        <v>0</v>
      </c>
      <c r="AI130" s="216">
        <v>0</v>
      </c>
      <c r="AJ130" s="216">
        <v>0</v>
      </c>
      <c r="AK130" s="217">
        <f t="shared" si="55"/>
        <v>69.44</v>
      </c>
      <c r="AL130" s="206">
        <f t="shared" si="56"/>
        <v>0</v>
      </c>
      <c r="AM130" s="235">
        <f t="shared" si="39"/>
        <v>0</v>
      </c>
      <c r="AN130" s="235">
        <f t="shared" si="57"/>
        <v>0</v>
      </c>
      <c r="AO130" s="209">
        <f t="shared" si="40"/>
        <v>0.06944</v>
      </c>
      <c r="AP130" s="209">
        <f t="shared" si="58"/>
        <v>0.00217</v>
      </c>
      <c r="AQ130" s="209">
        <f t="shared" si="41"/>
        <v>0.03472</v>
      </c>
      <c r="AR130" s="209">
        <f t="shared" si="59"/>
        <v>0.000723333333333333</v>
      </c>
      <c r="AS130" s="209">
        <f t="shared" si="60"/>
        <v>0</v>
      </c>
      <c r="AT130" s="215">
        <v>0</v>
      </c>
      <c r="AU130" s="215"/>
      <c r="AV130" s="237">
        <f t="shared" si="43"/>
        <v>0</v>
      </c>
      <c r="AW130" s="209"/>
      <c r="AX130" s="209"/>
      <c r="AY130" s="237"/>
      <c r="AZ130" s="217"/>
      <c r="BA130" s="209"/>
      <c r="BB130" s="237"/>
      <c r="BC130" s="237"/>
      <c r="BD130" s="217"/>
      <c r="BE130" s="209"/>
      <c r="BF130" s="217"/>
      <c r="BG130" s="209"/>
      <c r="BH130" s="209"/>
      <c r="BI130" s="209"/>
      <c r="BJ130" s="215"/>
      <c r="BP130" s="242"/>
    </row>
    <row r="131" s="191" customFormat="1" ht="15" customHeight="1" spans="1:68">
      <c r="A131" s="206">
        <v>126</v>
      </c>
      <c r="B131" s="215" t="s">
        <v>90</v>
      </c>
      <c r="C131" s="215" t="s">
        <v>90</v>
      </c>
      <c r="D131" s="215" t="s">
        <v>114</v>
      </c>
      <c r="E131" s="215" t="s">
        <v>86</v>
      </c>
      <c r="F131" s="216">
        <v>492.54</v>
      </c>
      <c r="G131" s="217">
        <f t="shared" si="44"/>
        <v>53.2105341718439</v>
      </c>
      <c r="H131" s="209">
        <f t="shared" si="34"/>
        <v>26208.316501</v>
      </c>
      <c r="I131" s="215">
        <v>3</v>
      </c>
      <c r="J131" s="209">
        <f t="shared" si="45"/>
        <v>2955.24</v>
      </c>
      <c r="K131" s="209">
        <f t="shared" si="46"/>
        <v>0</v>
      </c>
      <c r="L131" s="215">
        <v>2</v>
      </c>
      <c r="M131" s="209">
        <f t="shared" si="47"/>
        <v>985.08</v>
      </c>
      <c r="N131" s="216">
        <v>8225.742003</v>
      </c>
      <c r="O131" s="217">
        <f t="shared" si="48"/>
        <v>2955.24</v>
      </c>
      <c r="P131" s="217">
        <v>0</v>
      </c>
      <c r="Q131" s="209">
        <f t="shared" si="49"/>
        <v>177.3144</v>
      </c>
      <c r="R131" s="209">
        <f t="shared" si="50"/>
        <v>0</v>
      </c>
      <c r="S131" s="209">
        <v>0</v>
      </c>
      <c r="T131" s="216">
        <v>0</v>
      </c>
      <c r="U131" s="215">
        <v>0</v>
      </c>
      <c r="V131" s="217"/>
      <c r="W131" s="216">
        <v>0</v>
      </c>
      <c r="X131" s="216">
        <v>0</v>
      </c>
      <c r="Y131" s="217">
        <f t="shared" si="51"/>
        <v>0</v>
      </c>
      <c r="Z131" s="209">
        <f t="shared" si="52"/>
        <v>210.853923</v>
      </c>
      <c r="AA131" s="216">
        <v>0</v>
      </c>
      <c r="AB131" s="230">
        <v>0</v>
      </c>
      <c r="AC131" s="216">
        <v>0</v>
      </c>
      <c r="AD131" s="231">
        <v>210.853923</v>
      </c>
      <c r="AE131" s="208">
        <f t="shared" si="53"/>
        <v>177.3144</v>
      </c>
      <c r="AF131" s="216">
        <v>1580.420638</v>
      </c>
      <c r="AG131" s="208">
        <f t="shared" si="54"/>
        <v>15803.131614</v>
      </c>
      <c r="AH131" s="216">
        <v>0</v>
      </c>
      <c r="AI131" s="216">
        <v>0</v>
      </c>
      <c r="AJ131" s="216">
        <v>15803.131614</v>
      </c>
      <c r="AK131" s="217">
        <f t="shared" si="55"/>
        <v>985.08</v>
      </c>
      <c r="AL131" s="206">
        <f t="shared" si="56"/>
        <v>0</v>
      </c>
      <c r="AM131" s="235">
        <f t="shared" si="39"/>
        <v>0</v>
      </c>
      <c r="AN131" s="235">
        <f t="shared" si="57"/>
        <v>0</v>
      </c>
      <c r="AO131" s="209">
        <f t="shared" si="40"/>
        <v>0.98508</v>
      </c>
      <c r="AP131" s="209">
        <f t="shared" si="58"/>
        <v>0.03078375</v>
      </c>
      <c r="AQ131" s="209">
        <f t="shared" si="41"/>
        <v>0.49254</v>
      </c>
      <c r="AR131" s="209">
        <f t="shared" si="59"/>
        <v>0.01026125</v>
      </c>
      <c r="AS131" s="209">
        <f t="shared" si="60"/>
        <v>0</v>
      </c>
      <c r="AT131" s="215">
        <v>0</v>
      </c>
      <c r="AU131" s="215"/>
      <c r="AV131" s="237">
        <f t="shared" si="43"/>
        <v>0</v>
      </c>
      <c r="AW131" s="209"/>
      <c r="AX131" s="209"/>
      <c r="AY131" s="237"/>
      <c r="AZ131" s="217"/>
      <c r="BA131" s="209"/>
      <c r="BB131" s="237"/>
      <c r="BC131" s="237"/>
      <c r="BD131" s="217"/>
      <c r="BE131" s="209"/>
      <c r="BF131" s="217"/>
      <c r="BG131" s="209"/>
      <c r="BH131" s="209"/>
      <c r="BI131" s="209"/>
      <c r="BJ131" s="215"/>
      <c r="BP131" s="242"/>
    </row>
    <row r="132" s="191" customFormat="1" ht="15" customHeight="1" spans="1:68">
      <c r="A132" s="206">
        <v>127</v>
      </c>
      <c r="B132" s="215" t="s">
        <v>90</v>
      </c>
      <c r="C132" s="215" t="s">
        <v>90</v>
      </c>
      <c r="D132" s="215" t="s">
        <v>215</v>
      </c>
      <c r="E132" s="215" t="s">
        <v>114</v>
      </c>
      <c r="F132" s="216">
        <v>233.11</v>
      </c>
      <c r="G132" s="217">
        <f t="shared" si="44"/>
        <v>58.2813282086569</v>
      </c>
      <c r="H132" s="209">
        <f t="shared" si="34"/>
        <v>13585.96041872</v>
      </c>
      <c r="I132" s="215">
        <v>3</v>
      </c>
      <c r="J132" s="209">
        <f t="shared" si="45"/>
        <v>2481.862712</v>
      </c>
      <c r="K132" s="209">
        <f t="shared" si="46"/>
        <v>464.318712</v>
      </c>
      <c r="L132" s="215">
        <v>2</v>
      </c>
      <c r="M132" s="209">
        <f t="shared" si="47"/>
        <v>466.22</v>
      </c>
      <c r="N132" s="216">
        <v>3440.309175</v>
      </c>
      <c r="O132" s="217">
        <f t="shared" si="48"/>
        <v>1398.66</v>
      </c>
      <c r="P132" s="217">
        <v>0</v>
      </c>
      <c r="Q132" s="209">
        <f t="shared" si="49"/>
        <v>613.23047472</v>
      </c>
      <c r="R132" s="209">
        <f t="shared" si="50"/>
        <v>3</v>
      </c>
      <c r="S132" s="209">
        <v>0</v>
      </c>
      <c r="T132" s="216">
        <v>618.884</v>
      </c>
      <c r="U132" s="215">
        <v>1</v>
      </c>
      <c r="V132" s="217"/>
      <c r="W132" s="216">
        <v>364.650374</v>
      </c>
      <c r="X132" s="216">
        <v>49.834169</v>
      </c>
      <c r="Y132" s="217">
        <f t="shared" si="51"/>
        <v>99.668338</v>
      </c>
      <c r="Z132" s="209">
        <f t="shared" si="52"/>
        <v>165.662872</v>
      </c>
      <c r="AA132" s="216">
        <v>0</v>
      </c>
      <c r="AB132" s="230">
        <v>165.662872</v>
      </c>
      <c r="AC132" s="216">
        <v>0</v>
      </c>
      <c r="AD132" s="231">
        <v>0</v>
      </c>
      <c r="AE132" s="208">
        <f t="shared" si="53"/>
        <v>148.91176272</v>
      </c>
      <c r="AF132" s="216">
        <v>0</v>
      </c>
      <c r="AG132" s="208">
        <f t="shared" si="54"/>
        <v>8582.211025</v>
      </c>
      <c r="AH132" s="216">
        <v>0</v>
      </c>
      <c r="AI132" s="216">
        <v>0</v>
      </c>
      <c r="AJ132" s="216">
        <v>8582.211025</v>
      </c>
      <c r="AK132" s="217">
        <f t="shared" si="55"/>
        <v>466.22</v>
      </c>
      <c r="AL132" s="206">
        <f t="shared" si="56"/>
        <v>0</v>
      </c>
      <c r="AM132" s="235">
        <f t="shared" si="39"/>
        <v>0</v>
      </c>
      <c r="AN132" s="235">
        <f t="shared" si="57"/>
        <v>0</v>
      </c>
      <c r="AO132" s="209">
        <f t="shared" si="40"/>
        <v>0.46622</v>
      </c>
      <c r="AP132" s="209">
        <f t="shared" si="58"/>
        <v>0.014569375</v>
      </c>
      <c r="AQ132" s="209">
        <f t="shared" si="41"/>
        <v>0.23311</v>
      </c>
      <c r="AR132" s="209">
        <f t="shared" si="59"/>
        <v>0.00485645833333333</v>
      </c>
      <c r="AS132" s="209">
        <f t="shared" si="60"/>
        <v>0.46622</v>
      </c>
      <c r="AT132" s="215">
        <v>0</v>
      </c>
      <c r="AU132" s="215"/>
      <c r="AV132" s="237">
        <f t="shared" si="43"/>
        <v>0</v>
      </c>
      <c r="AW132" s="209"/>
      <c r="AX132" s="209"/>
      <c r="AY132" s="237"/>
      <c r="AZ132" s="217"/>
      <c r="BA132" s="209"/>
      <c r="BB132" s="237"/>
      <c r="BC132" s="237"/>
      <c r="BD132" s="217"/>
      <c r="BE132" s="209"/>
      <c r="BF132" s="217"/>
      <c r="BG132" s="209"/>
      <c r="BH132" s="209"/>
      <c r="BI132" s="209"/>
      <c r="BJ132" s="215"/>
      <c r="BP132" s="242"/>
    </row>
    <row r="133" s="191" customFormat="1" ht="15" customHeight="1" spans="1:68">
      <c r="A133" s="214">
        <v>128</v>
      </c>
      <c r="B133" s="215" t="s">
        <v>87</v>
      </c>
      <c r="C133" s="215" t="s">
        <v>216</v>
      </c>
      <c r="D133" s="215"/>
      <c r="E133" s="215"/>
      <c r="F133" s="216">
        <v>32.54</v>
      </c>
      <c r="G133" s="217">
        <f t="shared" si="44"/>
        <v>30.4781918869084</v>
      </c>
      <c r="H133" s="209">
        <f t="shared" si="34"/>
        <v>991.760364</v>
      </c>
      <c r="I133" s="215">
        <v>3</v>
      </c>
      <c r="J133" s="209">
        <f t="shared" si="45"/>
        <v>195.24</v>
      </c>
      <c r="K133" s="209">
        <f t="shared" si="46"/>
        <v>0</v>
      </c>
      <c r="L133" s="215">
        <v>0</v>
      </c>
      <c r="M133" s="209">
        <f t="shared" si="47"/>
        <v>65.08</v>
      </c>
      <c r="N133" s="216">
        <v>980.045964</v>
      </c>
      <c r="O133" s="217">
        <f t="shared" si="48"/>
        <v>195.24</v>
      </c>
      <c r="P133" s="217">
        <v>0</v>
      </c>
      <c r="Q133" s="209">
        <f t="shared" si="49"/>
        <v>11.7144</v>
      </c>
      <c r="R133" s="209">
        <f t="shared" si="50"/>
        <v>0</v>
      </c>
      <c r="S133" s="209">
        <v>0</v>
      </c>
      <c r="T133" s="216">
        <v>0</v>
      </c>
      <c r="U133" s="215">
        <v>0</v>
      </c>
      <c r="V133" s="217"/>
      <c r="W133" s="216">
        <v>0</v>
      </c>
      <c r="X133" s="216">
        <v>0</v>
      </c>
      <c r="Y133" s="217">
        <f t="shared" si="51"/>
        <v>0</v>
      </c>
      <c r="Z133" s="209">
        <f t="shared" si="52"/>
        <v>0</v>
      </c>
      <c r="AA133" s="216">
        <v>0</v>
      </c>
      <c r="AB133" s="230">
        <v>0</v>
      </c>
      <c r="AC133" s="216">
        <v>0</v>
      </c>
      <c r="AD133" s="231">
        <v>0</v>
      </c>
      <c r="AE133" s="208">
        <f t="shared" si="53"/>
        <v>11.7144</v>
      </c>
      <c r="AF133" s="216">
        <v>0</v>
      </c>
      <c r="AG133" s="208">
        <f t="shared" si="54"/>
        <v>0</v>
      </c>
      <c r="AH133" s="216">
        <v>0</v>
      </c>
      <c r="AI133" s="216">
        <v>0</v>
      </c>
      <c r="AJ133" s="216">
        <v>0</v>
      </c>
      <c r="AK133" s="217">
        <f t="shared" si="55"/>
        <v>65.08</v>
      </c>
      <c r="AL133" s="206">
        <f t="shared" si="56"/>
        <v>0</v>
      </c>
      <c r="AM133" s="235">
        <f t="shared" si="39"/>
        <v>0</v>
      </c>
      <c r="AN133" s="235">
        <f t="shared" si="57"/>
        <v>0</v>
      </c>
      <c r="AO133" s="209">
        <f t="shared" si="40"/>
        <v>0.06508</v>
      </c>
      <c r="AP133" s="209">
        <f t="shared" si="58"/>
        <v>0.00203375</v>
      </c>
      <c r="AQ133" s="209">
        <f t="shared" si="41"/>
        <v>0.03254</v>
      </c>
      <c r="AR133" s="209">
        <f t="shared" si="59"/>
        <v>0.000677916666666667</v>
      </c>
      <c r="AS133" s="209">
        <f t="shared" si="60"/>
        <v>0</v>
      </c>
      <c r="AT133" s="215">
        <v>0</v>
      </c>
      <c r="AU133" s="215" t="s">
        <v>89</v>
      </c>
      <c r="AV133" s="237">
        <f t="shared" si="43"/>
        <v>0</v>
      </c>
      <c r="AW133" s="209"/>
      <c r="AX133" s="209"/>
      <c r="AY133" s="237"/>
      <c r="AZ133" s="217"/>
      <c r="BA133" s="209"/>
      <c r="BB133" s="237"/>
      <c r="BC133" s="237"/>
      <c r="BD133" s="217"/>
      <c r="BE133" s="209"/>
      <c r="BF133" s="217"/>
      <c r="BG133" s="209"/>
      <c r="BH133" s="209"/>
      <c r="BI133" s="209"/>
      <c r="BJ133" s="215"/>
      <c r="BP133" s="242"/>
    </row>
    <row r="134" s="191" customFormat="1" ht="15" customHeight="1" spans="1:68">
      <c r="A134" s="206">
        <v>129</v>
      </c>
      <c r="B134" s="215" t="s">
        <v>87</v>
      </c>
      <c r="C134" s="215" t="s">
        <v>87</v>
      </c>
      <c r="D134" s="215" t="s">
        <v>86</v>
      </c>
      <c r="E134" s="215" t="s">
        <v>217</v>
      </c>
      <c r="F134" s="216">
        <v>469.34</v>
      </c>
      <c r="G134" s="217">
        <f t="shared" si="44"/>
        <v>35.4247375782588</v>
      </c>
      <c r="H134" s="209">
        <f t="shared" si="34"/>
        <v>16626.24633498</v>
      </c>
      <c r="I134" s="215">
        <v>3</v>
      </c>
      <c r="J134" s="209">
        <f t="shared" si="45"/>
        <v>5169.443783</v>
      </c>
      <c r="K134" s="209">
        <f t="shared" si="46"/>
        <v>2054.233204</v>
      </c>
      <c r="L134" s="215">
        <v>2</v>
      </c>
      <c r="M134" s="209">
        <f t="shared" si="47"/>
        <v>938.68</v>
      </c>
      <c r="N134" s="216">
        <v>9158.358142</v>
      </c>
      <c r="O134" s="217">
        <f t="shared" si="48"/>
        <v>2816.04</v>
      </c>
      <c r="P134" s="217">
        <v>0</v>
      </c>
      <c r="Q134" s="209">
        <f t="shared" si="49"/>
        <v>2364.39983098</v>
      </c>
      <c r="R134" s="209">
        <f t="shared" si="50"/>
        <v>3</v>
      </c>
      <c r="S134" s="209">
        <v>0</v>
      </c>
      <c r="T134" s="216">
        <v>299.170579</v>
      </c>
      <c r="U134" s="215">
        <v>1</v>
      </c>
      <c r="V134" s="217"/>
      <c r="W134" s="216">
        <v>1869.113444</v>
      </c>
      <c r="X134" s="216">
        <v>92.55988</v>
      </c>
      <c r="Y134" s="217">
        <f t="shared" si="51"/>
        <v>185.11976</v>
      </c>
      <c r="Z134" s="209">
        <f t="shared" si="52"/>
        <v>132.952974</v>
      </c>
      <c r="AA134" s="216">
        <v>24.689471</v>
      </c>
      <c r="AB134" s="230">
        <v>108.263503</v>
      </c>
      <c r="AC134" s="216">
        <v>0</v>
      </c>
      <c r="AD134" s="231">
        <v>0</v>
      </c>
      <c r="AE134" s="208">
        <f t="shared" si="53"/>
        <v>310.16662698</v>
      </c>
      <c r="AF134" s="216">
        <v>0</v>
      </c>
      <c r="AG134" s="208">
        <f t="shared" si="54"/>
        <v>4538.411835</v>
      </c>
      <c r="AH134" s="216">
        <v>0</v>
      </c>
      <c r="AI134" s="216">
        <v>0</v>
      </c>
      <c r="AJ134" s="216">
        <v>4538.411835</v>
      </c>
      <c r="AK134" s="217">
        <f t="shared" si="55"/>
        <v>938.68</v>
      </c>
      <c r="AL134" s="206">
        <f t="shared" si="56"/>
        <v>0</v>
      </c>
      <c r="AM134" s="235">
        <f t="shared" si="39"/>
        <v>0</v>
      </c>
      <c r="AN134" s="235">
        <f t="shared" si="57"/>
        <v>0</v>
      </c>
      <c r="AO134" s="209">
        <f t="shared" si="40"/>
        <v>0.93868</v>
      </c>
      <c r="AP134" s="209">
        <f t="shared" si="58"/>
        <v>0.02933375</v>
      </c>
      <c r="AQ134" s="209">
        <f t="shared" si="41"/>
        <v>0.46934</v>
      </c>
      <c r="AR134" s="209">
        <f t="shared" si="59"/>
        <v>0.00977791666666667</v>
      </c>
      <c r="AS134" s="209">
        <f t="shared" si="60"/>
        <v>0.93868</v>
      </c>
      <c r="AT134" s="215">
        <v>2</v>
      </c>
      <c r="AU134" s="215" t="s">
        <v>89</v>
      </c>
      <c r="AV134" s="237">
        <f t="shared" si="43"/>
        <v>0</v>
      </c>
      <c r="AW134" s="209"/>
      <c r="AX134" s="209"/>
      <c r="AY134" s="237"/>
      <c r="AZ134" s="217"/>
      <c r="BA134" s="209"/>
      <c r="BB134" s="237"/>
      <c r="BC134" s="237"/>
      <c r="BD134" s="217"/>
      <c r="BE134" s="209"/>
      <c r="BF134" s="217"/>
      <c r="BG134" s="209"/>
      <c r="BH134" s="209"/>
      <c r="BI134" s="209"/>
      <c r="BJ134" s="215"/>
      <c r="BP134" s="242"/>
    </row>
    <row r="135" s="191" customFormat="1" ht="15" customHeight="1" spans="1:68">
      <c r="A135" s="206">
        <v>130</v>
      </c>
      <c r="B135" s="215" t="s">
        <v>218</v>
      </c>
      <c r="C135" s="215" t="s">
        <v>218</v>
      </c>
      <c r="D135" s="215" t="s">
        <v>219</v>
      </c>
      <c r="E135" s="215" t="s">
        <v>87</v>
      </c>
      <c r="F135" s="216">
        <v>404.57</v>
      </c>
      <c r="G135" s="217">
        <f t="shared" si="44"/>
        <v>32.7211862325432</v>
      </c>
      <c r="H135" s="209">
        <f t="shared" ref="H135:H198" si="61">N135+T135+W135+Y135+AE135+AF135+AG135+Z135*2</f>
        <v>13238.0103141</v>
      </c>
      <c r="I135" s="215">
        <v>3</v>
      </c>
      <c r="J135" s="209">
        <f t="shared" si="45"/>
        <v>3357.981385</v>
      </c>
      <c r="K135" s="209">
        <f t="shared" si="46"/>
        <v>930.561385</v>
      </c>
      <c r="L135" s="215">
        <v>2</v>
      </c>
      <c r="M135" s="209">
        <f t="shared" si="47"/>
        <v>809.14</v>
      </c>
      <c r="N135" s="216">
        <v>6366.379759</v>
      </c>
      <c r="O135" s="217">
        <f t="shared" si="48"/>
        <v>2427.42</v>
      </c>
      <c r="P135" s="217">
        <v>0</v>
      </c>
      <c r="Q135" s="209">
        <f t="shared" si="49"/>
        <v>1132.0402681</v>
      </c>
      <c r="R135" s="209">
        <f t="shared" si="50"/>
        <v>0</v>
      </c>
      <c r="S135" s="209">
        <v>0</v>
      </c>
      <c r="T135" s="216">
        <v>0</v>
      </c>
      <c r="U135" s="215">
        <v>0</v>
      </c>
      <c r="V135" s="217"/>
      <c r="W135" s="216">
        <v>930.561385</v>
      </c>
      <c r="X135" s="216">
        <v>0</v>
      </c>
      <c r="Y135" s="217">
        <f t="shared" si="51"/>
        <v>0</v>
      </c>
      <c r="Z135" s="209">
        <f t="shared" si="52"/>
        <v>0</v>
      </c>
      <c r="AA135" s="216">
        <v>0</v>
      </c>
      <c r="AB135" s="230">
        <v>0</v>
      </c>
      <c r="AC135" s="216">
        <v>0</v>
      </c>
      <c r="AD135" s="231">
        <v>0</v>
      </c>
      <c r="AE135" s="208">
        <f t="shared" si="53"/>
        <v>201.4788831</v>
      </c>
      <c r="AF135" s="216">
        <v>554.984344</v>
      </c>
      <c r="AG135" s="208">
        <f t="shared" si="54"/>
        <v>5184.605943</v>
      </c>
      <c r="AH135" s="216">
        <v>258.384975</v>
      </c>
      <c r="AI135" s="216">
        <v>0</v>
      </c>
      <c r="AJ135" s="216">
        <v>4926.220968</v>
      </c>
      <c r="AK135" s="217">
        <f t="shared" si="55"/>
        <v>809.14</v>
      </c>
      <c r="AL135" s="206">
        <f t="shared" si="56"/>
        <v>0</v>
      </c>
      <c r="AM135" s="235">
        <f t="shared" ref="AM135:AM198" si="62">M135*IF(I135=1,0,IF(I135=2,0,IF(I135=3,0,IF(I135=4,0))))/1000</f>
        <v>0</v>
      </c>
      <c r="AN135" s="235">
        <f t="shared" si="57"/>
        <v>0</v>
      </c>
      <c r="AO135" s="209">
        <f t="shared" ref="AO135:AO198" si="63">M135*IF(I135=1,2,IF(I135=2,2,IF(I135=3,1,IF(I135=4,0))))/1000</f>
        <v>0.80914</v>
      </c>
      <c r="AP135" s="209">
        <f t="shared" si="58"/>
        <v>0.025285625</v>
      </c>
      <c r="AQ135" s="209">
        <f t="shared" ref="AQ135:AQ198" si="64">M135/1000/2*IF(I135=1,2,IF(I135=2,2,IF(I135=3,1,IF(I135=4,0))))</f>
        <v>0.40457</v>
      </c>
      <c r="AR135" s="209">
        <f t="shared" si="59"/>
        <v>0.00842854166666667</v>
      </c>
      <c r="AS135" s="209">
        <f t="shared" si="60"/>
        <v>0</v>
      </c>
      <c r="AT135" s="215">
        <v>0</v>
      </c>
      <c r="AU135" s="215" t="s">
        <v>89</v>
      </c>
      <c r="AV135" s="237">
        <f t="shared" ref="AV135:AV198" si="65">AM135*26.99/10000*340</f>
        <v>0</v>
      </c>
      <c r="AW135" s="209"/>
      <c r="AX135" s="209"/>
      <c r="AY135" s="237"/>
      <c r="AZ135" s="217"/>
      <c r="BA135" s="209"/>
      <c r="BB135" s="237"/>
      <c r="BC135" s="237"/>
      <c r="BD135" s="217"/>
      <c r="BE135" s="209"/>
      <c r="BF135" s="217"/>
      <c r="BG135" s="209"/>
      <c r="BH135" s="209"/>
      <c r="BI135" s="209"/>
      <c r="BJ135" s="215"/>
      <c r="BP135" s="242"/>
    </row>
    <row r="136" s="191" customFormat="1" ht="15" customHeight="1" spans="1:68">
      <c r="A136" s="214">
        <v>131</v>
      </c>
      <c r="B136" s="215" t="s">
        <v>219</v>
      </c>
      <c r="C136" s="215" t="s">
        <v>219</v>
      </c>
      <c r="D136" s="215" t="s">
        <v>92</v>
      </c>
      <c r="E136" s="215" t="s">
        <v>220</v>
      </c>
      <c r="F136" s="216">
        <v>762.22</v>
      </c>
      <c r="G136" s="217">
        <f t="shared" ref="G136:G199" si="66">H136/F136</f>
        <v>25.0170186399465</v>
      </c>
      <c r="H136" s="209">
        <f t="shared" si="61"/>
        <v>19068.47194774</v>
      </c>
      <c r="I136" s="215">
        <v>3</v>
      </c>
      <c r="J136" s="209">
        <f t="shared" ref="J136:J199" si="67">O136+P136+T136+W136+Y136</f>
        <v>7116.385279</v>
      </c>
      <c r="K136" s="209">
        <f t="shared" si="46"/>
        <v>2420.401394</v>
      </c>
      <c r="L136" s="215">
        <v>2</v>
      </c>
      <c r="M136" s="209">
        <f t="shared" ref="M136:M199" si="68">F136*IF(L136=4,4,IF(L136=6,6,2))</f>
        <v>1524.44</v>
      </c>
      <c r="N136" s="216">
        <v>9677.246815</v>
      </c>
      <c r="O136" s="217">
        <f t="shared" ref="O136:O199" si="69">M136*3</f>
        <v>4573.32</v>
      </c>
      <c r="P136" s="217">
        <v>0</v>
      </c>
      <c r="Q136" s="209">
        <f t="shared" si="49"/>
        <v>2847.38451074</v>
      </c>
      <c r="R136" s="209">
        <f t="shared" ref="R136:R199" si="70">U136*3</f>
        <v>3</v>
      </c>
      <c r="S136" s="209">
        <v>0</v>
      </c>
      <c r="T136" s="216">
        <v>122.663885</v>
      </c>
      <c r="U136" s="215">
        <v>1</v>
      </c>
      <c r="V136" s="217"/>
      <c r="W136" s="216">
        <v>2209.521796</v>
      </c>
      <c r="X136" s="216">
        <v>105.439799</v>
      </c>
      <c r="Y136" s="217">
        <f t="shared" ref="Y136:Y199" si="71">X136*2</f>
        <v>210.879598</v>
      </c>
      <c r="Z136" s="209">
        <f t="shared" ref="Z136:Z199" si="72">AA136+AB136+AC136+AD136</f>
        <v>34.187982</v>
      </c>
      <c r="AA136" s="216">
        <v>14.344546</v>
      </c>
      <c r="AB136" s="230">
        <v>19.843436</v>
      </c>
      <c r="AC136" s="216">
        <v>0</v>
      </c>
      <c r="AD136" s="231">
        <v>0</v>
      </c>
      <c r="AE136" s="208">
        <f t="shared" ref="AE136:AE199" si="73">J136*IF(I136=1,0.08,IF(I136=2,0.07,IF(I136=3,0.06)))</f>
        <v>426.98311674</v>
      </c>
      <c r="AF136" s="216">
        <v>494.046159</v>
      </c>
      <c r="AG136" s="208">
        <f t="shared" ref="AG136:AG199" si="74">AH136+AI136+AJ136</f>
        <v>5858.754614</v>
      </c>
      <c r="AH136" s="216">
        <v>57.877237</v>
      </c>
      <c r="AI136" s="216">
        <v>0</v>
      </c>
      <c r="AJ136" s="216">
        <v>5800.877377</v>
      </c>
      <c r="AK136" s="217">
        <f t="shared" ref="AK136:AK199" si="75">F136*2</f>
        <v>1524.44</v>
      </c>
      <c r="AL136" s="206">
        <f t="shared" ref="AL136:AL199" si="76">AM136/M136*1000</f>
        <v>0</v>
      </c>
      <c r="AM136" s="235">
        <f t="shared" si="62"/>
        <v>0</v>
      </c>
      <c r="AN136" s="235">
        <f t="shared" ref="AN136:AN199" si="77">AM136/60</f>
        <v>0</v>
      </c>
      <c r="AO136" s="209">
        <f t="shared" si="63"/>
        <v>1.52444</v>
      </c>
      <c r="AP136" s="209">
        <f t="shared" ref="AP136:AP199" si="78">AO136/32</f>
        <v>0.04763875</v>
      </c>
      <c r="AQ136" s="209">
        <f t="shared" si="64"/>
        <v>0.76222</v>
      </c>
      <c r="AR136" s="209">
        <f t="shared" ref="AR136:AR199" si="79">AQ136/48</f>
        <v>0.0158795833333333</v>
      </c>
      <c r="AS136" s="209">
        <f t="shared" si="60"/>
        <v>1.52444</v>
      </c>
      <c r="AT136" s="215">
        <v>0</v>
      </c>
      <c r="AU136" s="215" t="s">
        <v>89</v>
      </c>
      <c r="AV136" s="237">
        <f t="shared" si="65"/>
        <v>0</v>
      </c>
      <c r="AW136" s="209"/>
      <c r="AX136" s="209"/>
      <c r="AY136" s="237"/>
      <c r="AZ136" s="217"/>
      <c r="BA136" s="209"/>
      <c r="BB136" s="237"/>
      <c r="BC136" s="237"/>
      <c r="BD136" s="217"/>
      <c r="BE136" s="209"/>
      <c r="BF136" s="217"/>
      <c r="BG136" s="209"/>
      <c r="BH136" s="209"/>
      <c r="BI136" s="209"/>
      <c r="BJ136" s="215"/>
      <c r="BP136" s="242"/>
    </row>
    <row r="137" s="191" customFormat="1" ht="15" customHeight="1" spans="1:68">
      <c r="A137" s="206">
        <v>132</v>
      </c>
      <c r="B137" s="215" t="s">
        <v>93</v>
      </c>
      <c r="C137" s="215" t="s">
        <v>93</v>
      </c>
      <c r="D137" s="215" t="s">
        <v>113</v>
      </c>
      <c r="E137" s="215" t="s">
        <v>114</v>
      </c>
      <c r="F137" s="216">
        <v>625.91</v>
      </c>
      <c r="G137" s="217">
        <f t="shared" si="66"/>
        <v>35.9573080118388</v>
      </c>
      <c r="H137" s="209">
        <f t="shared" si="61"/>
        <v>22506.03865769</v>
      </c>
      <c r="I137" s="226">
        <v>2</v>
      </c>
      <c r="J137" s="209">
        <f t="shared" si="67"/>
        <v>6758.655867</v>
      </c>
      <c r="K137" s="209">
        <f t="shared" ref="K137:K200" si="80">P137+S137+W137+Y137</f>
        <v>3003.195867</v>
      </c>
      <c r="L137" s="215">
        <v>2</v>
      </c>
      <c r="M137" s="209">
        <f t="shared" si="68"/>
        <v>1251.82</v>
      </c>
      <c r="N137" s="216">
        <v>5685.242223</v>
      </c>
      <c r="O137" s="217">
        <f t="shared" si="69"/>
        <v>3755.46</v>
      </c>
      <c r="P137" s="217">
        <v>0</v>
      </c>
      <c r="Q137" s="209">
        <f t="shared" ref="Q137:Q200" si="81">P137+S137+W137+Y137+AE137</f>
        <v>3476.30177769</v>
      </c>
      <c r="R137" s="209">
        <f t="shared" si="70"/>
        <v>0</v>
      </c>
      <c r="S137" s="209">
        <v>0</v>
      </c>
      <c r="T137" s="216">
        <v>0</v>
      </c>
      <c r="U137" s="215">
        <v>0</v>
      </c>
      <c r="V137" s="217"/>
      <c r="W137" s="216">
        <v>3003.195867</v>
      </c>
      <c r="X137" s="216">
        <v>0</v>
      </c>
      <c r="Y137" s="217">
        <f t="shared" si="71"/>
        <v>0</v>
      </c>
      <c r="Z137" s="209">
        <f t="shared" si="72"/>
        <v>128.082389</v>
      </c>
      <c r="AA137" s="216">
        <v>70.268781</v>
      </c>
      <c r="AB137" s="230">
        <v>0</v>
      </c>
      <c r="AC137" s="216">
        <v>0</v>
      </c>
      <c r="AD137" s="231">
        <v>57.813608</v>
      </c>
      <c r="AE137" s="208">
        <f t="shared" si="73"/>
        <v>473.10591069</v>
      </c>
      <c r="AF137" s="216">
        <v>0</v>
      </c>
      <c r="AG137" s="208">
        <f t="shared" si="74"/>
        <v>13088.329879</v>
      </c>
      <c r="AH137" s="216">
        <v>0</v>
      </c>
      <c r="AI137" s="216">
        <v>0</v>
      </c>
      <c r="AJ137" s="216">
        <v>13088.329879</v>
      </c>
      <c r="AK137" s="217">
        <f t="shared" si="75"/>
        <v>1251.82</v>
      </c>
      <c r="AL137" s="206">
        <f t="shared" si="76"/>
        <v>0</v>
      </c>
      <c r="AM137" s="235">
        <f t="shared" si="62"/>
        <v>0</v>
      </c>
      <c r="AN137" s="235">
        <f t="shared" si="77"/>
        <v>0</v>
      </c>
      <c r="AO137" s="209">
        <f t="shared" si="63"/>
        <v>2.50364</v>
      </c>
      <c r="AP137" s="209">
        <f t="shared" si="78"/>
        <v>0.07823875</v>
      </c>
      <c r="AQ137" s="209">
        <f t="shared" si="64"/>
        <v>1.25182</v>
      </c>
      <c r="AR137" s="209">
        <f t="shared" si="79"/>
        <v>0.0260795833333333</v>
      </c>
      <c r="AS137" s="209">
        <f t="shared" ref="AS137:AS200" si="82">F137*U137/1000*2</f>
        <v>0</v>
      </c>
      <c r="AT137" s="215">
        <v>0</v>
      </c>
      <c r="AU137" s="215" t="s">
        <v>89</v>
      </c>
      <c r="AV137" s="237">
        <f t="shared" si="65"/>
        <v>0</v>
      </c>
      <c r="AW137" s="209"/>
      <c r="AX137" s="209"/>
      <c r="AY137" s="237"/>
      <c r="AZ137" s="217"/>
      <c r="BA137" s="209"/>
      <c r="BB137" s="237"/>
      <c r="BC137" s="237"/>
      <c r="BD137" s="217"/>
      <c r="BE137" s="209"/>
      <c r="BF137" s="217"/>
      <c r="BG137" s="209"/>
      <c r="BH137" s="209"/>
      <c r="BI137" s="209"/>
      <c r="BJ137" s="215"/>
      <c r="BP137" s="242"/>
    </row>
    <row r="138" s="191" customFormat="1" ht="15" customHeight="1" spans="1:68">
      <c r="A138" s="206">
        <v>133</v>
      </c>
      <c r="B138" s="215" t="s">
        <v>93</v>
      </c>
      <c r="C138" s="215" t="s">
        <v>93</v>
      </c>
      <c r="D138" s="215" t="s">
        <v>114</v>
      </c>
      <c r="E138" s="215" t="s">
        <v>86</v>
      </c>
      <c r="F138" s="216">
        <v>691.77</v>
      </c>
      <c r="G138" s="217">
        <f t="shared" si="66"/>
        <v>44.1078402348758</v>
      </c>
      <c r="H138" s="209">
        <f t="shared" si="61"/>
        <v>30512.48063928</v>
      </c>
      <c r="I138" s="215">
        <v>1</v>
      </c>
      <c r="J138" s="209">
        <f t="shared" si="67"/>
        <v>9396.038891</v>
      </c>
      <c r="K138" s="209">
        <f t="shared" si="80"/>
        <v>5041.029416</v>
      </c>
      <c r="L138" s="215">
        <v>2</v>
      </c>
      <c r="M138" s="209">
        <f t="shared" si="68"/>
        <v>1383.54</v>
      </c>
      <c r="N138" s="216">
        <v>11143.525141</v>
      </c>
      <c r="O138" s="217">
        <f t="shared" si="69"/>
        <v>4150.62</v>
      </c>
      <c r="P138" s="217">
        <v>0</v>
      </c>
      <c r="Q138" s="209">
        <f t="shared" si="81"/>
        <v>5792.71252728</v>
      </c>
      <c r="R138" s="209">
        <f t="shared" si="70"/>
        <v>6</v>
      </c>
      <c r="S138" s="209">
        <v>0</v>
      </c>
      <c r="T138" s="216">
        <v>204.389475</v>
      </c>
      <c r="U138" s="215">
        <v>2</v>
      </c>
      <c r="V138" s="217"/>
      <c r="W138" s="216">
        <v>3804.536384</v>
      </c>
      <c r="X138" s="216">
        <v>618.246516</v>
      </c>
      <c r="Y138" s="217">
        <f t="shared" si="71"/>
        <v>1236.493032</v>
      </c>
      <c r="Z138" s="209">
        <f t="shared" si="72"/>
        <v>70.693894</v>
      </c>
      <c r="AA138" s="216">
        <v>70.693894</v>
      </c>
      <c r="AB138" s="230">
        <v>0</v>
      </c>
      <c r="AC138" s="216">
        <v>0</v>
      </c>
      <c r="AD138" s="231">
        <v>0</v>
      </c>
      <c r="AE138" s="208">
        <f t="shared" si="73"/>
        <v>751.68311128</v>
      </c>
      <c r="AF138" s="216">
        <v>0</v>
      </c>
      <c r="AG138" s="208">
        <f t="shared" si="74"/>
        <v>13230.465708</v>
      </c>
      <c r="AH138" s="216">
        <v>0</v>
      </c>
      <c r="AI138" s="216">
        <v>168.529833</v>
      </c>
      <c r="AJ138" s="216">
        <v>13061.935875</v>
      </c>
      <c r="AK138" s="217">
        <f t="shared" si="75"/>
        <v>1383.54</v>
      </c>
      <c r="AL138" s="206">
        <f t="shared" si="76"/>
        <v>0</v>
      </c>
      <c r="AM138" s="235">
        <f t="shared" si="62"/>
        <v>0</v>
      </c>
      <c r="AN138" s="235">
        <f t="shared" si="77"/>
        <v>0</v>
      </c>
      <c r="AO138" s="209">
        <f t="shared" si="63"/>
        <v>2.76708</v>
      </c>
      <c r="AP138" s="209">
        <f t="shared" si="78"/>
        <v>0.08647125</v>
      </c>
      <c r="AQ138" s="209">
        <f t="shared" si="64"/>
        <v>1.38354</v>
      </c>
      <c r="AR138" s="209">
        <f t="shared" si="79"/>
        <v>0.02882375</v>
      </c>
      <c r="AS138" s="209">
        <f t="shared" si="82"/>
        <v>2.76708</v>
      </c>
      <c r="AT138" s="215">
        <v>3</v>
      </c>
      <c r="AU138" s="215" t="s">
        <v>89</v>
      </c>
      <c r="AV138" s="237">
        <f t="shared" si="65"/>
        <v>0</v>
      </c>
      <c r="AW138" s="209"/>
      <c r="AX138" s="209"/>
      <c r="AY138" s="237"/>
      <c r="AZ138" s="217"/>
      <c r="BA138" s="209"/>
      <c r="BB138" s="237"/>
      <c r="BC138" s="237"/>
      <c r="BD138" s="217"/>
      <c r="BE138" s="209"/>
      <c r="BF138" s="217"/>
      <c r="BG138" s="209"/>
      <c r="BH138" s="209"/>
      <c r="BI138" s="209"/>
      <c r="BJ138" s="215"/>
      <c r="BP138" s="242"/>
    </row>
    <row r="139" s="191" customFormat="1" ht="15" customHeight="1" spans="1:68">
      <c r="A139" s="214">
        <v>134</v>
      </c>
      <c r="B139" s="215" t="s">
        <v>88</v>
      </c>
      <c r="C139" s="215" t="s">
        <v>88</v>
      </c>
      <c r="D139" s="215" t="s">
        <v>86</v>
      </c>
      <c r="E139" s="215" t="s">
        <v>217</v>
      </c>
      <c r="F139" s="216">
        <v>378.8</v>
      </c>
      <c r="G139" s="217">
        <f t="shared" si="66"/>
        <v>51.5847510099789</v>
      </c>
      <c r="H139" s="209">
        <f t="shared" si="61"/>
        <v>19540.30368258</v>
      </c>
      <c r="I139" s="226">
        <v>3</v>
      </c>
      <c r="J139" s="209">
        <f t="shared" si="67"/>
        <v>3822.603793</v>
      </c>
      <c r="K139" s="209">
        <f t="shared" si="80"/>
        <v>1549.803793</v>
      </c>
      <c r="L139" s="215">
        <v>2</v>
      </c>
      <c r="M139" s="209">
        <f t="shared" si="68"/>
        <v>757.6</v>
      </c>
      <c r="N139" s="216">
        <v>7586.941316</v>
      </c>
      <c r="O139" s="217">
        <f t="shared" si="69"/>
        <v>2272.8</v>
      </c>
      <c r="P139" s="217">
        <v>0</v>
      </c>
      <c r="Q139" s="209">
        <f t="shared" si="81"/>
        <v>1779.16002058</v>
      </c>
      <c r="R139" s="209">
        <f t="shared" si="70"/>
        <v>0</v>
      </c>
      <c r="S139" s="209">
        <v>0</v>
      </c>
      <c r="T139" s="216">
        <v>0</v>
      </c>
      <c r="U139" s="215">
        <v>0</v>
      </c>
      <c r="V139" s="217"/>
      <c r="W139" s="216">
        <v>1549.803793</v>
      </c>
      <c r="X139" s="216">
        <v>0</v>
      </c>
      <c r="Y139" s="217">
        <f t="shared" si="71"/>
        <v>0</v>
      </c>
      <c r="Z139" s="209">
        <f t="shared" si="72"/>
        <v>0</v>
      </c>
      <c r="AA139" s="216">
        <v>0</v>
      </c>
      <c r="AB139" s="230">
        <v>0</v>
      </c>
      <c r="AC139" s="216">
        <v>0</v>
      </c>
      <c r="AD139" s="231">
        <v>0</v>
      </c>
      <c r="AE139" s="208">
        <f t="shared" si="73"/>
        <v>229.35622758</v>
      </c>
      <c r="AF139" s="216">
        <v>888.792145</v>
      </c>
      <c r="AG139" s="208">
        <f t="shared" si="74"/>
        <v>9285.410201</v>
      </c>
      <c r="AH139" s="216">
        <v>0</v>
      </c>
      <c r="AI139" s="216">
        <v>0</v>
      </c>
      <c r="AJ139" s="216">
        <v>9285.410201</v>
      </c>
      <c r="AK139" s="217">
        <f t="shared" si="75"/>
        <v>757.6</v>
      </c>
      <c r="AL139" s="206">
        <f t="shared" si="76"/>
        <v>0</v>
      </c>
      <c r="AM139" s="235">
        <f t="shared" si="62"/>
        <v>0</v>
      </c>
      <c r="AN139" s="235">
        <f t="shared" si="77"/>
        <v>0</v>
      </c>
      <c r="AO139" s="209">
        <f t="shared" si="63"/>
        <v>0.7576</v>
      </c>
      <c r="AP139" s="209">
        <f t="shared" si="78"/>
        <v>0.023675</v>
      </c>
      <c r="AQ139" s="209">
        <f t="shared" si="64"/>
        <v>0.3788</v>
      </c>
      <c r="AR139" s="209">
        <f t="shared" si="79"/>
        <v>0.00789166666666667</v>
      </c>
      <c r="AS139" s="209">
        <f t="shared" si="82"/>
        <v>0</v>
      </c>
      <c r="AT139" s="215">
        <v>1</v>
      </c>
      <c r="AU139" s="215" t="s">
        <v>89</v>
      </c>
      <c r="AV139" s="237">
        <f t="shared" si="65"/>
        <v>0</v>
      </c>
      <c r="AW139" s="209"/>
      <c r="AX139" s="209"/>
      <c r="AY139" s="237"/>
      <c r="AZ139" s="217"/>
      <c r="BA139" s="209"/>
      <c r="BB139" s="237"/>
      <c r="BC139" s="237"/>
      <c r="BD139" s="217"/>
      <c r="BE139" s="209"/>
      <c r="BF139" s="217"/>
      <c r="BG139" s="209"/>
      <c r="BH139" s="209"/>
      <c r="BI139" s="209"/>
      <c r="BJ139" s="215"/>
      <c r="BP139" s="242"/>
    </row>
    <row r="140" s="191" customFormat="1" ht="15" customHeight="1" spans="1:68">
      <c r="A140" s="206">
        <v>135</v>
      </c>
      <c r="B140" s="215" t="s">
        <v>88</v>
      </c>
      <c r="C140" s="215" t="s">
        <v>88</v>
      </c>
      <c r="D140" s="215" t="s">
        <v>114</v>
      </c>
      <c r="E140" s="215" t="s">
        <v>86</v>
      </c>
      <c r="F140" s="216">
        <v>667.98</v>
      </c>
      <c r="G140" s="217">
        <f t="shared" si="66"/>
        <v>44.4232144377676</v>
      </c>
      <c r="H140" s="209">
        <f t="shared" si="61"/>
        <v>29673.81878014</v>
      </c>
      <c r="I140" s="226">
        <v>3</v>
      </c>
      <c r="J140" s="209">
        <f t="shared" si="67"/>
        <v>9043.549169</v>
      </c>
      <c r="K140" s="209">
        <f t="shared" si="80"/>
        <v>5035.669169</v>
      </c>
      <c r="L140" s="215">
        <v>2</v>
      </c>
      <c r="M140" s="209">
        <f t="shared" si="68"/>
        <v>1335.96</v>
      </c>
      <c r="N140" s="216">
        <v>15465.348879</v>
      </c>
      <c r="O140" s="217">
        <f t="shared" si="69"/>
        <v>4007.88</v>
      </c>
      <c r="P140" s="217">
        <v>0</v>
      </c>
      <c r="Q140" s="209">
        <f t="shared" si="81"/>
        <v>5578.28211914</v>
      </c>
      <c r="R140" s="209">
        <f t="shared" si="70"/>
        <v>0</v>
      </c>
      <c r="S140" s="209">
        <v>0</v>
      </c>
      <c r="T140" s="216">
        <v>0</v>
      </c>
      <c r="U140" s="215">
        <v>0</v>
      </c>
      <c r="V140" s="217"/>
      <c r="W140" s="216">
        <v>3913.045353</v>
      </c>
      <c r="X140" s="216">
        <v>561.311908</v>
      </c>
      <c r="Y140" s="217">
        <f t="shared" si="71"/>
        <v>1122.623816</v>
      </c>
      <c r="Z140" s="209">
        <f t="shared" si="72"/>
        <v>0</v>
      </c>
      <c r="AA140" s="216">
        <v>0</v>
      </c>
      <c r="AB140" s="230">
        <v>0</v>
      </c>
      <c r="AC140" s="216">
        <v>0</v>
      </c>
      <c r="AD140" s="231">
        <v>0</v>
      </c>
      <c r="AE140" s="208">
        <f t="shared" si="73"/>
        <v>542.61295014</v>
      </c>
      <c r="AF140" s="216">
        <v>0</v>
      </c>
      <c r="AG140" s="208">
        <f t="shared" si="74"/>
        <v>8630.187782</v>
      </c>
      <c r="AH140" s="216">
        <v>0</v>
      </c>
      <c r="AI140" s="216">
        <v>0</v>
      </c>
      <c r="AJ140" s="216">
        <v>8630.187782</v>
      </c>
      <c r="AK140" s="217">
        <f t="shared" si="75"/>
        <v>1335.96</v>
      </c>
      <c r="AL140" s="206">
        <f t="shared" si="76"/>
        <v>0</v>
      </c>
      <c r="AM140" s="235">
        <f t="shared" si="62"/>
        <v>0</v>
      </c>
      <c r="AN140" s="235">
        <f t="shared" si="77"/>
        <v>0</v>
      </c>
      <c r="AO140" s="209">
        <f t="shared" si="63"/>
        <v>1.33596</v>
      </c>
      <c r="AP140" s="209">
        <f t="shared" si="78"/>
        <v>0.04174875</v>
      </c>
      <c r="AQ140" s="209">
        <f t="shared" si="64"/>
        <v>0.66798</v>
      </c>
      <c r="AR140" s="209">
        <f t="shared" si="79"/>
        <v>0.01391625</v>
      </c>
      <c r="AS140" s="209">
        <f t="shared" si="82"/>
        <v>0</v>
      </c>
      <c r="AT140" s="215">
        <v>2</v>
      </c>
      <c r="AU140" s="215" t="s">
        <v>89</v>
      </c>
      <c r="AV140" s="237">
        <f t="shared" si="65"/>
        <v>0</v>
      </c>
      <c r="AW140" s="209"/>
      <c r="AX140" s="209"/>
      <c r="AY140" s="237"/>
      <c r="AZ140" s="217"/>
      <c r="BA140" s="209"/>
      <c r="BB140" s="237"/>
      <c r="BC140" s="237"/>
      <c r="BD140" s="217"/>
      <c r="BE140" s="209"/>
      <c r="BF140" s="217"/>
      <c r="BG140" s="209"/>
      <c r="BH140" s="209"/>
      <c r="BI140" s="209"/>
      <c r="BJ140" s="215"/>
      <c r="BP140" s="242"/>
    </row>
    <row r="141" s="191" customFormat="1" ht="15" customHeight="1" spans="1:68">
      <c r="A141" s="206">
        <v>136</v>
      </c>
      <c r="B141" s="215" t="s">
        <v>88</v>
      </c>
      <c r="C141" s="215" t="s">
        <v>88</v>
      </c>
      <c r="D141" s="215" t="s">
        <v>112</v>
      </c>
      <c r="E141" s="215" t="s">
        <v>114</v>
      </c>
      <c r="F141" s="216">
        <v>440.22</v>
      </c>
      <c r="G141" s="217">
        <f t="shared" si="66"/>
        <v>47.6083883366953</v>
      </c>
      <c r="H141" s="209">
        <f t="shared" si="61"/>
        <v>20958.16471358</v>
      </c>
      <c r="I141" s="226">
        <v>2</v>
      </c>
      <c r="J141" s="209">
        <f t="shared" si="67"/>
        <v>6064.395094</v>
      </c>
      <c r="K141" s="209">
        <f t="shared" si="80"/>
        <v>3423.075094</v>
      </c>
      <c r="L141" s="215">
        <v>2</v>
      </c>
      <c r="M141" s="209">
        <f t="shared" si="68"/>
        <v>880.44</v>
      </c>
      <c r="N141" s="216">
        <v>10286.308513</v>
      </c>
      <c r="O141" s="217">
        <f t="shared" si="69"/>
        <v>2641.32</v>
      </c>
      <c r="P141" s="217">
        <v>0</v>
      </c>
      <c r="Q141" s="209">
        <f t="shared" si="81"/>
        <v>3847.58275058</v>
      </c>
      <c r="R141" s="209">
        <f t="shared" si="70"/>
        <v>0</v>
      </c>
      <c r="S141" s="209">
        <v>0</v>
      </c>
      <c r="T141" s="216">
        <v>0</v>
      </c>
      <c r="U141" s="215">
        <v>0</v>
      </c>
      <c r="V141" s="217"/>
      <c r="W141" s="216">
        <v>2641.647448</v>
      </c>
      <c r="X141" s="216">
        <v>390.713823</v>
      </c>
      <c r="Y141" s="217">
        <f t="shared" si="71"/>
        <v>781.427646</v>
      </c>
      <c r="Z141" s="209">
        <f t="shared" si="72"/>
        <v>13.104396</v>
      </c>
      <c r="AA141" s="216">
        <v>0</v>
      </c>
      <c r="AB141" s="230">
        <v>0</v>
      </c>
      <c r="AC141" s="216">
        <v>0</v>
      </c>
      <c r="AD141" s="231">
        <v>13.104396</v>
      </c>
      <c r="AE141" s="208">
        <f t="shared" si="73"/>
        <v>424.50765658</v>
      </c>
      <c r="AF141" s="216">
        <v>0</v>
      </c>
      <c r="AG141" s="208">
        <f t="shared" si="74"/>
        <v>6798.064658</v>
      </c>
      <c r="AH141" s="216">
        <v>0</v>
      </c>
      <c r="AI141" s="216">
        <v>0</v>
      </c>
      <c r="AJ141" s="216">
        <v>6798.064658</v>
      </c>
      <c r="AK141" s="217">
        <f t="shared" si="75"/>
        <v>880.44</v>
      </c>
      <c r="AL141" s="206">
        <f t="shared" si="76"/>
        <v>0</v>
      </c>
      <c r="AM141" s="235">
        <f t="shared" si="62"/>
        <v>0</v>
      </c>
      <c r="AN141" s="235">
        <f t="shared" si="77"/>
        <v>0</v>
      </c>
      <c r="AO141" s="209">
        <f t="shared" si="63"/>
        <v>1.76088</v>
      </c>
      <c r="AP141" s="209">
        <f t="shared" si="78"/>
        <v>0.0550275</v>
      </c>
      <c r="AQ141" s="209">
        <f t="shared" si="64"/>
        <v>0.88044</v>
      </c>
      <c r="AR141" s="209">
        <f t="shared" si="79"/>
        <v>0.0183425</v>
      </c>
      <c r="AS141" s="209">
        <f t="shared" si="82"/>
        <v>0</v>
      </c>
      <c r="AT141" s="215">
        <v>6</v>
      </c>
      <c r="AU141" s="215" t="s">
        <v>89</v>
      </c>
      <c r="AV141" s="237">
        <f t="shared" si="65"/>
        <v>0</v>
      </c>
      <c r="AW141" s="209"/>
      <c r="AX141" s="209"/>
      <c r="AY141" s="237"/>
      <c r="AZ141" s="217"/>
      <c r="BA141" s="209"/>
      <c r="BB141" s="237"/>
      <c r="BC141" s="237"/>
      <c r="BD141" s="217"/>
      <c r="BE141" s="209"/>
      <c r="BF141" s="217"/>
      <c r="BG141" s="209"/>
      <c r="BH141" s="209"/>
      <c r="BI141" s="209"/>
      <c r="BJ141" s="215"/>
      <c r="BP141" s="242"/>
    </row>
    <row r="142" s="190" customFormat="1" ht="15" customHeight="1" spans="1:68">
      <c r="A142" s="218">
        <v>137</v>
      </c>
      <c r="B142" s="207" t="s">
        <v>221</v>
      </c>
      <c r="C142" s="211" t="s">
        <v>221</v>
      </c>
      <c r="D142" s="211" t="s">
        <v>222</v>
      </c>
      <c r="E142" s="211" t="s">
        <v>139</v>
      </c>
      <c r="F142" s="212">
        <v>633.6</v>
      </c>
      <c r="G142" s="213">
        <f t="shared" si="66"/>
        <v>14.488654207702</v>
      </c>
      <c r="H142" s="213">
        <f t="shared" si="61"/>
        <v>9180.011306</v>
      </c>
      <c r="I142" s="211">
        <v>3</v>
      </c>
      <c r="J142" s="213">
        <f t="shared" si="67"/>
        <v>3801.6</v>
      </c>
      <c r="K142" s="213">
        <f t="shared" si="80"/>
        <v>0</v>
      </c>
      <c r="L142" s="207">
        <v>0</v>
      </c>
      <c r="M142" s="213">
        <f t="shared" si="68"/>
        <v>1267.2</v>
      </c>
      <c r="N142" s="212">
        <v>7604.709789</v>
      </c>
      <c r="O142" s="213">
        <f t="shared" si="69"/>
        <v>3801.6</v>
      </c>
      <c r="P142" s="213">
        <v>0</v>
      </c>
      <c r="Q142" s="213">
        <f t="shared" si="81"/>
        <v>228.096</v>
      </c>
      <c r="R142" s="213">
        <f t="shared" si="70"/>
        <v>0</v>
      </c>
      <c r="S142" s="213">
        <v>0</v>
      </c>
      <c r="T142" s="212">
        <v>0</v>
      </c>
      <c r="U142" s="211">
        <v>0</v>
      </c>
      <c r="V142" s="213"/>
      <c r="W142" s="212">
        <v>0</v>
      </c>
      <c r="X142" s="212">
        <v>0</v>
      </c>
      <c r="Y142" s="213">
        <f t="shared" si="71"/>
        <v>0</v>
      </c>
      <c r="Z142" s="213">
        <f t="shared" si="72"/>
        <v>41.942708</v>
      </c>
      <c r="AA142" s="208">
        <v>0</v>
      </c>
      <c r="AB142" s="228">
        <v>0</v>
      </c>
      <c r="AC142" s="208">
        <v>0</v>
      </c>
      <c r="AD142" s="229">
        <v>41.942708</v>
      </c>
      <c r="AE142" s="212">
        <f t="shared" si="73"/>
        <v>228.096</v>
      </c>
      <c r="AF142" s="212">
        <v>0</v>
      </c>
      <c r="AG142" s="212">
        <f t="shared" si="74"/>
        <v>1263.320101</v>
      </c>
      <c r="AH142" s="212">
        <v>0</v>
      </c>
      <c r="AI142" s="212">
        <v>0</v>
      </c>
      <c r="AJ142" s="212">
        <v>1263.320101</v>
      </c>
      <c r="AK142" s="213">
        <f t="shared" si="75"/>
        <v>1267.2</v>
      </c>
      <c r="AL142" s="210">
        <f t="shared" si="76"/>
        <v>0</v>
      </c>
      <c r="AM142" s="235">
        <f t="shared" si="62"/>
        <v>0</v>
      </c>
      <c r="AN142" s="235">
        <f t="shared" si="77"/>
        <v>0</v>
      </c>
      <c r="AO142" s="213">
        <f t="shared" si="63"/>
        <v>1.2672</v>
      </c>
      <c r="AP142" s="209">
        <f t="shared" si="78"/>
        <v>0.0396</v>
      </c>
      <c r="AQ142" s="213">
        <f t="shared" si="64"/>
        <v>0.6336</v>
      </c>
      <c r="AR142" s="209">
        <f t="shared" si="79"/>
        <v>0.0132</v>
      </c>
      <c r="AS142" s="213">
        <f t="shared" si="82"/>
        <v>0</v>
      </c>
      <c r="AT142" s="211">
        <v>0</v>
      </c>
      <c r="AU142" s="211"/>
      <c r="AV142" s="237">
        <f t="shared" si="65"/>
        <v>0</v>
      </c>
      <c r="AW142" s="213"/>
      <c r="AX142" s="213"/>
      <c r="AY142" s="238"/>
      <c r="AZ142" s="238"/>
      <c r="BA142" s="213"/>
      <c r="BB142" s="238"/>
      <c r="BC142" s="238"/>
      <c r="BD142" s="213"/>
      <c r="BE142" s="213"/>
      <c r="BF142" s="213"/>
      <c r="BG142" s="213"/>
      <c r="BH142" s="213"/>
      <c r="BI142" s="213"/>
      <c r="BJ142" s="211"/>
      <c r="BP142" s="241"/>
    </row>
    <row r="143" s="191" customFormat="1" ht="15" customHeight="1" spans="1:68">
      <c r="A143" s="206">
        <v>138</v>
      </c>
      <c r="B143" s="215" t="s">
        <v>102</v>
      </c>
      <c r="C143" s="215" t="s">
        <v>102</v>
      </c>
      <c r="D143" s="215" t="s">
        <v>92</v>
      </c>
      <c r="E143" s="215" t="s">
        <v>111</v>
      </c>
      <c r="F143" s="216">
        <v>215.19</v>
      </c>
      <c r="G143" s="217">
        <f t="shared" si="66"/>
        <v>23.2218028670477</v>
      </c>
      <c r="H143" s="209">
        <f t="shared" si="61"/>
        <v>4997.09975896</v>
      </c>
      <c r="I143" s="215">
        <v>2</v>
      </c>
      <c r="J143" s="209">
        <f t="shared" si="67"/>
        <v>2367.557928</v>
      </c>
      <c r="K143" s="209">
        <f t="shared" si="80"/>
        <v>1076.417928</v>
      </c>
      <c r="L143" s="215">
        <v>2</v>
      </c>
      <c r="M143" s="209">
        <f t="shared" si="68"/>
        <v>430.38</v>
      </c>
      <c r="N143" s="216">
        <v>3195.548115</v>
      </c>
      <c r="O143" s="217">
        <f t="shared" si="69"/>
        <v>1291.14</v>
      </c>
      <c r="P143" s="217">
        <v>0</v>
      </c>
      <c r="Q143" s="209">
        <f t="shared" si="81"/>
        <v>1242.14698296</v>
      </c>
      <c r="R143" s="209">
        <f t="shared" si="70"/>
        <v>0</v>
      </c>
      <c r="S143" s="209">
        <v>0</v>
      </c>
      <c r="T143" s="216">
        <v>0</v>
      </c>
      <c r="U143" s="215">
        <v>0</v>
      </c>
      <c r="V143" s="217"/>
      <c r="W143" s="216">
        <v>1076.417928</v>
      </c>
      <c r="X143" s="216">
        <v>0</v>
      </c>
      <c r="Y143" s="217">
        <f t="shared" si="71"/>
        <v>0</v>
      </c>
      <c r="Z143" s="209">
        <f t="shared" si="72"/>
        <v>0</v>
      </c>
      <c r="AA143" s="216">
        <v>0</v>
      </c>
      <c r="AB143" s="230">
        <v>0</v>
      </c>
      <c r="AC143" s="216">
        <v>0</v>
      </c>
      <c r="AD143" s="231">
        <v>0</v>
      </c>
      <c r="AE143" s="208">
        <f t="shared" si="73"/>
        <v>165.72905496</v>
      </c>
      <c r="AF143" s="216">
        <v>0</v>
      </c>
      <c r="AG143" s="208">
        <f t="shared" si="74"/>
        <v>559.404661</v>
      </c>
      <c r="AH143" s="216">
        <v>0</v>
      </c>
      <c r="AI143" s="216">
        <v>0</v>
      </c>
      <c r="AJ143" s="216">
        <v>559.404661</v>
      </c>
      <c r="AK143" s="217">
        <f t="shared" si="75"/>
        <v>430.38</v>
      </c>
      <c r="AL143" s="206">
        <f t="shared" si="76"/>
        <v>0</v>
      </c>
      <c r="AM143" s="235">
        <f t="shared" si="62"/>
        <v>0</v>
      </c>
      <c r="AN143" s="235">
        <f t="shared" si="77"/>
        <v>0</v>
      </c>
      <c r="AO143" s="209">
        <f t="shared" si="63"/>
        <v>0.86076</v>
      </c>
      <c r="AP143" s="209">
        <f t="shared" si="78"/>
        <v>0.02689875</v>
      </c>
      <c r="AQ143" s="209">
        <f t="shared" si="64"/>
        <v>0.43038</v>
      </c>
      <c r="AR143" s="209">
        <f t="shared" si="79"/>
        <v>0.00896625</v>
      </c>
      <c r="AS143" s="209">
        <f t="shared" si="82"/>
        <v>0</v>
      </c>
      <c r="AT143" s="215">
        <v>3</v>
      </c>
      <c r="AU143" s="215" t="s">
        <v>89</v>
      </c>
      <c r="AV143" s="237">
        <f t="shared" si="65"/>
        <v>0</v>
      </c>
      <c r="AW143" s="209"/>
      <c r="AX143" s="209"/>
      <c r="AY143" s="237"/>
      <c r="AZ143" s="217"/>
      <c r="BA143" s="209"/>
      <c r="BB143" s="237"/>
      <c r="BC143" s="237"/>
      <c r="BD143" s="217"/>
      <c r="BE143" s="209"/>
      <c r="BF143" s="217"/>
      <c r="BG143" s="209"/>
      <c r="BH143" s="209"/>
      <c r="BI143" s="209"/>
      <c r="BJ143" s="215"/>
      <c r="BP143" s="242"/>
    </row>
    <row r="144" s="191" customFormat="1" ht="15" customHeight="1" spans="1:68">
      <c r="A144" s="206">
        <v>139</v>
      </c>
      <c r="B144" s="215" t="s">
        <v>102</v>
      </c>
      <c r="C144" s="215" t="s">
        <v>102</v>
      </c>
      <c r="D144" s="215" t="s">
        <v>223</v>
      </c>
      <c r="E144" s="215" t="s">
        <v>93</v>
      </c>
      <c r="F144" s="216">
        <v>239.95</v>
      </c>
      <c r="G144" s="217">
        <f t="shared" si="66"/>
        <v>21.5574329364868</v>
      </c>
      <c r="H144" s="209">
        <f t="shared" si="61"/>
        <v>5172.70603311</v>
      </c>
      <c r="I144" s="215">
        <v>2</v>
      </c>
      <c r="J144" s="209">
        <f t="shared" si="67"/>
        <v>2681.972073</v>
      </c>
      <c r="K144" s="209">
        <f t="shared" si="80"/>
        <v>1242.272073</v>
      </c>
      <c r="L144" s="215">
        <v>2</v>
      </c>
      <c r="M144" s="209">
        <f t="shared" si="68"/>
        <v>479.9</v>
      </c>
      <c r="N144" s="216">
        <v>3742.695915</v>
      </c>
      <c r="O144" s="217">
        <f t="shared" si="69"/>
        <v>1439.7</v>
      </c>
      <c r="P144" s="217">
        <v>0</v>
      </c>
      <c r="Q144" s="209">
        <f t="shared" si="81"/>
        <v>1430.01011811</v>
      </c>
      <c r="R144" s="209">
        <f t="shared" si="70"/>
        <v>0</v>
      </c>
      <c r="S144" s="209">
        <v>0</v>
      </c>
      <c r="T144" s="216">
        <v>0</v>
      </c>
      <c r="U144" s="215">
        <v>0</v>
      </c>
      <c r="V144" s="217"/>
      <c r="W144" s="216">
        <v>1242.272073</v>
      </c>
      <c r="X144" s="216">
        <v>0</v>
      </c>
      <c r="Y144" s="217">
        <f t="shared" si="71"/>
        <v>0</v>
      </c>
      <c r="Z144" s="209">
        <f t="shared" si="72"/>
        <v>0</v>
      </c>
      <c r="AA144" s="216">
        <v>0</v>
      </c>
      <c r="AB144" s="230">
        <v>0</v>
      </c>
      <c r="AC144" s="216">
        <v>0</v>
      </c>
      <c r="AD144" s="231">
        <v>0</v>
      </c>
      <c r="AE144" s="208">
        <f t="shared" si="73"/>
        <v>187.73804511</v>
      </c>
      <c r="AF144" s="216">
        <v>0</v>
      </c>
      <c r="AG144" s="208">
        <f t="shared" si="74"/>
        <v>0</v>
      </c>
      <c r="AH144" s="216">
        <v>0</v>
      </c>
      <c r="AI144" s="216">
        <v>0</v>
      </c>
      <c r="AJ144" s="216">
        <v>0</v>
      </c>
      <c r="AK144" s="217">
        <f t="shared" si="75"/>
        <v>479.9</v>
      </c>
      <c r="AL144" s="206">
        <f t="shared" si="76"/>
        <v>0</v>
      </c>
      <c r="AM144" s="235">
        <f t="shared" si="62"/>
        <v>0</v>
      </c>
      <c r="AN144" s="235">
        <f t="shared" si="77"/>
        <v>0</v>
      </c>
      <c r="AO144" s="209">
        <f t="shared" si="63"/>
        <v>0.9598</v>
      </c>
      <c r="AP144" s="209">
        <f t="shared" si="78"/>
        <v>0.02999375</v>
      </c>
      <c r="AQ144" s="209">
        <f t="shared" si="64"/>
        <v>0.4799</v>
      </c>
      <c r="AR144" s="209">
        <f t="shared" si="79"/>
        <v>0.00999791666666667</v>
      </c>
      <c r="AS144" s="209">
        <f t="shared" si="82"/>
        <v>0</v>
      </c>
      <c r="AT144" s="215">
        <v>0</v>
      </c>
      <c r="AU144" s="215" t="s">
        <v>89</v>
      </c>
      <c r="AV144" s="237">
        <f t="shared" si="65"/>
        <v>0</v>
      </c>
      <c r="AW144" s="209"/>
      <c r="AX144" s="209"/>
      <c r="AY144" s="237"/>
      <c r="AZ144" s="217"/>
      <c r="BA144" s="209"/>
      <c r="BB144" s="237"/>
      <c r="BC144" s="237"/>
      <c r="BD144" s="217"/>
      <c r="BE144" s="209"/>
      <c r="BF144" s="217"/>
      <c r="BG144" s="209"/>
      <c r="BH144" s="209"/>
      <c r="BI144" s="209"/>
      <c r="BJ144" s="215"/>
      <c r="BP144" s="242"/>
    </row>
    <row r="145" s="191" customFormat="1" ht="15" customHeight="1" spans="1:68">
      <c r="A145" s="214">
        <v>140</v>
      </c>
      <c r="B145" s="215" t="s">
        <v>102</v>
      </c>
      <c r="C145" s="215" t="s">
        <v>102</v>
      </c>
      <c r="D145" s="215" t="s">
        <v>114</v>
      </c>
      <c r="E145" s="215" t="s">
        <v>111</v>
      </c>
      <c r="F145" s="216">
        <v>529.9</v>
      </c>
      <c r="G145" s="217">
        <f t="shared" si="66"/>
        <v>16.1777967473486</v>
      </c>
      <c r="H145" s="209">
        <f t="shared" si="61"/>
        <v>8572.61449642</v>
      </c>
      <c r="I145" s="215">
        <v>2</v>
      </c>
      <c r="J145" s="209">
        <f t="shared" si="67"/>
        <v>4337.260906</v>
      </c>
      <c r="K145" s="209">
        <f t="shared" si="80"/>
        <v>1157.860906</v>
      </c>
      <c r="L145" s="215">
        <v>2</v>
      </c>
      <c r="M145" s="209">
        <f t="shared" si="68"/>
        <v>1059.8</v>
      </c>
      <c r="N145" s="216">
        <v>5142.133377</v>
      </c>
      <c r="O145" s="217">
        <f t="shared" si="69"/>
        <v>3179.4</v>
      </c>
      <c r="P145" s="217">
        <v>0</v>
      </c>
      <c r="Q145" s="209">
        <f t="shared" si="81"/>
        <v>1461.46916942</v>
      </c>
      <c r="R145" s="209">
        <f t="shared" si="70"/>
        <v>0</v>
      </c>
      <c r="S145" s="209">
        <v>0</v>
      </c>
      <c r="T145" s="216">
        <v>0</v>
      </c>
      <c r="U145" s="215">
        <v>0</v>
      </c>
      <c r="V145" s="217"/>
      <c r="W145" s="216">
        <v>1157.860906</v>
      </c>
      <c r="X145" s="216">
        <v>0</v>
      </c>
      <c r="Y145" s="217">
        <f t="shared" si="71"/>
        <v>0</v>
      </c>
      <c r="Z145" s="209">
        <f t="shared" si="72"/>
        <v>17.572911</v>
      </c>
      <c r="AA145" s="216">
        <v>17.572911</v>
      </c>
      <c r="AB145" s="230">
        <v>0</v>
      </c>
      <c r="AC145" s="216">
        <v>0</v>
      </c>
      <c r="AD145" s="231">
        <v>0</v>
      </c>
      <c r="AE145" s="208">
        <f t="shared" si="73"/>
        <v>303.60826342</v>
      </c>
      <c r="AF145" s="216">
        <v>0</v>
      </c>
      <c r="AG145" s="208">
        <f t="shared" si="74"/>
        <v>1933.866128</v>
      </c>
      <c r="AH145" s="216">
        <v>0</v>
      </c>
      <c r="AI145" s="216">
        <v>0</v>
      </c>
      <c r="AJ145" s="216">
        <v>1933.866128</v>
      </c>
      <c r="AK145" s="217">
        <f t="shared" si="75"/>
        <v>1059.8</v>
      </c>
      <c r="AL145" s="206">
        <f t="shared" si="76"/>
        <v>0</v>
      </c>
      <c r="AM145" s="235">
        <f t="shared" si="62"/>
        <v>0</v>
      </c>
      <c r="AN145" s="235">
        <f t="shared" si="77"/>
        <v>0</v>
      </c>
      <c r="AO145" s="209">
        <f t="shared" si="63"/>
        <v>2.1196</v>
      </c>
      <c r="AP145" s="209">
        <f t="shared" si="78"/>
        <v>0.0662375</v>
      </c>
      <c r="AQ145" s="209">
        <f t="shared" si="64"/>
        <v>1.0598</v>
      </c>
      <c r="AR145" s="209">
        <f t="shared" si="79"/>
        <v>0.0220791666666667</v>
      </c>
      <c r="AS145" s="209">
        <f t="shared" si="82"/>
        <v>0</v>
      </c>
      <c r="AT145" s="215">
        <v>2</v>
      </c>
      <c r="AU145" s="215" t="s">
        <v>89</v>
      </c>
      <c r="AV145" s="237">
        <f t="shared" si="65"/>
        <v>0</v>
      </c>
      <c r="AW145" s="209"/>
      <c r="AX145" s="209"/>
      <c r="AY145" s="237"/>
      <c r="AZ145" s="217"/>
      <c r="BA145" s="209"/>
      <c r="BB145" s="237"/>
      <c r="BC145" s="237"/>
      <c r="BD145" s="217"/>
      <c r="BE145" s="209"/>
      <c r="BF145" s="217"/>
      <c r="BG145" s="209"/>
      <c r="BH145" s="209"/>
      <c r="BI145" s="209"/>
      <c r="BJ145" s="215"/>
      <c r="BP145" s="242"/>
    </row>
    <row r="146" s="191" customFormat="1" ht="15" customHeight="1" spans="1:68">
      <c r="A146" s="206">
        <v>141</v>
      </c>
      <c r="B146" s="215" t="s">
        <v>102</v>
      </c>
      <c r="C146" s="215" t="s">
        <v>102</v>
      </c>
      <c r="D146" s="215" t="s">
        <v>88</v>
      </c>
      <c r="E146" s="215" t="s">
        <v>223</v>
      </c>
      <c r="F146" s="216">
        <v>235.24</v>
      </c>
      <c r="G146" s="217">
        <f t="shared" si="66"/>
        <v>23.7402765826815</v>
      </c>
      <c r="H146" s="209">
        <f t="shared" si="61"/>
        <v>5584.66266331</v>
      </c>
      <c r="I146" s="215">
        <v>2</v>
      </c>
      <c r="J146" s="209">
        <f t="shared" si="67"/>
        <v>2616.609333</v>
      </c>
      <c r="K146" s="209">
        <f t="shared" si="80"/>
        <v>1205.169333</v>
      </c>
      <c r="L146" s="215">
        <v>2</v>
      </c>
      <c r="M146" s="209">
        <f t="shared" si="68"/>
        <v>470.48</v>
      </c>
      <c r="N146" s="216">
        <v>3608.403424</v>
      </c>
      <c r="O146" s="217">
        <f t="shared" si="69"/>
        <v>1411.44</v>
      </c>
      <c r="P146" s="217">
        <v>0</v>
      </c>
      <c r="Q146" s="209">
        <f t="shared" si="81"/>
        <v>1388.33198631</v>
      </c>
      <c r="R146" s="209">
        <f t="shared" si="70"/>
        <v>0</v>
      </c>
      <c r="S146" s="209">
        <v>0</v>
      </c>
      <c r="T146" s="216">
        <v>0</v>
      </c>
      <c r="U146" s="215">
        <v>0</v>
      </c>
      <c r="V146" s="217"/>
      <c r="W146" s="216">
        <v>1205.169333</v>
      </c>
      <c r="X146" s="216">
        <v>0</v>
      </c>
      <c r="Y146" s="217">
        <f t="shared" si="71"/>
        <v>0</v>
      </c>
      <c r="Z146" s="209">
        <f t="shared" si="72"/>
        <v>0</v>
      </c>
      <c r="AA146" s="216">
        <v>0</v>
      </c>
      <c r="AB146" s="230">
        <v>0</v>
      </c>
      <c r="AC146" s="216">
        <v>0</v>
      </c>
      <c r="AD146" s="231">
        <v>0</v>
      </c>
      <c r="AE146" s="208">
        <f t="shared" si="73"/>
        <v>183.16265331</v>
      </c>
      <c r="AF146" s="216">
        <v>0</v>
      </c>
      <c r="AG146" s="208">
        <f t="shared" si="74"/>
        <v>587.927253</v>
      </c>
      <c r="AH146" s="216">
        <v>0</v>
      </c>
      <c r="AI146" s="216">
        <v>0</v>
      </c>
      <c r="AJ146" s="216">
        <v>587.927253</v>
      </c>
      <c r="AK146" s="217">
        <f t="shared" si="75"/>
        <v>470.48</v>
      </c>
      <c r="AL146" s="206">
        <f t="shared" si="76"/>
        <v>0</v>
      </c>
      <c r="AM146" s="235">
        <f t="shared" si="62"/>
        <v>0</v>
      </c>
      <c r="AN146" s="235">
        <f t="shared" si="77"/>
        <v>0</v>
      </c>
      <c r="AO146" s="209">
        <f t="shared" si="63"/>
        <v>0.94096</v>
      </c>
      <c r="AP146" s="209">
        <f t="shared" si="78"/>
        <v>0.029405</v>
      </c>
      <c r="AQ146" s="209">
        <f t="shared" si="64"/>
        <v>0.47048</v>
      </c>
      <c r="AR146" s="209">
        <f t="shared" si="79"/>
        <v>0.00980166666666667</v>
      </c>
      <c r="AS146" s="209">
        <f t="shared" si="82"/>
        <v>0</v>
      </c>
      <c r="AT146" s="215">
        <v>0</v>
      </c>
      <c r="AU146" s="215" t="s">
        <v>89</v>
      </c>
      <c r="AV146" s="237">
        <f t="shared" si="65"/>
        <v>0</v>
      </c>
      <c r="AW146" s="209"/>
      <c r="AX146" s="209"/>
      <c r="AY146" s="237"/>
      <c r="AZ146" s="217"/>
      <c r="BA146" s="209"/>
      <c r="BB146" s="237"/>
      <c r="BC146" s="237"/>
      <c r="BD146" s="217"/>
      <c r="BE146" s="209"/>
      <c r="BF146" s="217"/>
      <c r="BG146" s="209"/>
      <c r="BH146" s="209"/>
      <c r="BI146" s="209"/>
      <c r="BJ146" s="215"/>
      <c r="BP146" s="242"/>
    </row>
    <row r="147" s="192" customFormat="1" ht="15" customHeight="1" spans="1:68">
      <c r="A147" s="210">
        <v>142</v>
      </c>
      <c r="B147" s="215" t="s">
        <v>97</v>
      </c>
      <c r="C147" s="219" t="s">
        <v>97</v>
      </c>
      <c r="D147" s="219" t="s">
        <v>114</v>
      </c>
      <c r="E147" s="219" t="s">
        <v>88</v>
      </c>
      <c r="F147" s="220">
        <v>441.84</v>
      </c>
      <c r="G147" s="221">
        <f t="shared" si="66"/>
        <v>16.6663470646388</v>
      </c>
      <c r="H147" s="213">
        <f t="shared" si="61"/>
        <v>7363.85878704</v>
      </c>
      <c r="I147" s="219">
        <v>2</v>
      </c>
      <c r="J147" s="213">
        <f t="shared" si="67"/>
        <v>4780.244172</v>
      </c>
      <c r="K147" s="213">
        <f t="shared" si="80"/>
        <v>2129.204172</v>
      </c>
      <c r="L147" s="215">
        <v>0</v>
      </c>
      <c r="M147" s="213">
        <f t="shared" si="68"/>
        <v>883.68</v>
      </c>
      <c r="N147" s="220">
        <v>4134.609999</v>
      </c>
      <c r="O147" s="221">
        <f t="shared" si="69"/>
        <v>2651.04</v>
      </c>
      <c r="P147" s="221">
        <v>0</v>
      </c>
      <c r="Q147" s="213">
        <f t="shared" si="81"/>
        <v>2463.82126404</v>
      </c>
      <c r="R147" s="213">
        <f t="shared" si="70"/>
        <v>0</v>
      </c>
      <c r="S147" s="213">
        <v>0</v>
      </c>
      <c r="T147" s="220">
        <v>0</v>
      </c>
      <c r="U147" s="219">
        <v>0</v>
      </c>
      <c r="V147" s="221"/>
      <c r="W147" s="220">
        <v>2129.204172</v>
      </c>
      <c r="X147" s="220">
        <v>0</v>
      </c>
      <c r="Y147" s="221">
        <f t="shared" si="71"/>
        <v>0</v>
      </c>
      <c r="Z147" s="213">
        <f t="shared" si="72"/>
        <v>0</v>
      </c>
      <c r="AA147" s="216">
        <v>0</v>
      </c>
      <c r="AB147" s="230">
        <v>0</v>
      </c>
      <c r="AC147" s="216">
        <v>0</v>
      </c>
      <c r="AD147" s="231">
        <v>0</v>
      </c>
      <c r="AE147" s="212">
        <f t="shared" si="73"/>
        <v>334.61709204</v>
      </c>
      <c r="AF147" s="220">
        <v>0</v>
      </c>
      <c r="AG147" s="212">
        <f t="shared" si="74"/>
        <v>765.427524</v>
      </c>
      <c r="AH147" s="220">
        <v>0</v>
      </c>
      <c r="AI147" s="220">
        <v>0</v>
      </c>
      <c r="AJ147" s="220">
        <v>765.427524</v>
      </c>
      <c r="AK147" s="221">
        <f t="shared" si="75"/>
        <v>883.68</v>
      </c>
      <c r="AL147" s="210">
        <f t="shared" si="76"/>
        <v>0</v>
      </c>
      <c r="AM147" s="235">
        <f t="shared" si="62"/>
        <v>0</v>
      </c>
      <c r="AN147" s="235">
        <f t="shared" si="77"/>
        <v>0</v>
      </c>
      <c r="AO147" s="213">
        <f t="shared" si="63"/>
        <v>1.76736</v>
      </c>
      <c r="AP147" s="209">
        <f t="shared" si="78"/>
        <v>0.05523</v>
      </c>
      <c r="AQ147" s="213">
        <f t="shared" si="64"/>
        <v>0.88368</v>
      </c>
      <c r="AR147" s="209">
        <f t="shared" si="79"/>
        <v>0.01841</v>
      </c>
      <c r="AS147" s="213">
        <f t="shared" si="82"/>
        <v>0</v>
      </c>
      <c r="AT147" s="219">
        <v>0</v>
      </c>
      <c r="AU147" s="219" t="s">
        <v>89</v>
      </c>
      <c r="AV147" s="237">
        <f t="shared" si="65"/>
        <v>0</v>
      </c>
      <c r="AW147" s="213"/>
      <c r="AX147" s="213"/>
      <c r="AY147" s="238"/>
      <c r="AZ147" s="221"/>
      <c r="BA147" s="213"/>
      <c r="BB147" s="238"/>
      <c r="BC147" s="238"/>
      <c r="BD147" s="221"/>
      <c r="BE147" s="213"/>
      <c r="BF147" s="221"/>
      <c r="BG147" s="213"/>
      <c r="BH147" s="213"/>
      <c r="BI147" s="213"/>
      <c r="BJ147" s="219"/>
      <c r="BP147" s="243"/>
    </row>
    <row r="148" s="189" customFormat="1" ht="15" customHeight="1" spans="1:68">
      <c r="A148" s="214">
        <v>143</v>
      </c>
      <c r="B148" s="207" t="s">
        <v>142</v>
      </c>
      <c r="C148" s="207" t="s">
        <v>142</v>
      </c>
      <c r="D148" s="207" t="s">
        <v>80</v>
      </c>
      <c r="E148" s="207" t="s">
        <v>135</v>
      </c>
      <c r="F148" s="208">
        <v>492.57</v>
      </c>
      <c r="G148" s="209">
        <f t="shared" si="66"/>
        <v>28.3005625657267</v>
      </c>
      <c r="H148" s="209">
        <f t="shared" si="61"/>
        <v>13940.008103</v>
      </c>
      <c r="I148" s="207">
        <v>3</v>
      </c>
      <c r="J148" s="209">
        <f t="shared" si="67"/>
        <v>2955.42</v>
      </c>
      <c r="K148" s="209">
        <f t="shared" si="80"/>
        <v>0</v>
      </c>
      <c r="L148" s="207">
        <v>0</v>
      </c>
      <c r="M148" s="209">
        <f t="shared" si="68"/>
        <v>985.14</v>
      </c>
      <c r="N148" s="208">
        <v>5993.755814</v>
      </c>
      <c r="O148" s="209">
        <f t="shared" si="69"/>
        <v>2955.42</v>
      </c>
      <c r="P148" s="209">
        <v>0</v>
      </c>
      <c r="Q148" s="209">
        <f t="shared" si="81"/>
        <v>177.3252</v>
      </c>
      <c r="R148" s="209">
        <f t="shared" si="70"/>
        <v>0</v>
      </c>
      <c r="S148" s="209">
        <v>0</v>
      </c>
      <c r="T148" s="208">
        <v>0</v>
      </c>
      <c r="U148" s="207">
        <v>0</v>
      </c>
      <c r="V148" s="209"/>
      <c r="W148" s="208">
        <v>0</v>
      </c>
      <c r="X148" s="208">
        <v>0</v>
      </c>
      <c r="Y148" s="209">
        <f t="shared" si="71"/>
        <v>0</v>
      </c>
      <c r="Z148" s="209">
        <f t="shared" si="72"/>
        <v>0</v>
      </c>
      <c r="AA148" s="208">
        <v>0</v>
      </c>
      <c r="AB148" s="228">
        <v>0</v>
      </c>
      <c r="AC148" s="208">
        <v>0</v>
      </c>
      <c r="AD148" s="229">
        <v>0</v>
      </c>
      <c r="AE148" s="208">
        <f t="shared" si="73"/>
        <v>177.3252</v>
      </c>
      <c r="AF148" s="208">
        <v>0</v>
      </c>
      <c r="AG148" s="208">
        <f t="shared" si="74"/>
        <v>7768.927089</v>
      </c>
      <c r="AH148" s="208">
        <v>0</v>
      </c>
      <c r="AI148" s="208">
        <v>0</v>
      </c>
      <c r="AJ148" s="208">
        <v>7768.927089</v>
      </c>
      <c r="AK148" s="209">
        <f t="shared" si="75"/>
        <v>985.14</v>
      </c>
      <c r="AL148" s="206">
        <f t="shared" si="76"/>
        <v>0</v>
      </c>
      <c r="AM148" s="235">
        <f t="shared" si="62"/>
        <v>0</v>
      </c>
      <c r="AN148" s="235">
        <f t="shared" si="77"/>
        <v>0</v>
      </c>
      <c r="AO148" s="209">
        <f t="shared" si="63"/>
        <v>0.98514</v>
      </c>
      <c r="AP148" s="209">
        <f t="shared" si="78"/>
        <v>0.030785625</v>
      </c>
      <c r="AQ148" s="209">
        <f t="shared" si="64"/>
        <v>0.49257</v>
      </c>
      <c r="AR148" s="209">
        <f t="shared" si="79"/>
        <v>0.010261875</v>
      </c>
      <c r="AS148" s="209">
        <f t="shared" si="82"/>
        <v>0</v>
      </c>
      <c r="AT148" s="207">
        <v>0</v>
      </c>
      <c r="AU148" s="207"/>
      <c r="AV148" s="237">
        <f t="shared" si="65"/>
        <v>0</v>
      </c>
      <c r="AW148" s="209"/>
      <c r="AX148" s="209"/>
      <c r="AY148" s="237"/>
      <c r="AZ148" s="237"/>
      <c r="BA148" s="209"/>
      <c r="BB148" s="237"/>
      <c r="BC148" s="237"/>
      <c r="BD148" s="209"/>
      <c r="BE148" s="209"/>
      <c r="BF148" s="209"/>
      <c r="BG148" s="209"/>
      <c r="BH148" s="209"/>
      <c r="BI148" s="209"/>
      <c r="BJ148" s="207"/>
      <c r="BP148" s="240"/>
    </row>
    <row r="149" s="189" customFormat="1" ht="15" customHeight="1" spans="1:68">
      <c r="A149" s="206">
        <v>144</v>
      </c>
      <c r="B149" s="207" t="s">
        <v>144</v>
      </c>
      <c r="C149" s="207" t="s">
        <v>144</v>
      </c>
      <c r="D149" s="207" t="s">
        <v>80</v>
      </c>
      <c r="E149" s="207" t="s">
        <v>135</v>
      </c>
      <c r="F149" s="208">
        <v>480.07</v>
      </c>
      <c r="G149" s="209">
        <f t="shared" si="66"/>
        <v>25.1739505551274</v>
      </c>
      <c r="H149" s="209">
        <f t="shared" si="61"/>
        <v>12085.258443</v>
      </c>
      <c r="I149" s="207">
        <v>3</v>
      </c>
      <c r="J149" s="209">
        <f t="shared" si="67"/>
        <v>2880.42</v>
      </c>
      <c r="K149" s="209">
        <f t="shared" si="80"/>
        <v>0</v>
      </c>
      <c r="L149" s="207">
        <v>2</v>
      </c>
      <c r="M149" s="209">
        <f t="shared" si="68"/>
        <v>960.14</v>
      </c>
      <c r="N149" s="208">
        <v>5881.158052</v>
      </c>
      <c r="O149" s="209">
        <f t="shared" si="69"/>
        <v>2880.42</v>
      </c>
      <c r="P149" s="209">
        <v>0</v>
      </c>
      <c r="Q149" s="209">
        <f t="shared" si="81"/>
        <v>172.8252</v>
      </c>
      <c r="R149" s="209">
        <f t="shared" si="70"/>
        <v>0</v>
      </c>
      <c r="S149" s="209">
        <v>0</v>
      </c>
      <c r="T149" s="208">
        <v>0</v>
      </c>
      <c r="U149" s="207">
        <v>0</v>
      </c>
      <c r="V149" s="209"/>
      <c r="W149" s="208">
        <v>0</v>
      </c>
      <c r="X149" s="208">
        <v>0</v>
      </c>
      <c r="Y149" s="209">
        <f t="shared" si="71"/>
        <v>0</v>
      </c>
      <c r="Z149" s="209">
        <f t="shared" si="72"/>
        <v>0</v>
      </c>
      <c r="AA149" s="208">
        <v>0</v>
      </c>
      <c r="AB149" s="228">
        <v>0</v>
      </c>
      <c r="AC149" s="208">
        <v>0</v>
      </c>
      <c r="AD149" s="229">
        <v>0</v>
      </c>
      <c r="AE149" s="208">
        <f t="shared" si="73"/>
        <v>172.8252</v>
      </c>
      <c r="AF149" s="208">
        <v>0</v>
      </c>
      <c r="AG149" s="208">
        <f t="shared" si="74"/>
        <v>6031.275191</v>
      </c>
      <c r="AH149" s="208">
        <v>0</v>
      </c>
      <c r="AI149" s="208">
        <v>0</v>
      </c>
      <c r="AJ149" s="208">
        <v>6031.275191</v>
      </c>
      <c r="AK149" s="209">
        <f t="shared" si="75"/>
        <v>960.14</v>
      </c>
      <c r="AL149" s="206">
        <f t="shared" si="76"/>
        <v>0</v>
      </c>
      <c r="AM149" s="235">
        <f t="shared" si="62"/>
        <v>0</v>
      </c>
      <c r="AN149" s="235">
        <f t="shared" si="77"/>
        <v>0</v>
      </c>
      <c r="AO149" s="209">
        <f t="shared" si="63"/>
        <v>0.96014</v>
      </c>
      <c r="AP149" s="209">
        <f t="shared" si="78"/>
        <v>0.030004375</v>
      </c>
      <c r="AQ149" s="209">
        <f t="shared" si="64"/>
        <v>0.48007</v>
      </c>
      <c r="AR149" s="209">
        <f t="shared" si="79"/>
        <v>0.0100014583333333</v>
      </c>
      <c r="AS149" s="209">
        <f t="shared" si="82"/>
        <v>0</v>
      </c>
      <c r="AT149" s="207">
        <v>0</v>
      </c>
      <c r="AU149" s="207"/>
      <c r="AV149" s="237">
        <f t="shared" si="65"/>
        <v>0</v>
      </c>
      <c r="AW149" s="209"/>
      <c r="AX149" s="209"/>
      <c r="AY149" s="237"/>
      <c r="AZ149" s="237"/>
      <c r="BA149" s="209"/>
      <c r="BB149" s="237"/>
      <c r="BC149" s="237"/>
      <c r="BD149" s="209"/>
      <c r="BE149" s="209"/>
      <c r="BF149" s="209"/>
      <c r="BG149" s="209"/>
      <c r="BH149" s="209"/>
      <c r="BI149" s="209"/>
      <c r="BJ149" s="207"/>
      <c r="BP149" s="240"/>
    </row>
    <row r="150" s="190" customFormat="1" ht="15" customHeight="1" spans="1:68">
      <c r="A150" s="210">
        <v>145</v>
      </c>
      <c r="B150" s="207" t="s">
        <v>224</v>
      </c>
      <c r="C150" s="211" t="s">
        <v>224</v>
      </c>
      <c r="D150" s="211" t="s">
        <v>92</v>
      </c>
      <c r="E150" s="211" t="s">
        <v>87</v>
      </c>
      <c r="F150" s="212">
        <v>498.68</v>
      </c>
      <c r="G150" s="213">
        <f t="shared" si="66"/>
        <v>27.2131512269191</v>
      </c>
      <c r="H150" s="213">
        <f t="shared" si="61"/>
        <v>13570.65425384</v>
      </c>
      <c r="I150" s="211">
        <v>3</v>
      </c>
      <c r="J150" s="213">
        <f t="shared" si="67"/>
        <v>5534.262314</v>
      </c>
      <c r="K150" s="213">
        <f t="shared" si="80"/>
        <v>2542.182314</v>
      </c>
      <c r="L150" s="207">
        <v>2</v>
      </c>
      <c r="M150" s="213">
        <f t="shared" si="68"/>
        <v>997.36</v>
      </c>
      <c r="N150" s="212">
        <v>7517.287073</v>
      </c>
      <c r="O150" s="213">
        <f t="shared" si="69"/>
        <v>2992.08</v>
      </c>
      <c r="P150" s="213">
        <v>0</v>
      </c>
      <c r="Q150" s="213">
        <f t="shared" si="81"/>
        <v>2874.23805284</v>
      </c>
      <c r="R150" s="213">
        <f t="shared" si="70"/>
        <v>0</v>
      </c>
      <c r="S150" s="213">
        <v>0</v>
      </c>
      <c r="T150" s="212">
        <v>0</v>
      </c>
      <c r="U150" s="211">
        <v>0</v>
      </c>
      <c r="V150" s="213"/>
      <c r="W150" s="212">
        <v>2542.182314</v>
      </c>
      <c r="X150" s="212">
        <v>0</v>
      </c>
      <c r="Y150" s="213">
        <f t="shared" si="71"/>
        <v>0</v>
      </c>
      <c r="Z150" s="213">
        <f t="shared" si="72"/>
        <v>40.083814</v>
      </c>
      <c r="AA150" s="208">
        <v>40.083814</v>
      </c>
      <c r="AB150" s="228">
        <v>0</v>
      </c>
      <c r="AC150" s="208">
        <v>0</v>
      </c>
      <c r="AD150" s="229">
        <v>0</v>
      </c>
      <c r="AE150" s="212">
        <f t="shared" si="73"/>
        <v>332.05573884</v>
      </c>
      <c r="AF150" s="212">
        <v>0</v>
      </c>
      <c r="AG150" s="212">
        <f t="shared" si="74"/>
        <v>3098.9615</v>
      </c>
      <c r="AH150" s="212">
        <v>0</v>
      </c>
      <c r="AI150" s="212">
        <v>0</v>
      </c>
      <c r="AJ150" s="212">
        <v>3098.9615</v>
      </c>
      <c r="AK150" s="213">
        <f t="shared" si="75"/>
        <v>997.36</v>
      </c>
      <c r="AL150" s="210">
        <f t="shared" si="76"/>
        <v>0</v>
      </c>
      <c r="AM150" s="235">
        <f t="shared" si="62"/>
        <v>0</v>
      </c>
      <c r="AN150" s="235">
        <f t="shared" si="77"/>
        <v>0</v>
      </c>
      <c r="AO150" s="213">
        <f t="shared" si="63"/>
        <v>0.99736</v>
      </c>
      <c r="AP150" s="209">
        <f t="shared" si="78"/>
        <v>0.0311675</v>
      </c>
      <c r="AQ150" s="213">
        <f t="shared" si="64"/>
        <v>0.49868</v>
      </c>
      <c r="AR150" s="209">
        <f t="shared" si="79"/>
        <v>0.0103891666666667</v>
      </c>
      <c r="AS150" s="213">
        <f t="shared" si="82"/>
        <v>0</v>
      </c>
      <c r="AT150" s="211">
        <v>0</v>
      </c>
      <c r="AU150" s="211"/>
      <c r="AV150" s="237">
        <f t="shared" si="65"/>
        <v>0</v>
      </c>
      <c r="AW150" s="213"/>
      <c r="AX150" s="213"/>
      <c r="AY150" s="238"/>
      <c r="AZ150" s="238"/>
      <c r="BA150" s="213"/>
      <c r="BB150" s="238"/>
      <c r="BC150" s="238"/>
      <c r="BD150" s="213"/>
      <c r="BE150" s="213"/>
      <c r="BF150" s="213"/>
      <c r="BG150" s="213"/>
      <c r="BH150" s="213"/>
      <c r="BI150" s="213"/>
      <c r="BJ150" s="211"/>
      <c r="BP150" s="241"/>
    </row>
    <row r="151" s="190" customFormat="1" ht="15" customHeight="1" spans="1:68">
      <c r="A151" s="218">
        <v>146</v>
      </c>
      <c r="B151" s="207" t="s">
        <v>225</v>
      </c>
      <c r="C151" s="211" t="s">
        <v>225</v>
      </c>
      <c r="D151" s="211" t="s">
        <v>226</v>
      </c>
      <c r="E151" s="211" t="s">
        <v>227</v>
      </c>
      <c r="F151" s="212">
        <v>51.87</v>
      </c>
      <c r="G151" s="213">
        <f t="shared" si="66"/>
        <v>5.61190618854829</v>
      </c>
      <c r="H151" s="213">
        <f t="shared" si="61"/>
        <v>291.089574</v>
      </c>
      <c r="I151" s="211">
        <v>3</v>
      </c>
      <c r="J151" s="213">
        <f t="shared" si="67"/>
        <v>311.22</v>
      </c>
      <c r="K151" s="213">
        <f t="shared" si="80"/>
        <v>0</v>
      </c>
      <c r="L151" s="207">
        <v>0</v>
      </c>
      <c r="M151" s="213">
        <f t="shared" si="68"/>
        <v>103.74</v>
      </c>
      <c r="N151" s="212">
        <v>222.664486</v>
      </c>
      <c r="O151" s="213">
        <f t="shared" si="69"/>
        <v>311.22</v>
      </c>
      <c r="P151" s="213">
        <v>0</v>
      </c>
      <c r="Q151" s="213">
        <f t="shared" si="81"/>
        <v>18.6732</v>
      </c>
      <c r="R151" s="213">
        <f t="shared" si="70"/>
        <v>0</v>
      </c>
      <c r="S151" s="213">
        <v>0</v>
      </c>
      <c r="T151" s="212">
        <v>0</v>
      </c>
      <c r="U151" s="211">
        <v>0</v>
      </c>
      <c r="V151" s="213"/>
      <c r="W151" s="212">
        <v>0</v>
      </c>
      <c r="X151" s="212">
        <v>0</v>
      </c>
      <c r="Y151" s="213">
        <f t="shared" si="71"/>
        <v>0</v>
      </c>
      <c r="Z151" s="213">
        <f t="shared" si="72"/>
        <v>0</v>
      </c>
      <c r="AA151" s="208">
        <v>0</v>
      </c>
      <c r="AB151" s="228">
        <v>0</v>
      </c>
      <c r="AC151" s="208">
        <v>0</v>
      </c>
      <c r="AD151" s="229">
        <v>0</v>
      </c>
      <c r="AE151" s="212">
        <f t="shared" si="73"/>
        <v>18.6732</v>
      </c>
      <c r="AF151" s="212">
        <v>0</v>
      </c>
      <c r="AG151" s="212">
        <f t="shared" si="74"/>
        <v>49.751888</v>
      </c>
      <c r="AH151" s="212">
        <v>0</v>
      </c>
      <c r="AI151" s="212">
        <v>0</v>
      </c>
      <c r="AJ151" s="212">
        <v>49.751888</v>
      </c>
      <c r="AK151" s="213">
        <f t="shared" si="75"/>
        <v>103.74</v>
      </c>
      <c r="AL151" s="210">
        <f t="shared" si="76"/>
        <v>0</v>
      </c>
      <c r="AM151" s="235">
        <f t="shared" si="62"/>
        <v>0</v>
      </c>
      <c r="AN151" s="235">
        <f t="shared" si="77"/>
        <v>0</v>
      </c>
      <c r="AO151" s="213">
        <f t="shared" si="63"/>
        <v>0.10374</v>
      </c>
      <c r="AP151" s="209">
        <f t="shared" si="78"/>
        <v>0.003241875</v>
      </c>
      <c r="AQ151" s="213">
        <f t="shared" si="64"/>
        <v>0.05187</v>
      </c>
      <c r="AR151" s="209">
        <f t="shared" si="79"/>
        <v>0.001080625</v>
      </c>
      <c r="AS151" s="213">
        <f t="shared" si="82"/>
        <v>0</v>
      </c>
      <c r="AT151" s="211">
        <v>0</v>
      </c>
      <c r="AU151" s="211"/>
      <c r="AV151" s="237">
        <f t="shared" si="65"/>
        <v>0</v>
      </c>
      <c r="AW151" s="213"/>
      <c r="AX151" s="213"/>
      <c r="AY151" s="238"/>
      <c r="AZ151" s="238"/>
      <c r="BA151" s="213"/>
      <c r="BB151" s="238"/>
      <c r="BC151" s="238"/>
      <c r="BD151" s="213"/>
      <c r="BE151" s="213"/>
      <c r="BF151" s="213"/>
      <c r="BG151" s="213"/>
      <c r="BH151" s="213"/>
      <c r="BI151" s="213"/>
      <c r="BJ151" s="211"/>
      <c r="BP151" s="241"/>
    </row>
    <row r="152" s="190" customFormat="1" ht="15" customHeight="1" spans="1:68">
      <c r="A152" s="210">
        <v>147</v>
      </c>
      <c r="B152" s="207" t="s">
        <v>228</v>
      </c>
      <c r="C152" s="211" t="s">
        <v>228</v>
      </c>
      <c r="D152" s="211" t="s">
        <v>83</v>
      </c>
      <c r="E152" s="211" t="s">
        <v>180</v>
      </c>
      <c r="F152" s="212">
        <v>433.02</v>
      </c>
      <c r="G152" s="213">
        <f t="shared" si="66"/>
        <v>16.6865516818161</v>
      </c>
      <c r="H152" s="213">
        <f t="shared" si="61"/>
        <v>7225.61060926</v>
      </c>
      <c r="I152" s="211">
        <v>3</v>
      </c>
      <c r="J152" s="213">
        <f t="shared" si="67"/>
        <v>6217.870471</v>
      </c>
      <c r="K152" s="213">
        <f t="shared" si="80"/>
        <v>3619.750471</v>
      </c>
      <c r="L152" s="207">
        <v>0</v>
      </c>
      <c r="M152" s="213">
        <f t="shared" si="68"/>
        <v>866.04</v>
      </c>
      <c r="N152" s="212">
        <v>3220.21792</v>
      </c>
      <c r="O152" s="213">
        <f t="shared" si="69"/>
        <v>2598.12</v>
      </c>
      <c r="P152" s="213">
        <v>0</v>
      </c>
      <c r="Q152" s="213">
        <f t="shared" si="81"/>
        <v>3992.82269926</v>
      </c>
      <c r="R152" s="213">
        <f t="shared" si="70"/>
        <v>0</v>
      </c>
      <c r="S152" s="213">
        <v>0</v>
      </c>
      <c r="T152" s="212">
        <v>0</v>
      </c>
      <c r="U152" s="211">
        <v>0</v>
      </c>
      <c r="V152" s="213"/>
      <c r="W152" s="212">
        <v>3619.750471</v>
      </c>
      <c r="X152" s="212">
        <v>0</v>
      </c>
      <c r="Y152" s="213">
        <f t="shared" si="71"/>
        <v>0</v>
      </c>
      <c r="Z152" s="213">
        <f t="shared" si="72"/>
        <v>0</v>
      </c>
      <c r="AA152" s="208">
        <v>0</v>
      </c>
      <c r="AB152" s="228">
        <v>0</v>
      </c>
      <c r="AC152" s="208">
        <v>0</v>
      </c>
      <c r="AD152" s="229">
        <v>0</v>
      </c>
      <c r="AE152" s="212">
        <f t="shared" si="73"/>
        <v>373.07222826</v>
      </c>
      <c r="AF152" s="212">
        <v>0</v>
      </c>
      <c r="AG152" s="212">
        <f t="shared" si="74"/>
        <v>12.56999</v>
      </c>
      <c r="AH152" s="212">
        <v>0</v>
      </c>
      <c r="AI152" s="212">
        <v>0</v>
      </c>
      <c r="AJ152" s="212">
        <v>12.56999</v>
      </c>
      <c r="AK152" s="213">
        <f t="shared" si="75"/>
        <v>866.04</v>
      </c>
      <c r="AL152" s="210">
        <f t="shared" si="76"/>
        <v>0</v>
      </c>
      <c r="AM152" s="235">
        <f t="shared" si="62"/>
        <v>0</v>
      </c>
      <c r="AN152" s="235">
        <f t="shared" si="77"/>
        <v>0</v>
      </c>
      <c r="AO152" s="213">
        <f t="shared" si="63"/>
        <v>0.86604</v>
      </c>
      <c r="AP152" s="209">
        <f t="shared" si="78"/>
        <v>0.02706375</v>
      </c>
      <c r="AQ152" s="213">
        <f t="shared" si="64"/>
        <v>0.43302</v>
      </c>
      <c r="AR152" s="209">
        <f t="shared" si="79"/>
        <v>0.00902125</v>
      </c>
      <c r="AS152" s="213">
        <f t="shared" si="82"/>
        <v>0</v>
      </c>
      <c r="AT152" s="211">
        <v>0</v>
      </c>
      <c r="AU152" s="211"/>
      <c r="AV152" s="237">
        <f t="shared" si="65"/>
        <v>0</v>
      </c>
      <c r="AW152" s="213"/>
      <c r="AX152" s="213"/>
      <c r="AY152" s="238"/>
      <c r="AZ152" s="238"/>
      <c r="BA152" s="213"/>
      <c r="BB152" s="238"/>
      <c r="BC152" s="238"/>
      <c r="BD152" s="213"/>
      <c r="BE152" s="213"/>
      <c r="BF152" s="213"/>
      <c r="BG152" s="213"/>
      <c r="BH152" s="213"/>
      <c r="BI152" s="213"/>
      <c r="BJ152" s="211"/>
      <c r="BP152" s="241"/>
    </row>
    <row r="153" s="190" customFormat="1" ht="15" customHeight="1" spans="1:68">
      <c r="A153" s="210">
        <v>148</v>
      </c>
      <c r="B153" s="207" t="s">
        <v>226</v>
      </c>
      <c r="C153" s="211" t="s">
        <v>226</v>
      </c>
      <c r="D153" s="211" t="s">
        <v>92</v>
      </c>
      <c r="E153" s="211" t="s">
        <v>227</v>
      </c>
      <c r="F153" s="212">
        <v>111.26</v>
      </c>
      <c r="G153" s="213">
        <f t="shared" si="66"/>
        <v>48.5297943719216</v>
      </c>
      <c r="H153" s="213">
        <f t="shared" si="61"/>
        <v>5399.42492182</v>
      </c>
      <c r="I153" s="211">
        <v>3</v>
      </c>
      <c r="J153" s="213">
        <f t="shared" si="67"/>
        <v>1086.586297</v>
      </c>
      <c r="K153" s="213">
        <f t="shared" si="80"/>
        <v>419.026297</v>
      </c>
      <c r="L153" s="207">
        <v>2</v>
      </c>
      <c r="M153" s="213">
        <f t="shared" si="68"/>
        <v>222.52</v>
      </c>
      <c r="N153" s="212">
        <v>1683.117652</v>
      </c>
      <c r="O153" s="213">
        <f t="shared" si="69"/>
        <v>667.56</v>
      </c>
      <c r="P153" s="213">
        <v>0</v>
      </c>
      <c r="Q153" s="213">
        <f t="shared" si="81"/>
        <v>484.22147482</v>
      </c>
      <c r="R153" s="213">
        <f t="shared" si="70"/>
        <v>0</v>
      </c>
      <c r="S153" s="213">
        <v>0</v>
      </c>
      <c r="T153" s="212">
        <v>0</v>
      </c>
      <c r="U153" s="211">
        <v>0</v>
      </c>
      <c r="V153" s="213"/>
      <c r="W153" s="212">
        <v>419.026297</v>
      </c>
      <c r="X153" s="212">
        <v>0</v>
      </c>
      <c r="Y153" s="213">
        <f t="shared" si="71"/>
        <v>0</v>
      </c>
      <c r="Z153" s="213">
        <f t="shared" si="72"/>
        <v>0</v>
      </c>
      <c r="AA153" s="208">
        <v>0</v>
      </c>
      <c r="AB153" s="228">
        <v>0</v>
      </c>
      <c r="AC153" s="208">
        <v>0</v>
      </c>
      <c r="AD153" s="229">
        <v>0</v>
      </c>
      <c r="AE153" s="212">
        <f t="shared" si="73"/>
        <v>65.19517782</v>
      </c>
      <c r="AF153" s="212">
        <v>176.740145</v>
      </c>
      <c r="AG153" s="212">
        <f t="shared" si="74"/>
        <v>3055.34565</v>
      </c>
      <c r="AH153" s="212">
        <v>405.674687</v>
      </c>
      <c r="AI153" s="212">
        <v>0</v>
      </c>
      <c r="AJ153" s="212">
        <v>2649.670963</v>
      </c>
      <c r="AK153" s="213">
        <f t="shared" si="75"/>
        <v>222.52</v>
      </c>
      <c r="AL153" s="210">
        <f t="shared" si="76"/>
        <v>0</v>
      </c>
      <c r="AM153" s="235">
        <f t="shared" si="62"/>
        <v>0</v>
      </c>
      <c r="AN153" s="235">
        <f t="shared" si="77"/>
        <v>0</v>
      </c>
      <c r="AO153" s="213">
        <f t="shared" si="63"/>
        <v>0.22252</v>
      </c>
      <c r="AP153" s="209">
        <f t="shared" si="78"/>
        <v>0.00695375</v>
      </c>
      <c r="AQ153" s="213">
        <f t="shared" si="64"/>
        <v>0.11126</v>
      </c>
      <c r="AR153" s="209">
        <f t="shared" si="79"/>
        <v>0.00231791666666667</v>
      </c>
      <c r="AS153" s="213">
        <f t="shared" si="82"/>
        <v>0</v>
      </c>
      <c r="AT153" s="211">
        <v>0</v>
      </c>
      <c r="AU153" s="211"/>
      <c r="AV153" s="237">
        <f t="shared" si="65"/>
        <v>0</v>
      </c>
      <c r="AW153" s="213"/>
      <c r="AX153" s="213"/>
      <c r="AY153" s="238"/>
      <c r="AZ153" s="238"/>
      <c r="BA153" s="213"/>
      <c r="BB153" s="238"/>
      <c r="BC153" s="238"/>
      <c r="BD153" s="213"/>
      <c r="BE153" s="213"/>
      <c r="BF153" s="213"/>
      <c r="BG153" s="213"/>
      <c r="BH153" s="213"/>
      <c r="BI153" s="213"/>
      <c r="BJ153" s="211"/>
      <c r="BP153" s="241"/>
    </row>
    <row r="154" s="190" customFormat="1" ht="15" customHeight="1" spans="1:68">
      <c r="A154" s="218">
        <v>149</v>
      </c>
      <c r="B154" s="207" t="s">
        <v>229</v>
      </c>
      <c r="C154" s="211" t="s">
        <v>229</v>
      </c>
      <c r="D154" s="211" t="s">
        <v>137</v>
      </c>
      <c r="E154" s="211" t="s">
        <v>136</v>
      </c>
      <c r="F154" s="212">
        <v>128.12</v>
      </c>
      <c r="G154" s="213">
        <f t="shared" si="66"/>
        <v>6.60222943115829</v>
      </c>
      <c r="H154" s="213">
        <f t="shared" si="61"/>
        <v>845.87763472</v>
      </c>
      <c r="I154" s="211">
        <v>3</v>
      </c>
      <c r="J154" s="213">
        <f t="shared" si="67"/>
        <v>1045.594812</v>
      </c>
      <c r="K154" s="213">
        <f t="shared" si="80"/>
        <v>276.874812</v>
      </c>
      <c r="L154" s="207">
        <v>0</v>
      </c>
      <c r="M154" s="213">
        <f t="shared" si="68"/>
        <v>256.24</v>
      </c>
      <c r="N154" s="212">
        <v>436.171751</v>
      </c>
      <c r="O154" s="213">
        <f t="shared" si="69"/>
        <v>768.72</v>
      </c>
      <c r="P154" s="213">
        <v>0</v>
      </c>
      <c r="Q154" s="213">
        <f t="shared" si="81"/>
        <v>339.61050072</v>
      </c>
      <c r="R154" s="213">
        <f t="shared" si="70"/>
        <v>0</v>
      </c>
      <c r="S154" s="213">
        <v>0</v>
      </c>
      <c r="T154" s="212">
        <v>0</v>
      </c>
      <c r="U154" s="211">
        <v>0</v>
      </c>
      <c r="V154" s="213"/>
      <c r="W154" s="212">
        <v>276.874812</v>
      </c>
      <c r="X154" s="212">
        <v>0</v>
      </c>
      <c r="Y154" s="213">
        <f t="shared" si="71"/>
        <v>0</v>
      </c>
      <c r="Z154" s="213">
        <f t="shared" si="72"/>
        <v>0</v>
      </c>
      <c r="AA154" s="208">
        <v>0</v>
      </c>
      <c r="AB154" s="228">
        <v>0</v>
      </c>
      <c r="AC154" s="208">
        <v>0</v>
      </c>
      <c r="AD154" s="229">
        <v>0</v>
      </c>
      <c r="AE154" s="212">
        <f t="shared" si="73"/>
        <v>62.73568872</v>
      </c>
      <c r="AF154" s="212">
        <v>0</v>
      </c>
      <c r="AG154" s="212">
        <f t="shared" si="74"/>
        <v>70.095383</v>
      </c>
      <c r="AH154" s="212">
        <v>0</v>
      </c>
      <c r="AI154" s="212">
        <v>0</v>
      </c>
      <c r="AJ154" s="212">
        <v>70.095383</v>
      </c>
      <c r="AK154" s="213">
        <f t="shared" si="75"/>
        <v>256.24</v>
      </c>
      <c r="AL154" s="210">
        <f t="shared" si="76"/>
        <v>0</v>
      </c>
      <c r="AM154" s="235">
        <f t="shared" si="62"/>
        <v>0</v>
      </c>
      <c r="AN154" s="235">
        <f t="shared" si="77"/>
        <v>0</v>
      </c>
      <c r="AO154" s="213">
        <f t="shared" si="63"/>
        <v>0.25624</v>
      </c>
      <c r="AP154" s="209">
        <f t="shared" si="78"/>
        <v>0.0080075</v>
      </c>
      <c r="AQ154" s="213">
        <f t="shared" si="64"/>
        <v>0.12812</v>
      </c>
      <c r="AR154" s="209">
        <f t="shared" si="79"/>
        <v>0.00266916666666667</v>
      </c>
      <c r="AS154" s="213">
        <f t="shared" si="82"/>
        <v>0</v>
      </c>
      <c r="AT154" s="211">
        <v>0</v>
      </c>
      <c r="AU154" s="211"/>
      <c r="AV154" s="237">
        <f t="shared" si="65"/>
        <v>0</v>
      </c>
      <c r="AW154" s="213"/>
      <c r="AX154" s="213"/>
      <c r="AY154" s="238"/>
      <c r="AZ154" s="238"/>
      <c r="BA154" s="213"/>
      <c r="BB154" s="238"/>
      <c r="BC154" s="238"/>
      <c r="BD154" s="213"/>
      <c r="BE154" s="213"/>
      <c r="BF154" s="213"/>
      <c r="BG154" s="213"/>
      <c r="BH154" s="213"/>
      <c r="BI154" s="213"/>
      <c r="BJ154" s="211"/>
      <c r="BP154" s="241"/>
    </row>
    <row r="155" s="190" customFormat="1" ht="15" customHeight="1" spans="1:68">
      <c r="A155" s="210">
        <v>150</v>
      </c>
      <c r="B155" s="207" t="s">
        <v>138</v>
      </c>
      <c r="C155" s="211" t="s">
        <v>138</v>
      </c>
      <c r="D155" s="211" t="s">
        <v>139</v>
      </c>
      <c r="E155" s="211" t="s">
        <v>204</v>
      </c>
      <c r="F155" s="212">
        <v>2078.43</v>
      </c>
      <c r="G155" s="213">
        <f t="shared" si="66"/>
        <v>17.631149723243</v>
      </c>
      <c r="H155" s="213">
        <f t="shared" si="61"/>
        <v>36645.11051928</v>
      </c>
      <c r="I155" s="211">
        <v>3</v>
      </c>
      <c r="J155" s="213">
        <f t="shared" si="67"/>
        <v>18311.938638</v>
      </c>
      <c r="K155" s="213">
        <f t="shared" si="80"/>
        <v>5841.358638</v>
      </c>
      <c r="L155" s="207">
        <v>2</v>
      </c>
      <c r="M155" s="213">
        <f t="shared" si="68"/>
        <v>4156.86</v>
      </c>
      <c r="N155" s="212">
        <v>15041.413374</v>
      </c>
      <c r="O155" s="213">
        <f t="shared" si="69"/>
        <v>12470.58</v>
      </c>
      <c r="P155" s="213">
        <v>0</v>
      </c>
      <c r="Q155" s="213">
        <f t="shared" si="81"/>
        <v>6940.07495628</v>
      </c>
      <c r="R155" s="213">
        <f t="shared" si="70"/>
        <v>0</v>
      </c>
      <c r="S155" s="213">
        <v>0</v>
      </c>
      <c r="T155" s="212">
        <v>0</v>
      </c>
      <c r="U155" s="211">
        <v>0</v>
      </c>
      <c r="V155" s="213"/>
      <c r="W155" s="212">
        <v>5694.77443</v>
      </c>
      <c r="X155" s="212">
        <v>73.292104</v>
      </c>
      <c r="Y155" s="213">
        <f t="shared" si="71"/>
        <v>146.584208</v>
      </c>
      <c r="Z155" s="213">
        <f t="shared" si="72"/>
        <v>1290.162498</v>
      </c>
      <c r="AA155" s="208">
        <v>91.79785</v>
      </c>
      <c r="AB155" s="228">
        <v>0</v>
      </c>
      <c r="AC155" s="208">
        <v>0</v>
      </c>
      <c r="AD155" s="229">
        <v>1198.364648</v>
      </c>
      <c r="AE155" s="212">
        <f t="shared" si="73"/>
        <v>1098.71631828</v>
      </c>
      <c r="AF155" s="212">
        <v>0</v>
      </c>
      <c r="AG155" s="212">
        <f t="shared" si="74"/>
        <v>12083.297193</v>
      </c>
      <c r="AH155" s="212">
        <v>0</v>
      </c>
      <c r="AI155" s="212">
        <v>0</v>
      </c>
      <c r="AJ155" s="212">
        <v>12083.297193</v>
      </c>
      <c r="AK155" s="213">
        <f t="shared" si="75"/>
        <v>4156.86</v>
      </c>
      <c r="AL155" s="210">
        <f t="shared" si="76"/>
        <v>0</v>
      </c>
      <c r="AM155" s="235">
        <f t="shared" si="62"/>
        <v>0</v>
      </c>
      <c r="AN155" s="235">
        <f t="shared" si="77"/>
        <v>0</v>
      </c>
      <c r="AO155" s="213">
        <f t="shared" si="63"/>
        <v>4.15686</v>
      </c>
      <c r="AP155" s="209">
        <f t="shared" si="78"/>
        <v>0.129901875</v>
      </c>
      <c r="AQ155" s="213">
        <f t="shared" si="64"/>
        <v>2.07843</v>
      </c>
      <c r="AR155" s="209">
        <f t="shared" si="79"/>
        <v>0.043300625</v>
      </c>
      <c r="AS155" s="213">
        <f t="shared" si="82"/>
        <v>0</v>
      </c>
      <c r="AT155" s="211">
        <v>0</v>
      </c>
      <c r="AU155" s="211"/>
      <c r="AV155" s="237">
        <f t="shared" si="65"/>
        <v>0</v>
      </c>
      <c r="AW155" s="213"/>
      <c r="AX155" s="213"/>
      <c r="AY155" s="238"/>
      <c r="AZ155" s="238"/>
      <c r="BA155" s="213"/>
      <c r="BB155" s="238"/>
      <c r="BC155" s="238"/>
      <c r="BD155" s="213"/>
      <c r="BE155" s="213"/>
      <c r="BF155" s="213"/>
      <c r="BG155" s="213"/>
      <c r="BH155" s="213"/>
      <c r="BI155" s="213"/>
      <c r="BJ155" s="211"/>
      <c r="BP155" s="241"/>
    </row>
    <row r="156" s="189" customFormat="1" ht="15" customHeight="1" spans="1:68">
      <c r="A156" s="206">
        <v>151</v>
      </c>
      <c r="B156" s="207" t="s">
        <v>230</v>
      </c>
      <c r="C156" s="207" t="s">
        <v>230</v>
      </c>
      <c r="D156" s="207" t="s">
        <v>231</v>
      </c>
      <c r="E156" s="207" t="s">
        <v>138</v>
      </c>
      <c r="F156" s="208">
        <v>1048.07</v>
      </c>
      <c r="G156" s="209">
        <f t="shared" si="66"/>
        <v>8.32274149035847</v>
      </c>
      <c r="H156" s="209">
        <f t="shared" si="61"/>
        <v>8722.8156738</v>
      </c>
      <c r="I156" s="207">
        <v>3</v>
      </c>
      <c r="J156" s="209">
        <f t="shared" si="67"/>
        <v>6426.79418</v>
      </c>
      <c r="K156" s="209">
        <f t="shared" si="80"/>
        <v>138.37418</v>
      </c>
      <c r="L156" s="207">
        <v>0</v>
      </c>
      <c r="M156" s="209">
        <f t="shared" si="68"/>
        <v>2096.14</v>
      </c>
      <c r="N156" s="208">
        <v>5268.043572</v>
      </c>
      <c r="O156" s="209">
        <f t="shared" si="69"/>
        <v>6288.42</v>
      </c>
      <c r="P156" s="209">
        <v>0</v>
      </c>
      <c r="Q156" s="209">
        <f t="shared" si="81"/>
        <v>523.9818308</v>
      </c>
      <c r="R156" s="209">
        <f t="shared" si="70"/>
        <v>0</v>
      </c>
      <c r="S156" s="209">
        <v>0</v>
      </c>
      <c r="T156" s="208">
        <v>0</v>
      </c>
      <c r="U156" s="207">
        <v>0</v>
      </c>
      <c r="V156" s="209"/>
      <c r="W156" s="208">
        <v>138.37418</v>
      </c>
      <c r="X156" s="208">
        <v>0</v>
      </c>
      <c r="Y156" s="209">
        <f t="shared" si="71"/>
        <v>0</v>
      </c>
      <c r="Z156" s="209">
        <f t="shared" si="72"/>
        <v>198.8422</v>
      </c>
      <c r="AA156" s="208">
        <v>0</v>
      </c>
      <c r="AB156" s="228">
        <v>0</v>
      </c>
      <c r="AC156" s="208">
        <v>0</v>
      </c>
      <c r="AD156" s="229">
        <v>198.8422</v>
      </c>
      <c r="AE156" s="208">
        <f t="shared" si="73"/>
        <v>385.6076508</v>
      </c>
      <c r="AF156" s="208">
        <v>410.925991</v>
      </c>
      <c r="AG156" s="208">
        <f t="shared" si="74"/>
        <v>2122.17988</v>
      </c>
      <c r="AH156" s="208">
        <v>0</v>
      </c>
      <c r="AI156" s="208">
        <v>0</v>
      </c>
      <c r="AJ156" s="208">
        <v>2122.17988</v>
      </c>
      <c r="AK156" s="209">
        <f t="shared" si="75"/>
        <v>2096.14</v>
      </c>
      <c r="AL156" s="206">
        <f t="shared" si="76"/>
        <v>0</v>
      </c>
      <c r="AM156" s="235">
        <f t="shared" si="62"/>
        <v>0</v>
      </c>
      <c r="AN156" s="235">
        <f t="shared" si="77"/>
        <v>0</v>
      </c>
      <c r="AO156" s="209">
        <f t="shared" si="63"/>
        <v>2.09614</v>
      </c>
      <c r="AP156" s="209">
        <f t="shared" si="78"/>
        <v>0.065504375</v>
      </c>
      <c r="AQ156" s="209">
        <f t="shared" si="64"/>
        <v>1.04807</v>
      </c>
      <c r="AR156" s="209">
        <f t="shared" si="79"/>
        <v>0.0218347916666667</v>
      </c>
      <c r="AS156" s="209">
        <f t="shared" si="82"/>
        <v>0</v>
      </c>
      <c r="AT156" s="207">
        <v>0</v>
      </c>
      <c r="AU156" s="207"/>
      <c r="AV156" s="237">
        <f t="shared" si="65"/>
        <v>0</v>
      </c>
      <c r="AW156" s="209"/>
      <c r="AX156" s="209"/>
      <c r="AY156" s="237"/>
      <c r="AZ156" s="237"/>
      <c r="BA156" s="209"/>
      <c r="BB156" s="237"/>
      <c r="BC156" s="237"/>
      <c r="BD156" s="209"/>
      <c r="BE156" s="209"/>
      <c r="BF156" s="209"/>
      <c r="BG156" s="209"/>
      <c r="BH156" s="209"/>
      <c r="BI156" s="209"/>
      <c r="BJ156" s="207"/>
      <c r="BP156" s="240"/>
    </row>
    <row r="157" s="190" customFormat="1" ht="15" customHeight="1" spans="1:68">
      <c r="A157" s="218">
        <v>152</v>
      </c>
      <c r="B157" s="207" t="s">
        <v>232</v>
      </c>
      <c r="C157" s="211" t="s">
        <v>232</v>
      </c>
      <c r="D157" s="211" t="s">
        <v>233</v>
      </c>
      <c r="E157" s="211" t="s">
        <v>234</v>
      </c>
      <c r="F157" s="212">
        <v>949.63</v>
      </c>
      <c r="G157" s="213">
        <f t="shared" si="66"/>
        <v>8.9877571395175</v>
      </c>
      <c r="H157" s="213">
        <f t="shared" si="61"/>
        <v>8535.0438124</v>
      </c>
      <c r="I157" s="211">
        <v>3</v>
      </c>
      <c r="J157" s="213">
        <f t="shared" si="67"/>
        <v>6492.58154</v>
      </c>
      <c r="K157" s="213">
        <f t="shared" si="80"/>
        <v>794.80154</v>
      </c>
      <c r="L157" s="207">
        <v>0</v>
      </c>
      <c r="M157" s="213">
        <f t="shared" si="68"/>
        <v>1899.26</v>
      </c>
      <c r="N157" s="212">
        <v>4163.395276</v>
      </c>
      <c r="O157" s="213">
        <f t="shared" si="69"/>
        <v>5697.78</v>
      </c>
      <c r="P157" s="213">
        <v>0</v>
      </c>
      <c r="Q157" s="213">
        <f t="shared" si="81"/>
        <v>1184.3564324</v>
      </c>
      <c r="R157" s="213">
        <f t="shared" si="70"/>
        <v>0</v>
      </c>
      <c r="S157" s="213">
        <v>0</v>
      </c>
      <c r="T157" s="212">
        <v>0</v>
      </c>
      <c r="U157" s="211">
        <v>0</v>
      </c>
      <c r="V157" s="213"/>
      <c r="W157" s="212">
        <v>794.80154</v>
      </c>
      <c r="X157" s="212">
        <v>0</v>
      </c>
      <c r="Y157" s="213">
        <f t="shared" si="71"/>
        <v>0</v>
      </c>
      <c r="Z157" s="213">
        <f t="shared" si="72"/>
        <v>31.163694</v>
      </c>
      <c r="AA157" s="208">
        <v>0</v>
      </c>
      <c r="AB157" s="228">
        <v>0</v>
      </c>
      <c r="AC157" s="208">
        <v>0</v>
      </c>
      <c r="AD157" s="229">
        <v>31.163694</v>
      </c>
      <c r="AE157" s="212">
        <f t="shared" si="73"/>
        <v>389.5548924</v>
      </c>
      <c r="AF157" s="212">
        <v>426.541035</v>
      </c>
      <c r="AG157" s="212">
        <f t="shared" si="74"/>
        <v>2698.423681</v>
      </c>
      <c r="AH157" s="212">
        <v>0</v>
      </c>
      <c r="AI157" s="212">
        <v>0</v>
      </c>
      <c r="AJ157" s="212">
        <v>2698.423681</v>
      </c>
      <c r="AK157" s="213">
        <f t="shared" si="75"/>
        <v>1899.26</v>
      </c>
      <c r="AL157" s="210">
        <f t="shared" si="76"/>
        <v>0</v>
      </c>
      <c r="AM157" s="235">
        <f t="shared" si="62"/>
        <v>0</v>
      </c>
      <c r="AN157" s="235">
        <f t="shared" si="77"/>
        <v>0</v>
      </c>
      <c r="AO157" s="213">
        <f t="shared" si="63"/>
        <v>1.89926</v>
      </c>
      <c r="AP157" s="209">
        <f t="shared" si="78"/>
        <v>0.059351875</v>
      </c>
      <c r="AQ157" s="213">
        <f t="shared" si="64"/>
        <v>0.94963</v>
      </c>
      <c r="AR157" s="209">
        <f t="shared" si="79"/>
        <v>0.0197839583333333</v>
      </c>
      <c r="AS157" s="213">
        <f t="shared" si="82"/>
        <v>0</v>
      </c>
      <c r="AT157" s="211">
        <v>0</v>
      </c>
      <c r="AU157" s="211"/>
      <c r="AV157" s="237">
        <f t="shared" si="65"/>
        <v>0</v>
      </c>
      <c r="AW157" s="213"/>
      <c r="AX157" s="213"/>
      <c r="AY157" s="238"/>
      <c r="AZ157" s="238"/>
      <c r="BA157" s="213"/>
      <c r="BB157" s="238"/>
      <c r="BC157" s="238"/>
      <c r="BD157" s="213"/>
      <c r="BE157" s="213"/>
      <c r="BF157" s="213"/>
      <c r="BG157" s="213"/>
      <c r="BH157" s="213"/>
      <c r="BI157" s="213"/>
      <c r="BJ157" s="211"/>
      <c r="BP157" s="241"/>
    </row>
    <row r="158" s="190" customFormat="1" ht="15" customHeight="1" spans="1:68">
      <c r="A158" s="210">
        <v>153</v>
      </c>
      <c r="B158" s="207" t="s">
        <v>235</v>
      </c>
      <c r="C158" s="211" t="s">
        <v>235</v>
      </c>
      <c r="D158" s="211" t="s">
        <v>232</v>
      </c>
      <c r="E158" s="211" t="s">
        <v>138</v>
      </c>
      <c r="F158" s="212">
        <v>116.3</v>
      </c>
      <c r="G158" s="213">
        <f t="shared" si="66"/>
        <v>8.76334827171109</v>
      </c>
      <c r="H158" s="213">
        <f t="shared" si="61"/>
        <v>1019.177404</v>
      </c>
      <c r="I158" s="211">
        <v>3</v>
      </c>
      <c r="J158" s="213">
        <f t="shared" si="67"/>
        <v>697.8</v>
      </c>
      <c r="K158" s="213">
        <f t="shared" si="80"/>
        <v>0</v>
      </c>
      <c r="L158" s="207">
        <v>0</v>
      </c>
      <c r="M158" s="213">
        <f t="shared" si="68"/>
        <v>232.6</v>
      </c>
      <c r="N158" s="212">
        <v>977.309404</v>
      </c>
      <c r="O158" s="213">
        <f t="shared" si="69"/>
        <v>697.8</v>
      </c>
      <c r="P158" s="213">
        <v>0</v>
      </c>
      <c r="Q158" s="213">
        <f t="shared" si="81"/>
        <v>41.868</v>
      </c>
      <c r="R158" s="213">
        <f t="shared" si="70"/>
        <v>0</v>
      </c>
      <c r="S158" s="213">
        <v>0</v>
      </c>
      <c r="T158" s="212">
        <v>0</v>
      </c>
      <c r="U158" s="211">
        <v>0</v>
      </c>
      <c r="V158" s="213"/>
      <c r="W158" s="212">
        <v>0</v>
      </c>
      <c r="X158" s="212">
        <v>0</v>
      </c>
      <c r="Y158" s="213">
        <f t="shared" si="71"/>
        <v>0</v>
      </c>
      <c r="Z158" s="213">
        <f t="shared" si="72"/>
        <v>0</v>
      </c>
      <c r="AA158" s="208">
        <v>0</v>
      </c>
      <c r="AB158" s="228">
        <v>0</v>
      </c>
      <c r="AC158" s="208">
        <v>0</v>
      </c>
      <c r="AD158" s="229">
        <v>0</v>
      </c>
      <c r="AE158" s="212">
        <f t="shared" si="73"/>
        <v>41.868</v>
      </c>
      <c r="AF158" s="212">
        <v>0</v>
      </c>
      <c r="AG158" s="212">
        <f t="shared" si="74"/>
        <v>0</v>
      </c>
      <c r="AH158" s="212">
        <v>0</v>
      </c>
      <c r="AI158" s="212">
        <v>0</v>
      </c>
      <c r="AJ158" s="212">
        <v>0</v>
      </c>
      <c r="AK158" s="213">
        <f t="shared" si="75"/>
        <v>232.6</v>
      </c>
      <c r="AL158" s="210">
        <f t="shared" si="76"/>
        <v>0</v>
      </c>
      <c r="AM158" s="235">
        <f t="shared" si="62"/>
        <v>0</v>
      </c>
      <c r="AN158" s="235">
        <f t="shared" si="77"/>
        <v>0</v>
      </c>
      <c r="AO158" s="213">
        <f t="shared" si="63"/>
        <v>0.2326</v>
      </c>
      <c r="AP158" s="209">
        <f t="shared" si="78"/>
        <v>0.00726875</v>
      </c>
      <c r="AQ158" s="213">
        <f t="shared" si="64"/>
        <v>0.1163</v>
      </c>
      <c r="AR158" s="209">
        <f t="shared" si="79"/>
        <v>0.00242291666666667</v>
      </c>
      <c r="AS158" s="213">
        <f t="shared" si="82"/>
        <v>0</v>
      </c>
      <c r="AT158" s="211">
        <v>0</v>
      </c>
      <c r="AU158" s="211"/>
      <c r="AV158" s="237">
        <f t="shared" si="65"/>
        <v>0</v>
      </c>
      <c r="AW158" s="213"/>
      <c r="AX158" s="213"/>
      <c r="AY158" s="238"/>
      <c r="AZ158" s="238"/>
      <c r="BA158" s="213"/>
      <c r="BB158" s="238"/>
      <c r="BC158" s="238"/>
      <c r="BD158" s="213"/>
      <c r="BE158" s="213"/>
      <c r="BF158" s="213"/>
      <c r="BG158" s="213"/>
      <c r="BH158" s="213"/>
      <c r="BI158" s="213"/>
      <c r="BJ158" s="211"/>
      <c r="BP158" s="241"/>
    </row>
    <row r="159" s="190" customFormat="1" ht="15" customHeight="1" spans="1:68">
      <c r="A159" s="210">
        <v>154</v>
      </c>
      <c r="B159" s="207" t="s">
        <v>236</v>
      </c>
      <c r="C159" s="211" t="s">
        <v>236</v>
      </c>
      <c r="D159" s="211" t="s">
        <v>233</v>
      </c>
      <c r="E159" s="211" t="s">
        <v>138</v>
      </c>
      <c r="F159" s="212">
        <v>406.97</v>
      </c>
      <c r="G159" s="213">
        <f t="shared" si="66"/>
        <v>13.6895774120943</v>
      </c>
      <c r="H159" s="213">
        <f t="shared" si="61"/>
        <v>5571.2473194</v>
      </c>
      <c r="I159" s="211">
        <v>3</v>
      </c>
      <c r="J159" s="213">
        <f t="shared" si="67"/>
        <v>2470.65399</v>
      </c>
      <c r="K159" s="213">
        <f t="shared" si="80"/>
        <v>28.83399</v>
      </c>
      <c r="L159" s="207">
        <v>2</v>
      </c>
      <c r="M159" s="213">
        <f t="shared" si="68"/>
        <v>813.94</v>
      </c>
      <c r="N159" s="212">
        <v>2745.10387</v>
      </c>
      <c r="O159" s="213">
        <f t="shared" si="69"/>
        <v>2441.82</v>
      </c>
      <c r="P159" s="213">
        <v>0</v>
      </c>
      <c r="Q159" s="213">
        <f t="shared" si="81"/>
        <v>177.0732294</v>
      </c>
      <c r="R159" s="213">
        <f t="shared" si="70"/>
        <v>0</v>
      </c>
      <c r="S159" s="213">
        <v>0</v>
      </c>
      <c r="T159" s="212">
        <v>0</v>
      </c>
      <c r="U159" s="211">
        <v>0</v>
      </c>
      <c r="V159" s="213"/>
      <c r="W159" s="212">
        <v>28.83399</v>
      </c>
      <c r="X159" s="212">
        <v>0</v>
      </c>
      <c r="Y159" s="213">
        <f t="shared" si="71"/>
        <v>0</v>
      </c>
      <c r="Z159" s="213">
        <f t="shared" si="72"/>
        <v>0</v>
      </c>
      <c r="AA159" s="208">
        <v>0</v>
      </c>
      <c r="AB159" s="228">
        <v>0</v>
      </c>
      <c r="AC159" s="208">
        <v>0</v>
      </c>
      <c r="AD159" s="229">
        <v>0</v>
      </c>
      <c r="AE159" s="212">
        <f t="shared" si="73"/>
        <v>148.2392394</v>
      </c>
      <c r="AF159" s="212">
        <v>409.734821</v>
      </c>
      <c r="AG159" s="212">
        <f t="shared" si="74"/>
        <v>2239.335399</v>
      </c>
      <c r="AH159" s="212">
        <v>0</v>
      </c>
      <c r="AI159" s="212">
        <v>0</v>
      </c>
      <c r="AJ159" s="212">
        <v>2239.335399</v>
      </c>
      <c r="AK159" s="213">
        <f t="shared" si="75"/>
        <v>813.94</v>
      </c>
      <c r="AL159" s="210">
        <f t="shared" si="76"/>
        <v>0</v>
      </c>
      <c r="AM159" s="235">
        <f t="shared" si="62"/>
        <v>0</v>
      </c>
      <c r="AN159" s="235">
        <f t="shared" si="77"/>
        <v>0</v>
      </c>
      <c r="AO159" s="213">
        <f t="shared" si="63"/>
        <v>0.81394</v>
      </c>
      <c r="AP159" s="209">
        <f t="shared" si="78"/>
        <v>0.025435625</v>
      </c>
      <c r="AQ159" s="213">
        <f t="shared" si="64"/>
        <v>0.40697</v>
      </c>
      <c r="AR159" s="209">
        <f t="shared" si="79"/>
        <v>0.00847854166666667</v>
      </c>
      <c r="AS159" s="213">
        <f t="shared" si="82"/>
        <v>0</v>
      </c>
      <c r="AT159" s="211">
        <v>0</v>
      </c>
      <c r="AU159" s="211"/>
      <c r="AV159" s="237">
        <f t="shared" si="65"/>
        <v>0</v>
      </c>
      <c r="AW159" s="213"/>
      <c r="AX159" s="213"/>
      <c r="AY159" s="238"/>
      <c r="AZ159" s="238"/>
      <c r="BA159" s="213"/>
      <c r="BB159" s="238"/>
      <c r="BC159" s="238"/>
      <c r="BD159" s="213"/>
      <c r="BE159" s="213"/>
      <c r="BF159" s="213"/>
      <c r="BG159" s="213"/>
      <c r="BH159" s="213"/>
      <c r="BI159" s="213"/>
      <c r="BJ159" s="211"/>
      <c r="BP159" s="241"/>
    </row>
    <row r="160" s="189" customFormat="1" ht="15" customHeight="1" spans="1:68">
      <c r="A160" s="214">
        <v>155</v>
      </c>
      <c r="B160" s="207" t="s">
        <v>237</v>
      </c>
      <c r="C160" s="207" t="s">
        <v>237</v>
      </c>
      <c r="D160" s="207" t="s">
        <v>238</v>
      </c>
      <c r="E160" s="207" t="s">
        <v>138</v>
      </c>
      <c r="F160" s="208">
        <v>88.64</v>
      </c>
      <c r="G160" s="209">
        <f t="shared" si="66"/>
        <v>48.5846066222924</v>
      </c>
      <c r="H160" s="209">
        <f t="shared" si="61"/>
        <v>4306.539531</v>
      </c>
      <c r="I160" s="207">
        <v>3</v>
      </c>
      <c r="J160" s="209">
        <f t="shared" si="67"/>
        <v>531.84</v>
      </c>
      <c r="K160" s="209">
        <f t="shared" si="80"/>
        <v>0</v>
      </c>
      <c r="L160" s="207">
        <v>2</v>
      </c>
      <c r="M160" s="209">
        <f t="shared" si="68"/>
        <v>177.28</v>
      </c>
      <c r="N160" s="208">
        <v>1119.691983</v>
      </c>
      <c r="O160" s="209">
        <f t="shared" si="69"/>
        <v>531.84</v>
      </c>
      <c r="P160" s="209">
        <v>0</v>
      </c>
      <c r="Q160" s="209">
        <f t="shared" si="81"/>
        <v>31.9104</v>
      </c>
      <c r="R160" s="209">
        <f t="shared" si="70"/>
        <v>0</v>
      </c>
      <c r="S160" s="209">
        <v>0</v>
      </c>
      <c r="T160" s="208">
        <v>0</v>
      </c>
      <c r="U160" s="207">
        <v>0</v>
      </c>
      <c r="V160" s="209"/>
      <c r="W160" s="208">
        <v>0</v>
      </c>
      <c r="X160" s="208">
        <v>0</v>
      </c>
      <c r="Y160" s="209">
        <f t="shared" si="71"/>
        <v>0</v>
      </c>
      <c r="Z160" s="209">
        <f t="shared" si="72"/>
        <v>0</v>
      </c>
      <c r="AA160" s="208">
        <v>0</v>
      </c>
      <c r="AB160" s="228">
        <v>0</v>
      </c>
      <c r="AC160" s="208">
        <v>0</v>
      </c>
      <c r="AD160" s="229">
        <v>0</v>
      </c>
      <c r="AE160" s="208">
        <f t="shared" si="73"/>
        <v>31.9104</v>
      </c>
      <c r="AF160" s="208">
        <v>0</v>
      </c>
      <c r="AG160" s="208">
        <f t="shared" si="74"/>
        <v>3154.937148</v>
      </c>
      <c r="AH160" s="208">
        <v>0</v>
      </c>
      <c r="AI160" s="208">
        <v>0</v>
      </c>
      <c r="AJ160" s="208">
        <v>3154.937148</v>
      </c>
      <c r="AK160" s="209">
        <f t="shared" si="75"/>
        <v>177.28</v>
      </c>
      <c r="AL160" s="206">
        <f t="shared" si="76"/>
        <v>0</v>
      </c>
      <c r="AM160" s="235">
        <f t="shared" si="62"/>
        <v>0</v>
      </c>
      <c r="AN160" s="235">
        <f t="shared" si="77"/>
        <v>0</v>
      </c>
      <c r="AO160" s="209">
        <f t="shared" si="63"/>
        <v>0.17728</v>
      </c>
      <c r="AP160" s="209">
        <f t="shared" si="78"/>
        <v>0.00554</v>
      </c>
      <c r="AQ160" s="209">
        <f t="shared" si="64"/>
        <v>0.08864</v>
      </c>
      <c r="AR160" s="209">
        <f t="shared" si="79"/>
        <v>0.00184666666666667</v>
      </c>
      <c r="AS160" s="209">
        <f t="shared" si="82"/>
        <v>0</v>
      </c>
      <c r="AT160" s="207">
        <v>0</v>
      </c>
      <c r="AU160" s="207"/>
      <c r="AV160" s="237">
        <f t="shared" si="65"/>
        <v>0</v>
      </c>
      <c r="AW160" s="209"/>
      <c r="AX160" s="209"/>
      <c r="AY160" s="237"/>
      <c r="AZ160" s="237"/>
      <c r="BA160" s="209"/>
      <c r="BB160" s="237"/>
      <c r="BC160" s="237"/>
      <c r="BD160" s="209"/>
      <c r="BE160" s="209"/>
      <c r="BF160" s="209"/>
      <c r="BG160" s="209"/>
      <c r="BH160" s="209"/>
      <c r="BI160" s="209"/>
      <c r="BJ160" s="207"/>
      <c r="BP160" s="240"/>
    </row>
    <row r="161" s="190" customFormat="1" ht="15" customHeight="1" spans="1:68">
      <c r="A161" s="210">
        <v>156</v>
      </c>
      <c r="B161" s="207" t="s">
        <v>239</v>
      </c>
      <c r="C161" s="211" t="s">
        <v>239</v>
      </c>
      <c r="D161" s="211" t="s">
        <v>138</v>
      </c>
      <c r="E161" s="211" t="s">
        <v>240</v>
      </c>
      <c r="F161" s="212">
        <v>242.24</v>
      </c>
      <c r="G161" s="213">
        <f t="shared" si="66"/>
        <v>9.83471552047556</v>
      </c>
      <c r="H161" s="213">
        <f t="shared" si="61"/>
        <v>2382.36148768</v>
      </c>
      <c r="I161" s="211">
        <v>3</v>
      </c>
      <c r="J161" s="213">
        <f t="shared" si="67"/>
        <v>1652.175128</v>
      </c>
      <c r="K161" s="213">
        <f t="shared" si="80"/>
        <v>198.735128</v>
      </c>
      <c r="L161" s="207">
        <v>0</v>
      </c>
      <c r="M161" s="213">
        <f t="shared" si="68"/>
        <v>484.48</v>
      </c>
      <c r="N161" s="212">
        <v>1564.730472</v>
      </c>
      <c r="O161" s="213">
        <f t="shared" si="69"/>
        <v>1453.44</v>
      </c>
      <c r="P161" s="213">
        <v>0</v>
      </c>
      <c r="Q161" s="213">
        <f t="shared" si="81"/>
        <v>297.86563568</v>
      </c>
      <c r="R161" s="213">
        <f t="shared" si="70"/>
        <v>0</v>
      </c>
      <c r="S161" s="213">
        <v>0</v>
      </c>
      <c r="T161" s="212">
        <v>0</v>
      </c>
      <c r="U161" s="211">
        <v>0</v>
      </c>
      <c r="V161" s="213"/>
      <c r="W161" s="212">
        <v>0</v>
      </c>
      <c r="X161" s="212">
        <v>99.367564</v>
      </c>
      <c r="Y161" s="213">
        <f t="shared" si="71"/>
        <v>198.735128</v>
      </c>
      <c r="Z161" s="213">
        <f t="shared" si="72"/>
        <v>133.678716</v>
      </c>
      <c r="AA161" s="208">
        <v>0</v>
      </c>
      <c r="AB161" s="228">
        <v>0</v>
      </c>
      <c r="AC161" s="208">
        <v>0</v>
      </c>
      <c r="AD161" s="229">
        <v>133.678716</v>
      </c>
      <c r="AE161" s="212">
        <f t="shared" si="73"/>
        <v>99.13050768</v>
      </c>
      <c r="AF161" s="212">
        <v>0</v>
      </c>
      <c r="AG161" s="212">
        <f t="shared" si="74"/>
        <v>252.407948</v>
      </c>
      <c r="AH161" s="212">
        <v>0</v>
      </c>
      <c r="AI161" s="212">
        <v>0</v>
      </c>
      <c r="AJ161" s="212">
        <v>252.407948</v>
      </c>
      <c r="AK161" s="213">
        <f t="shared" si="75"/>
        <v>484.48</v>
      </c>
      <c r="AL161" s="210">
        <f t="shared" si="76"/>
        <v>0</v>
      </c>
      <c r="AM161" s="235">
        <f t="shared" si="62"/>
        <v>0</v>
      </c>
      <c r="AN161" s="235">
        <f t="shared" si="77"/>
        <v>0</v>
      </c>
      <c r="AO161" s="213">
        <f t="shared" si="63"/>
        <v>0.48448</v>
      </c>
      <c r="AP161" s="209">
        <f t="shared" si="78"/>
        <v>0.01514</v>
      </c>
      <c r="AQ161" s="213">
        <f t="shared" si="64"/>
        <v>0.24224</v>
      </c>
      <c r="AR161" s="209">
        <f t="shared" si="79"/>
        <v>0.00504666666666667</v>
      </c>
      <c r="AS161" s="213">
        <f t="shared" si="82"/>
        <v>0</v>
      </c>
      <c r="AT161" s="211">
        <v>0</v>
      </c>
      <c r="AU161" s="211"/>
      <c r="AV161" s="237">
        <f t="shared" si="65"/>
        <v>0</v>
      </c>
      <c r="AW161" s="213"/>
      <c r="AX161" s="213"/>
      <c r="AY161" s="238"/>
      <c r="AZ161" s="238"/>
      <c r="BA161" s="213"/>
      <c r="BB161" s="238"/>
      <c r="BC161" s="238"/>
      <c r="BD161" s="213"/>
      <c r="BE161" s="213"/>
      <c r="BF161" s="213"/>
      <c r="BG161" s="213"/>
      <c r="BH161" s="213"/>
      <c r="BI161" s="213"/>
      <c r="BJ161" s="211"/>
      <c r="BP161" s="241"/>
    </row>
    <row r="162" s="191" customFormat="1" ht="15" customHeight="1" spans="1:68">
      <c r="A162" s="206">
        <v>157</v>
      </c>
      <c r="B162" s="215" t="s">
        <v>223</v>
      </c>
      <c r="C162" s="215" t="s">
        <v>241</v>
      </c>
      <c r="D162" s="215"/>
      <c r="E162" s="215"/>
      <c r="F162" s="216">
        <v>33.63</v>
      </c>
      <c r="G162" s="217">
        <f t="shared" si="66"/>
        <v>22.672927534939</v>
      </c>
      <c r="H162" s="209">
        <f t="shared" si="61"/>
        <v>762.490553</v>
      </c>
      <c r="I162" s="215">
        <v>2</v>
      </c>
      <c r="J162" s="209">
        <f t="shared" si="67"/>
        <v>201.78</v>
      </c>
      <c r="K162" s="209">
        <f t="shared" si="80"/>
        <v>0</v>
      </c>
      <c r="L162" s="215">
        <v>0</v>
      </c>
      <c r="M162" s="209">
        <f t="shared" si="68"/>
        <v>67.26</v>
      </c>
      <c r="N162" s="216">
        <v>748.365953</v>
      </c>
      <c r="O162" s="217">
        <f t="shared" si="69"/>
        <v>201.78</v>
      </c>
      <c r="P162" s="217">
        <v>0</v>
      </c>
      <c r="Q162" s="209">
        <f t="shared" si="81"/>
        <v>14.1246</v>
      </c>
      <c r="R162" s="209">
        <f t="shared" si="70"/>
        <v>0</v>
      </c>
      <c r="S162" s="209">
        <v>0</v>
      </c>
      <c r="T162" s="216">
        <v>0</v>
      </c>
      <c r="U162" s="215">
        <v>0</v>
      </c>
      <c r="V162" s="217"/>
      <c r="W162" s="216">
        <v>0</v>
      </c>
      <c r="X162" s="216">
        <v>0</v>
      </c>
      <c r="Y162" s="217">
        <f t="shared" si="71"/>
        <v>0</v>
      </c>
      <c r="Z162" s="209">
        <f t="shared" si="72"/>
        <v>0</v>
      </c>
      <c r="AA162" s="216">
        <v>0</v>
      </c>
      <c r="AB162" s="230">
        <v>0</v>
      </c>
      <c r="AC162" s="216">
        <v>0</v>
      </c>
      <c r="AD162" s="231">
        <v>0</v>
      </c>
      <c r="AE162" s="208">
        <f t="shared" si="73"/>
        <v>14.1246</v>
      </c>
      <c r="AF162" s="216">
        <v>0</v>
      </c>
      <c r="AG162" s="208">
        <f t="shared" si="74"/>
        <v>0</v>
      </c>
      <c r="AH162" s="216">
        <v>0</v>
      </c>
      <c r="AI162" s="216">
        <v>0</v>
      </c>
      <c r="AJ162" s="216">
        <v>0</v>
      </c>
      <c r="AK162" s="217">
        <f t="shared" si="75"/>
        <v>67.26</v>
      </c>
      <c r="AL162" s="206">
        <f t="shared" si="76"/>
        <v>0</v>
      </c>
      <c r="AM162" s="235">
        <f t="shared" si="62"/>
        <v>0</v>
      </c>
      <c r="AN162" s="235">
        <f t="shared" si="77"/>
        <v>0</v>
      </c>
      <c r="AO162" s="209">
        <f t="shared" si="63"/>
        <v>0.13452</v>
      </c>
      <c r="AP162" s="209">
        <f t="shared" si="78"/>
        <v>0.00420375</v>
      </c>
      <c r="AQ162" s="209">
        <f t="shared" si="64"/>
        <v>0.06726</v>
      </c>
      <c r="AR162" s="209">
        <f t="shared" si="79"/>
        <v>0.00140125</v>
      </c>
      <c r="AS162" s="209">
        <f t="shared" si="82"/>
        <v>0</v>
      </c>
      <c r="AT162" s="215">
        <v>0</v>
      </c>
      <c r="AU162" s="215" t="s">
        <v>89</v>
      </c>
      <c r="AV162" s="237">
        <f t="shared" si="65"/>
        <v>0</v>
      </c>
      <c r="AW162" s="209"/>
      <c r="AX162" s="209"/>
      <c r="AY162" s="237"/>
      <c r="AZ162" s="217"/>
      <c r="BA162" s="209"/>
      <c r="BB162" s="237"/>
      <c r="BC162" s="237"/>
      <c r="BD162" s="217"/>
      <c r="BE162" s="209"/>
      <c r="BF162" s="217"/>
      <c r="BG162" s="209"/>
      <c r="BH162" s="209"/>
      <c r="BI162" s="209"/>
      <c r="BJ162" s="215"/>
      <c r="BP162" s="242"/>
    </row>
    <row r="163" s="191" customFormat="1" ht="15" customHeight="1" spans="1:68">
      <c r="A163" s="214">
        <v>158</v>
      </c>
      <c r="B163" s="215" t="s">
        <v>223</v>
      </c>
      <c r="C163" s="215" t="s">
        <v>223</v>
      </c>
      <c r="D163" s="215" t="s">
        <v>114</v>
      </c>
      <c r="E163" s="215" t="s">
        <v>102</v>
      </c>
      <c r="F163" s="216">
        <v>214.76</v>
      </c>
      <c r="G163" s="217">
        <f t="shared" si="66"/>
        <v>23.7658633607748</v>
      </c>
      <c r="H163" s="209">
        <f t="shared" si="61"/>
        <v>5103.95681536</v>
      </c>
      <c r="I163" s="215">
        <v>2</v>
      </c>
      <c r="J163" s="209">
        <f t="shared" si="67"/>
        <v>2443.563248</v>
      </c>
      <c r="K163" s="209">
        <f t="shared" si="80"/>
        <v>1155.003248</v>
      </c>
      <c r="L163" s="215">
        <v>2</v>
      </c>
      <c r="M163" s="209">
        <f t="shared" si="68"/>
        <v>429.52</v>
      </c>
      <c r="N163" s="216">
        <v>3265.645958</v>
      </c>
      <c r="O163" s="217">
        <f t="shared" si="69"/>
        <v>1288.56</v>
      </c>
      <c r="P163" s="217">
        <v>0</v>
      </c>
      <c r="Q163" s="209">
        <f t="shared" si="81"/>
        <v>1326.05267536</v>
      </c>
      <c r="R163" s="209">
        <f t="shared" si="70"/>
        <v>0</v>
      </c>
      <c r="S163" s="209">
        <v>0</v>
      </c>
      <c r="T163" s="216">
        <v>0</v>
      </c>
      <c r="U163" s="215">
        <v>0</v>
      </c>
      <c r="V163" s="217"/>
      <c r="W163" s="216">
        <v>1155.003248</v>
      </c>
      <c r="X163" s="216">
        <v>0</v>
      </c>
      <c r="Y163" s="217">
        <f t="shared" si="71"/>
        <v>0</v>
      </c>
      <c r="Z163" s="209">
        <f t="shared" si="72"/>
        <v>0</v>
      </c>
      <c r="AA163" s="216">
        <v>0</v>
      </c>
      <c r="AB163" s="230">
        <v>0</v>
      </c>
      <c r="AC163" s="216">
        <v>0</v>
      </c>
      <c r="AD163" s="231">
        <v>0</v>
      </c>
      <c r="AE163" s="208">
        <f t="shared" si="73"/>
        <v>171.04942736</v>
      </c>
      <c r="AF163" s="216">
        <v>0</v>
      </c>
      <c r="AG163" s="208">
        <f t="shared" si="74"/>
        <v>512.258182</v>
      </c>
      <c r="AH163" s="216">
        <v>0</v>
      </c>
      <c r="AI163" s="216">
        <v>0</v>
      </c>
      <c r="AJ163" s="216">
        <v>512.258182</v>
      </c>
      <c r="AK163" s="217">
        <f t="shared" si="75"/>
        <v>429.52</v>
      </c>
      <c r="AL163" s="206">
        <f t="shared" si="76"/>
        <v>0</v>
      </c>
      <c r="AM163" s="235">
        <f t="shared" si="62"/>
        <v>0</v>
      </c>
      <c r="AN163" s="235">
        <f t="shared" si="77"/>
        <v>0</v>
      </c>
      <c r="AO163" s="209">
        <f t="shared" si="63"/>
        <v>0.85904</v>
      </c>
      <c r="AP163" s="209">
        <f t="shared" si="78"/>
        <v>0.026845</v>
      </c>
      <c r="AQ163" s="209">
        <f t="shared" si="64"/>
        <v>0.42952</v>
      </c>
      <c r="AR163" s="209">
        <f t="shared" si="79"/>
        <v>0.00894833333333333</v>
      </c>
      <c r="AS163" s="209">
        <f t="shared" si="82"/>
        <v>0</v>
      </c>
      <c r="AT163" s="215">
        <v>0</v>
      </c>
      <c r="AU163" s="215" t="s">
        <v>89</v>
      </c>
      <c r="AV163" s="237">
        <f t="shared" si="65"/>
        <v>0</v>
      </c>
      <c r="AW163" s="209"/>
      <c r="AX163" s="209"/>
      <c r="AY163" s="237"/>
      <c r="AZ163" s="217"/>
      <c r="BA163" s="209"/>
      <c r="BB163" s="237"/>
      <c r="BC163" s="237"/>
      <c r="BD163" s="217"/>
      <c r="BE163" s="209"/>
      <c r="BF163" s="217"/>
      <c r="BG163" s="209"/>
      <c r="BH163" s="209"/>
      <c r="BI163" s="209"/>
      <c r="BJ163" s="215"/>
      <c r="BP163" s="242"/>
    </row>
    <row r="164" s="191" customFormat="1" ht="15" customHeight="1" spans="1:68">
      <c r="A164" s="206">
        <v>159</v>
      </c>
      <c r="B164" s="215" t="s">
        <v>223</v>
      </c>
      <c r="C164" s="215" t="s">
        <v>223</v>
      </c>
      <c r="D164" s="215" t="s">
        <v>112</v>
      </c>
      <c r="E164" s="215" t="s">
        <v>114</v>
      </c>
      <c r="F164" s="216">
        <v>306.51</v>
      </c>
      <c r="G164" s="217">
        <f t="shared" si="66"/>
        <v>29.457443995824</v>
      </c>
      <c r="H164" s="209">
        <f t="shared" si="61"/>
        <v>9029.00115916</v>
      </c>
      <c r="I164" s="215">
        <v>2</v>
      </c>
      <c r="J164" s="209">
        <f t="shared" si="67"/>
        <v>3472.600288</v>
      </c>
      <c r="K164" s="209">
        <f t="shared" si="80"/>
        <v>1264.99573</v>
      </c>
      <c r="L164" s="215">
        <v>2</v>
      </c>
      <c r="M164" s="209">
        <f t="shared" si="68"/>
        <v>613.02</v>
      </c>
      <c r="N164" s="216">
        <v>5189.090355</v>
      </c>
      <c r="O164" s="217">
        <f t="shared" si="69"/>
        <v>1839.06</v>
      </c>
      <c r="P164" s="217">
        <v>0</v>
      </c>
      <c r="Q164" s="209">
        <f t="shared" si="81"/>
        <v>1508.07775016</v>
      </c>
      <c r="R164" s="209">
        <f t="shared" si="70"/>
        <v>3</v>
      </c>
      <c r="S164" s="209">
        <v>0</v>
      </c>
      <c r="T164" s="216">
        <v>368.544558</v>
      </c>
      <c r="U164" s="215">
        <v>1</v>
      </c>
      <c r="V164" s="217"/>
      <c r="W164" s="216">
        <v>1264.99573</v>
      </c>
      <c r="X164" s="216">
        <v>0</v>
      </c>
      <c r="Y164" s="217">
        <f t="shared" si="71"/>
        <v>0</v>
      </c>
      <c r="Z164" s="209">
        <f t="shared" si="72"/>
        <v>132.008985</v>
      </c>
      <c r="AA164" s="216">
        <v>0</v>
      </c>
      <c r="AB164" s="230">
        <v>132.008985</v>
      </c>
      <c r="AC164" s="216">
        <v>0</v>
      </c>
      <c r="AD164" s="231">
        <v>0</v>
      </c>
      <c r="AE164" s="208">
        <f t="shared" si="73"/>
        <v>243.08202016</v>
      </c>
      <c r="AF164" s="216">
        <v>0</v>
      </c>
      <c r="AG164" s="208">
        <f t="shared" si="74"/>
        <v>1699.270526</v>
      </c>
      <c r="AH164" s="216">
        <v>0</v>
      </c>
      <c r="AI164" s="216">
        <v>0</v>
      </c>
      <c r="AJ164" s="216">
        <v>1699.270526</v>
      </c>
      <c r="AK164" s="217">
        <f t="shared" si="75"/>
        <v>613.02</v>
      </c>
      <c r="AL164" s="206">
        <f t="shared" si="76"/>
        <v>0</v>
      </c>
      <c r="AM164" s="235">
        <f t="shared" si="62"/>
        <v>0</v>
      </c>
      <c r="AN164" s="235">
        <f t="shared" si="77"/>
        <v>0</v>
      </c>
      <c r="AO164" s="209">
        <f t="shared" si="63"/>
        <v>1.22604</v>
      </c>
      <c r="AP164" s="209">
        <f t="shared" si="78"/>
        <v>0.03831375</v>
      </c>
      <c r="AQ164" s="209">
        <f t="shared" si="64"/>
        <v>0.61302</v>
      </c>
      <c r="AR164" s="209">
        <f t="shared" si="79"/>
        <v>0.01277125</v>
      </c>
      <c r="AS164" s="209">
        <f t="shared" si="82"/>
        <v>0.61302</v>
      </c>
      <c r="AT164" s="215">
        <v>2</v>
      </c>
      <c r="AU164" s="215" t="s">
        <v>89</v>
      </c>
      <c r="AV164" s="237">
        <f t="shared" si="65"/>
        <v>0</v>
      </c>
      <c r="AW164" s="209"/>
      <c r="AX164" s="209"/>
      <c r="AY164" s="237"/>
      <c r="AZ164" s="217"/>
      <c r="BA164" s="209"/>
      <c r="BB164" s="237"/>
      <c r="BC164" s="237"/>
      <c r="BD164" s="217"/>
      <c r="BE164" s="209"/>
      <c r="BF164" s="217"/>
      <c r="BG164" s="209"/>
      <c r="BH164" s="209"/>
      <c r="BI164" s="209"/>
      <c r="BJ164" s="215"/>
      <c r="BP164" s="242"/>
    </row>
    <row r="165" s="191" customFormat="1" ht="15" customHeight="1" spans="1:68">
      <c r="A165" s="206">
        <v>160</v>
      </c>
      <c r="B165" s="215" t="s">
        <v>223</v>
      </c>
      <c r="C165" s="215" t="s">
        <v>223</v>
      </c>
      <c r="D165" s="215" t="s">
        <v>102</v>
      </c>
      <c r="E165" s="215" t="s">
        <v>86</v>
      </c>
      <c r="F165" s="216">
        <v>436.42</v>
      </c>
      <c r="G165" s="217">
        <f t="shared" si="66"/>
        <v>23.9539198934971</v>
      </c>
      <c r="H165" s="209">
        <f t="shared" si="61"/>
        <v>10453.96971992</v>
      </c>
      <c r="I165" s="215">
        <v>2</v>
      </c>
      <c r="J165" s="209">
        <f t="shared" si="67"/>
        <v>4832.088756</v>
      </c>
      <c r="K165" s="209">
        <f t="shared" si="80"/>
        <v>2213.568756</v>
      </c>
      <c r="L165" s="215">
        <v>2</v>
      </c>
      <c r="M165" s="209">
        <f t="shared" si="68"/>
        <v>872.84</v>
      </c>
      <c r="N165" s="216">
        <v>6553.15052</v>
      </c>
      <c r="O165" s="217">
        <f t="shared" si="69"/>
        <v>2618.52</v>
      </c>
      <c r="P165" s="217">
        <v>0</v>
      </c>
      <c r="Q165" s="209">
        <f t="shared" si="81"/>
        <v>2551.81496892</v>
      </c>
      <c r="R165" s="209">
        <f t="shared" si="70"/>
        <v>0</v>
      </c>
      <c r="S165" s="209">
        <v>0</v>
      </c>
      <c r="T165" s="216">
        <v>0</v>
      </c>
      <c r="U165" s="215">
        <v>0</v>
      </c>
      <c r="V165" s="217"/>
      <c r="W165" s="216">
        <v>2213.568756</v>
      </c>
      <c r="X165" s="216">
        <v>0</v>
      </c>
      <c r="Y165" s="217">
        <f t="shared" si="71"/>
        <v>0</v>
      </c>
      <c r="Z165" s="209">
        <f t="shared" si="72"/>
        <v>0</v>
      </c>
      <c r="AA165" s="216">
        <v>0</v>
      </c>
      <c r="AB165" s="230">
        <v>0</v>
      </c>
      <c r="AC165" s="216">
        <v>0</v>
      </c>
      <c r="AD165" s="231">
        <v>0</v>
      </c>
      <c r="AE165" s="208">
        <f t="shared" si="73"/>
        <v>338.24621292</v>
      </c>
      <c r="AF165" s="216">
        <v>0</v>
      </c>
      <c r="AG165" s="208">
        <f t="shared" si="74"/>
        <v>1349.004231</v>
      </c>
      <c r="AH165" s="216">
        <v>0</v>
      </c>
      <c r="AI165" s="216">
        <v>0</v>
      </c>
      <c r="AJ165" s="216">
        <v>1349.004231</v>
      </c>
      <c r="AK165" s="217">
        <f t="shared" si="75"/>
        <v>872.84</v>
      </c>
      <c r="AL165" s="206">
        <f t="shared" si="76"/>
        <v>0</v>
      </c>
      <c r="AM165" s="235">
        <f t="shared" si="62"/>
        <v>0</v>
      </c>
      <c r="AN165" s="235">
        <f t="shared" si="77"/>
        <v>0</v>
      </c>
      <c r="AO165" s="209">
        <f t="shared" si="63"/>
        <v>1.74568</v>
      </c>
      <c r="AP165" s="209">
        <f t="shared" si="78"/>
        <v>0.0545525</v>
      </c>
      <c r="AQ165" s="209">
        <f t="shared" si="64"/>
        <v>0.87284</v>
      </c>
      <c r="AR165" s="209">
        <f t="shared" si="79"/>
        <v>0.0181841666666667</v>
      </c>
      <c r="AS165" s="209">
        <f t="shared" si="82"/>
        <v>0</v>
      </c>
      <c r="AT165" s="215">
        <v>0</v>
      </c>
      <c r="AU165" s="215" t="s">
        <v>89</v>
      </c>
      <c r="AV165" s="237">
        <f t="shared" si="65"/>
        <v>0</v>
      </c>
      <c r="AW165" s="209"/>
      <c r="AX165" s="209"/>
      <c r="AY165" s="237"/>
      <c r="AZ165" s="217"/>
      <c r="BA165" s="209"/>
      <c r="BB165" s="237"/>
      <c r="BC165" s="237"/>
      <c r="BD165" s="217"/>
      <c r="BE165" s="209"/>
      <c r="BF165" s="217"/>
      <c r="BG165" s="209"/>
      <c r="BH165" s="209"/>
      <c r="BI165" s="209"/>
      <c r="BJ165" s="215"/>
      <c r="BP165" s="242"/>
    </row>
    <row r="166" s="190" customFormat="1" ht="15" customHeight="1" spans="1:68">
      <c r="A166" s="218">
        <v>161</v>
      </c>
      <c r="B166" s="207" t="s">
        <v>242</v>
      </c>
      <c r="C166" s="211" t="s">
        <v>242</v>
      </c>
      <c r="D166" s="211" t="s">
        <v>243</v>
      </c>
      <c r="E166" s="211" t="s">
        <v>171</v>
      </c>
      <c r="F166" s="212">
        <v>735.19</v>
      </c>
      <c r="G166" s="213">
        <f t="shared" si="66"/>
        <v>20.4916389534678</v>
      </c>
      <c r="H166" s="213">
        <f t="shared" si="61"/>
        <v>15065.2480422</v>
      </c>
      <c r="I166" s="211">
        <v>3</v>
      </c>
      <c r="J166" s="213">
        <f t="shared" si="67"/>
        <v>4696.00527</v>
      </c>
      <c r="K166" s="213">
        <f t="shared" si="80"/>
        <v>284.86527</v>
      </c>
      <c r="L166" s="207">
        <v>2</v>
      </c>
      <c r="M166" s="213">
        <f t="shared" si="68"/>
        <v>1470.38</v>
      </c>
      <c r="N166" s="212">
        <v>4714.887681</v>
      </c>
      <c r="O166" s="213">
        <f t="shared" si="69"/>
        <v>4411.14</v>
      </c>
      <c r="P166" s="213">
        <v>0</v>
      </c>
      <c r="Q166" s="213">
        <f t="shared" si="81"/>
        <v>566.6255862</v>
      </c>
      <c r="R166" s="213">
        <f t="shared" si="70"/>
        <v>0</v>
      </c>
      <c r="S166" s="213">
        <v>0</v>
      </c>
      <c r="T166" s="212">
        <v>0</v>
      </c>
      <c r="U166" s="211">
        <v>0</v>
      </c>
      <c r="V166" s="213"/>
      <c r="W166" s="212">
        <v>284.86527</v>
      </c>
      <c r="X166" s="212">
        <v>0</v>
      </c>
      <c r="Y166" s="213">
        <f t="shared" si="71"/>
        <v>0</v>
      </c>
      <c r="Z166" s="213">
        <f t="shared" si="72"/>
        <v>190.464538</v>
      </c>
      <c r="AA166" s="208">
        <v>0</v>
      </c>
      <c r="AB166" s="228">
        <v>0</v>
      </c>
      <c r="AC166" s="208">
        <v>0</v>
      </c>
      <c r="AD166" s="229">
        <v>190.464538</v>
      </c>
      <c r="AE166" s="212">
        <f t="shared" si="73"/>
        <v>281.7603162</v>
      </c>
      <c r="AF166" s="212">
        <v>0</v>
      </c>
      <c r="AG166" s="212">
        <f t="shared" si="74"/>
        <v>9402.805699</v>
      </c>
      <c r="AH166" s="212">
        <v>2913.945116</v>
      </c>
      <c r="AI166" s="212">
        <v>0</v>
      </c>
      <c r="AJ166" s="212">
        <v>6488.860583</v>
      </c>
      <c r="AK166" s="213">
        <f t="shared" si="75"/>
        <v>1470.38</v>
      </c>
      <c r="AL166" s="210">
        <f t="shared" si="76"/>
        <v>0</v>
      </c>
      <c r="AM166" s="235">
        <f t="shared" si="62"/>
        <v>0</v>
      </c>
      <c r="AN166" s="235">
        <f t="shared" si="77"/>
        <v>0</v>
      </c>
      <c r="AO166" s="213">
        <f t="shared" si="63"/>
        <v>1.47038</v>
      </c>
      <c r="AP166" s="209">
        <f t="shared" si="78"/>
        <v>0.045949375</v>
      </c>
      <c r="AQ166" s="213">
        <f t="shared" si="64"/>
        <v>0.73519</v>
      </c>
      <c r="AR166" s="209">
        <f t="shared" si="79"/>
        <v>0.0153164583333333</v>
      </c>
      <c r="AS166" s="213">
        <f t="shared" si="82"/>
        <v>0</v>
      </c>
      <c r="AT166" s="211">
        <v>0</v>
      </c>
      <c r="AU166" s="211"/>
      <c r="AV166" s="237">
        <f t="shared" si="65"/>
        <v>0</v>
      </c>
      <c r="AW166" s="213"/>
      <c r="AX166" s="213"/>
      <c r="AY166" s="238"/>
      <c r="AZ166" s="238"/>
      <c r="BA166" s="213"/>
      <c r="BB166" s="238"/>
      <c r="BC166" s="238"/>
      <c r="BD166" s="213"/>
      <c r="BE166" s="213"/>
      <c r="BF166" s="213"/>
      <c r="BG166" s="213"/>
      <c r="BH166" s="213"/>
      <c r="BI166" s="213"/>
      <c r="BJ166" s="211"/>
      <c r="BP166" s="241"/>
    </row>
    <row r="167" s="190" customFormat="1" ht="15" customHeight="1" spans="1:68">
      <c r="A167" s="210">
        <v>162</v>
      </c>
      <c r="B167" s="207" t="s">
        <v>244</v>
      </c>
      <c r="C167" s="211" t="s">
        <v>244</v>
      </c>
      <c r="D167" s="211" t="s">
        <v>245</v>
      </c>
      <c r="E167" s="211" t="s">
        <v>242</v>
      </c>
      <c r="F167" s="212">
        <v>93.19</v>
      </c>
      <c r="G167" s="213">
        <f t="shared" si="66"/>
        <v>14.9772817147763</v>
      </c>
      <c r="H167" s="213">
        <f t="shared" si="61"/>
        <v>1395.732883</v>
      </c>
      <c r="I167" s="211">
        <v>3</v>
      </c>
      <c r="J167" s="213">
        <f t="shared" si="67"/>
        <v>559.14</v>
      </c>
      <c r="K167" s="213">
        <f t="shared" si="80"/>
        <v>0</v>
      </c>
      <c r="L167" s="207">
        <v>2</v>
      </c>
      <c r="M167" s="213">
        <f t="shared" si="68"/>
        <v>186.38</v>
      </c>
      <c r="N167" s="212">
        <v>624.788536</v>
      </c>
      <c r="O167" s="213">
        <f t="shared" si="69"/>
        <v>559.14</v>
      </c>
      <c r="P167" s="213">
        <v>0</v>
      </c>
      <c r="Q167" s="213">
        <f t="shared" si="81"/>
        <v>33.5484</v>
      </c>
      <c r="R167" s="213">
        <f t="shared" si="70"/>
        <v>0</v>
      </c>
      <c r="S167" s="213">
        <v>0</v>
      </c>
      <c r="T167" s="212">
        <v>0</v>
      </c>
      <c r="U167" s="211">
        <v>0</v>
      </c>
      <c r="V167" s="213"/>
      <c r="W167" s="212">
        <v>0</v>
      </c>
      <c r="X167" s="212">
        <v>0</v>
      </c>
      <c r="Y167" s="213">
        <f t="shared" si="71"/>
        <v>0</v>
      </c>
      <c r="Z167" s="213">
        <f t="shared" si="72"/>
        <v>0</v>
      </c>
      <c r="AA167" s="208">
        <v>0</v>
      </c>
      <c r="AB167" s="228">
        <v>0</v>
      </c>
      <c r="AC167" s="208">
        <v>0</v>
      </c>
      <c r="AD167" s="229">
        <v>0</v>
      </c>
      <c r="AE167" s="212">
        <f t="shared" si="73"/>
        <v>33.5484</v>
      </c>
      <c r="AF167" s="212">
        <v>0</v>
      </c>
      <c r="AG167" s="212">
        <f t="shared" si="74"/>
        <v>737.395947</v>
      </c>
      <c r="AH167" s="212">
        <v>0</v>
      </c>
      <c r="AI167" s="212">
        <v>0</v>
      </c>
      <c r="AJ167" s="212">
        <v>737.395947</v>
      </c>
      <c r="AK167" s="213">
        <f t="shared" si="75"/>
        <v>186.38</v>
      </c>
      <c r="AL167" s="210">
        <f t="shared" si="76"/>
        <v>0</v>
      </c>
      <c r="AM167" s="235">
        <f t="shared" si="62"/>
        <v>0</v>
      </c>
      <c r="AN167" s="235">
        <f t="shared" si="77"/>
        <v>0</v>
      </c>
      <c r="AO167" s="213">
        <f t="shared" si="63"/>
        <v>0.18638</v>
      </c>
      <c r="AP167" s="209">
        <f t="shared" si="78"/>
        <v>0.005824375</v>
      </c>
      <c r="AQ167" s="213">
        <f t="shared" si="64"/>
        <v>0.09319</v>
      </c>
      <c r="AR167" s="209">
        <f t="shared" si="79"/>
        <v>0.00194145833333333</v>
      </c>
      <c r="AS167" s="213">
        <f t="shared" si="82"/>
        <v>0</v>
      </c>
      <c r="AT167" s="211">
        <v>0</v>
      </c>
      <c r="AU167" s="211"/>
      <c r="AV167" s="237">
        <f t="shared" si="65"/>
        <v>0</v>
      </c>
      <c r="AW167" s="213"/>
      <c r="AX167" s="213"/>
      <c r="AY167" s="238"/>
      <c r="AZ167" s="238"/>
      <c r="BA167" s="213"/>
      <c r="BB167" s="238"/>
      <c r="BC167" s="238"/>
      <c r="BD167" s="213"/>
      <c r="BE167" s="213"/>
      <c r="BF167" s="213"/>
      <c r="BG167" s="213"/>
      <c r="BH167" s="213"/>
      <c r="BI167" s="213"/>
      <c r="BJ167" s="211"/>
      <c r="BP167" s="241"/>
    </row>
    <row r="168" s="190" customFormat="1" ht="15" customHeight="1" spans="1:68">
      <c r="A168" s="210">
        <v>163</v>
      </c>
      <c r="B168" s="207" t="s">
        <v>246</v>
      </c>
      <c r="C168" s="211" t="s">
        <v>246</v>
      </c>
      <c r="D168" s="211" t="s">
        <v>244</v>
      </c>
      <c r="E168" s="211" t="s">
        <v>137</v>
      </c>
      <c r="F168" s="212">
        <v>52.92</v>
      </c>
      <c r="G168" s="213">
        <f t="shared" si="66"/>
        <v>5.38877080498866</v>
      </c>
      <c r="H168" s="213">
        <f t="shared" si="61"/>
        <v>285.173751</v>
      </c>
      <c r="I168" s="211">
        <v>3</v>
      </c>
      <c r="J168" s="213">
        <f t="shared" si="67"/>
        <v>317.52</v>
      </c>
      <c r="K168" s="213">
        <f t="shared" si="80"/>
        <v>0</v>
      </c>
      <c r="L168" s="207">
        <v>0</v>
      </c>
      <c r="M168" s="213">
        <f t="shared" si="68"/>
        <v>105.84</v>
      </c>
      <c r="N168" s="212">
        <v>266.122551</v>
      </c>
      <c r="O168" s="213">
        <f t="shared" si="69"/>
        <v>317.52</v>
      </c>
      <c r="P168" s="213">
        <v>0</v>
      </c>
      <c r="Q168" s="213">
        <f t="shared" si="81"/>
        <v>19.0512</v>
      </c>
      <c r="R168" s="213">
        <f t="shared" si="70"/>
        <v>0</v>
      </c>
      <c r="S168" s="213">
        <v>0</v>
      </c>
      <c r="T168" s="212">
        <v>0</v>
      </c>
      <c r="U168" s="211">
        <v>0</v>
      </c>
      <c r="V168" s="213"/>
      <c r="W168" s="212">
        <v>0</v>
      </c>
      <c r="X168" s="212">
        <v>0</v>
      </c>
      <c r="Y168" s="213">
        <f t="shared" si="71"/>
        <v>0</v>
      </c>
      <c r="Z168" s="213">
        <f t="shared" si="72"/>
        <v>0</v>
      </c>
      <c r="AA168" s="208">
        <v>0</v>
      </c>
      <c r="AB168" s="228">
        <v>0</v>
      </c>
      <c r="AC168" s="208">
        <v>0</v>
      </c>
      <c r="AD168" s="229">
        <v>0</v>
      </c>
      <c r="AE168" s="212">
        <f t="shared" si="73"/>
        <v>19.0512</v>
      </c>
      <c r="AF168" s="212">
        <v>0</v>
      </c>
      <c r="AG168" s="212">
        <f t="shared" si="74"/>
        <v>0</v>
      </c>
      <c r="AH168" s="212">
        <v>0</v>
      </c>
      <c r="AI168" s="212">
        <v>0</v>
      </c>
      <c r="AJ168" s="212">
        <v>0</v>
      </c>
      <c r="AK168" s="213">
        <f t="shared" si="75"/>
        <v>105.84</v>
      </c>
      <c r="AL168" s="210">
        <f t="shared" si="76"/>
        <v>0</v>
      </c>
      <c r="AM168" s="235">
        <f t="shared" si="62"/>
        <v>0</v>
      </c>
      <c r="AN168" s="235">
        <f t="shared" si="77"/>
        <v>0</v>
      </c>
      <c r="AO168" s="213">
        <f t="shared" si="63"/>
        <v>0.10584</v>
      </c>
      <c r="AP168" s="209">
        <f t="shared" si="78"/>
        <v>0.0033075</v>
      </c>
      <c r="AQ168" s="213">
        <f t="shared" si="64"/>
        <v>0.05292</v>
      </c>
      <c r="AR168" s="209">
        <f t="shared" si="79"/>
        <v>0.0011025</v>
      </c>
      <c r="AS168" s="213">
        <f t="shared" si="82"/>
        <v>0</v>
      </c>
      <c r="AT168" s="211">
        <v>0</v>
      </c>
      <c r="AU168" s="211"/>
      <c r="AV168" s="237">
        <f t="shared" si="65"/>
        <v>0</v>
      </c>
      <c r="AW168" s="213"/>
      <c r="AX168" s="213"/>
      <c r="AY168" s="238"/>
      <c r="AZ168" s="238"/>
      <c r="BA168" s="213"/>
      <c r="BB168" s="238"/>
      <c r="BC168" s="238"/>
      <c r="BD168" s="213"/>
      <c r="BE168" s="213"/>
      <c r="BF168" s="213"/>
      <c r="BG168" s="213"/>
      <c r="BH168" s="213"/>
      <c r="BI168" s="213"/>
      <c r="BJ168" s="211"/>
      <c r="BP168" s="241"/>
    </row>
    <row r="169" s="190" customFormat="1" ht="15" customHeight="1" spans="1:68">
      <c r="A169" s="218">
        <v>164</v>
      </c>
      <c r="B169" s="207" t="s">
        <v>137</v>
      </c>
      <c r="C169" s="211" t="s">
        <v>137</v>
      </c>
      <c r="D169" s="211" t="s">
        <v>242</v>
      </c>
      <c r="E169" s="211" t="s">
        <v>136</v>
      </c>
      <c r="F169" s="212">
        <v>610.04</v>
      </c>
      <c r="G169" s="213">
        <f t="shared" si="66"/>
        <v>40.4106172555898</v>
      </c>
      <c r="H169" s="213">
        <f t="shared" si="61"/>
        <v>24652.0929506</v>
      </c>
      <c r="I169" s="211">
        <v>3</v>
      </c>
      <c r="J169" s="213">
        <f t="shared" si="67"/>
        <v>3967.44001</v>
      </c>
      <c r="K169" s="213">
        <f t="shared" si="80"/>
        <v>307.20001</v>
      </c>
      <c r="L169" s="207">
        <v>2</v>
      </c>
      <c r="M169" s="213">
        <f t="shared" si="68"/>
        <v>1220.08</v>
      </c>
      <c r="N169" s="212">
        <v>4541.391912</v>
      </c>
      <c r="O169" s="213">
        <f t="shared" si="69"/>
        <v>3660.24</v>
      </c>
      <c r="P169" s="213">
        <v>0</v>
      </c>
      <c r="Q169" s="213">
        <f t="shared" si="81"/>
        <v>545.2464106</v>
      </c>
      <c r="R169" s="213">
        <f t="shared" si="70"/>
        <v>0</v>
      </c>
      <c r="S169" s="213">
        <v>0</v>
      </c>
      <c r="T169" s="212">
        <v>0</v>
      </c>
      <c r="U169" s="211">
        <v>0</v>
      </c>
      <c r="V169" s="213"/>
      <c r="W169" s="212">
        <v>307.20001</v>
      </c>
      <c r="X169" s="212">
        <v>0</v>
      </c>
      <c r="Y169" s="213">
        <f t="shared" si="71"/>
        <v>0</v>
      </c>
      <c r="Z169" s="213">
        <f t="shared" si="72"/>
        <v>30.183217</v>
      </c>
      <c r="AA169" s="208">
        <v>0</v>
      </c>
      <c r="AB169" s="228">
        <v>0</v>
      </c>
      <c r="AC169" s="208">
        <v>0</v>
      </c>
      <c r="AD169" s="229">
        <v>30.183217</v>
      </c>
      <c r="AE169" s="212">
        <f t="shared" si="73"/>
        <v>238.0464006</v>
      </c>
      <c r="AF169" s="212">
        <v>0</v>
      </c>
      <c r="AG169" s="212">
        <f t="shared" si="74"/>
        <v>19505.088194</v>
      </c>
      <c r="AH169" s="212">
        <v>3933.337625</v>
      </c>
      <c r="AI169" s="212">
        <v>0</v>
      </c>
      <c r="AJ169" s="212">
        <v>15571.750569</v>
      </c>
      <c r="AK169" s="213">
        <f t="shared" si="75"/>
        <v>1220.08</v>
      </c>
      <c r="AL169" s="210">
        <f t="shared" si="76"/>
        <v>0</v>
      </c>
      <c r="AM169" s="235">
        <f t="shared" si="62"/>
        <v>0</v>
      </c>
      <c r="AN169" s="235">
        <f t="shared" si="77"/>
        <v>0</v>
      </c>
      <c r="AO169" s="213">
        <f t="shared" si="63"/>
        <v>1.22008</v>
      </c>
      <c r="AP169" s="209">
        <f t="shared" si="78"/>
        <v>0.0381275</v>
      </c>
      <c r="AQ169" s="213">
        <f t="shared" si="64"/>
        <v>0.61004</v>
      </c>
      <c r="AR169" s="209">
        <f t="shared" si="79"/>
        <v>0.0127091666666667</v>
      </c>
      <c r="AS169" s="213">
        <f t="shared" si="82"/>
        <v>0</v>
      </c>
      <c r="AT169" s="211">
        <v>0</v>
      </c>
      <c r="AU169" s="211"/>
      <c r="AV169" s="237">
        <f t="shared" si="65"/>
        <v>0</v>
      </c>
      <c r="AW169" s="213"/>
      <c r="AX169" s="213"/>
      <c r="AY169" s="238"/>
      <c r="AZ169" s="238"/>
      <c r="BA169" s="213"/>
      <c r="BB169" s="238"/>
      <c r="BC169" s="238"/>
      <c r="BD169" s="213"/>
      <c r="BE169" s="213"/>
      <c r="BF169" s="213"/>
      <c r="BG169" s="213"/>
      <c r="BH169" s="213"/>
      <c r="BI169" s="213"/>
      <c r="BJ169" s="211"/>
      <c r="BP169" s="241"/>
    </row>
    <row r="170" s="194" customFormat="1" ht="15" customHeight="1" spans="1:68">
      <c r="A170" s="246">
        <v>165</v>
      </c>
      <c r="B170" s="226" t="s">
        <v>170</v>
      </c>
      <c r="C170" s="227" t="s">
        <v>170</v>
      </c>
      <c r="D170" s="227" t="s">
        <v>247</v>
      </c>
      <c r="E170" s="227" t="s">
        <v>248</v>
      </c>
      <c r="F170" s="247">
        <v>992.24</v>
      </c>
      <c r="G170" s="238">
        <f t="shared" si="66"/>
        <v>140.992721145005</v>
      </c>
      <c r="H170" s="213">
        <f t="shared" si="61"/>
        <v>139898.61762892</v>
      </c>
      <c r="I170" s="227">
        <v>2</v>
      </c>
      <c r="J170" s="238">
        <f t="shared" si="67"/>
        <v>11373.495156</v>
      </c>
      <c r="K170" s="238">
        <f t="shared" si="80"/>
        <v>5420.055156</v>
      </c>
      <c r="L170" s="226">
        <v>2</v>
      </c>
      <c r="M170" s="238">
        <f t="shared" si="68"/>
        <v>1984.48</v>
      </c>
      <c r="N170" s="247">
        <v>20061.754178</v>
      </c>
      <c r="O170" s="238">
        <f t="shared" si="69"/>
        <v>5953.44</v>
      </c>
      <c r="P170" s="238">
        <v>0</v>
      </c>
      <c r="Q170" s="238">
        <f t="shared" si="81"/>
        <v>6216.19981692</v>
      </c>
      <c r="R170" s="238">
        <f t="shared" si="70"/>
        <v>0</v>
      </c>
      <c r="S170" s="238">
        <v>0</v>
      </c>
      <c r="T170" s="247">
        <v>0</v>
      </c>
      <c r="U170" s="227">
        <v>0</v>
      </c>
      <c r="V170" s="238"/>
      <c r="W170" s="247">
        <v>4871.00534</v>
      </c>
      <c r="X170" s="247">
        <v>274.524908</v>
      </c>
      <c r="Y170" s="238">
        <f t="shared" si="71"/>
        <v>549.049816</v>
      </c>
      <c r="Z170" s="238">
        <f t="shared" si="72"/>
        <v>282.264148</v>
      </c>
      <c r="AA170" s="248">
        <v>4.913773</v>
      </c>
      <c r="AB170" s="249">
        <v>0</v>
      </c>
      <c r="AC170" s="248">
        <v>0</v>
      </c>
      <c r="AD170" s="250">
        <v>277.350375</v>
      </c>
      <c r="AE170" s="247">
        <f t="shared" si="73"/>
        <v>796.14466092</v>
      </c>
      <c r="AF170" s="247">
        <v>0</v>
      </c>
      <c r="AG170" s="247">
        <f t="shared" si="74"/>
        <v>113056.135338</v>
      </c>
      <c r="AH170" s="247">
        <v>81789.485323</v>
      </c>
      <c r="AI170" s="247">
        <v>0</v>
      </c>
      <c r="AJ170" s="247">
        <v>31266.650015</v>
      </c>
      <c r="AK170" s="238">
        <f t="shared" si="75"/>
        <v>1984.48</v>
      </c>
      <c r="AL170" s="246">
        <f t="shared" si="76"/>
        <v>0</v>
      </c>
      <c r="AM170" s="251">
        <f t="shared" si="62"/>
        <v>0</v>
      </c>
      <c r="AN170" s="251">
        <f t="shared" si="77"/>
        <v>0</v>
      </c>
      <c r="AO170" s="238">
        <f t="shared" si="63"/>
        <v>3.96896</v>
      </c>
      <c r="AP170" s="237">
        <f t="shared" si="78"/>
        <v>0.12403</v>
      </c>
      <c r="AQ170" s="238">
        <f t="shared" si="64"/>
        <v>1.98448</v>
      </c>
      <c r="AR170" s="237">
        <f t="shared" si="79"/>
        <v>0.0413433333333333</v>
      </c>
      <c r="AS170" s="238">
        <f t="shared" si="82"/>
        <v>0</v>
      </c>
      <c r="AT170" s="227">
        <v>0</v>
      </c>
      <c r="AU170" s="227"/>
      <c r="AV170" s="237">
        <f t="shared" si="65"/>
        <v>0</v>
      </c>
      <c r="AW170" s="213"/>
      <c r="AX170" s="238"/>
      <c r="AY170" s="238"/>
      <c r="AZ170" s="238"/>
      <c r="BA170" s="213"/>
      <c r="BB170" s="238"/>
      <c r="BC170" s="238"/>
      <c r="BD170" s="238"/>
      <c r="BE170" s="238"/>
      <c r="BF170" s="238"/>
      <c r="BG170" s="238"/>
      <c r="BH170" s="238"/>
      <c r="BI170" s="238"/>
      <c r="BJ170" s="227"/>
      <c r="BP170" s="252"/>
    </row>
    <row r="171" s="189" customFormat="1" ht="15" customHeight="1" spans="1:68">
      <c r="A171" s="206">
        <v>166</v>
      </c>
      <c r="B171" s="207" t="s">
        <v>249</v>
      </c>
      <c r="C171" s="207" t="s">
        <v>249</v>
      </c>
      <c r="D171" s="207" t="s">
        <v>148</v>
      </c>
      <c r="E171" s="207" t="s">
        <v>250</v>
      </c>
      <c r="F171" s="208">
        <v>718.78</v>
      </c>
      <c r="G171" s="209">
        <f t="shared" si="66"/>
        <v>12.3261587603161</v>
      </c>
      <c r="H171" s="209">
        <f t="shared" si="61"/>
        <v>8859.79639374</v>
      </c>
      <c r="I171" s="207">
        <v>3</v>
      </c>
      <c r="J171" s="209">
        <f t="shared" si="67"/>
        <v>4911.539479</v>
      </c>
      <c r="K171" s="209">
        <f t="shared" si="80"/>
        <v>598.859479</v>
      </c>
      <c r="L171" s="207">
        <v>2</v>
      </c>
      <c r="M171" s="209">
        <f t="shared" si="68"/>
        <v>1437.56</v>
      </c>
      <c r="N171" s="208">
        <v>5450.44111</v>
      </c>
      <c r="O171" s="209">
        <f t="shared" si="69"/>
        <v>4312.68</v>
      </c>
      <c r="P171" s="209">
        <v>0</v>
      </c>
      <c r="Q171" s="209">
        <f t="shared" si="81"/>
        <v>893.55184774</v>
      </c>
      <c r="R171" s="209">
        <f t="shared" si="70"/>
        <v>0</v>
      </c>
      <c r="S171" s="209">
        <v>0</v>
      </c>
      <c r="T171" s="208">
        <v>0</v>
      </c>
      <c r="U171" s="207">
        <v>0</v>
      </c>
      <c r="V171" s="209"/>
      <c r="W171" s="208">
        <v>456.599769</v>
      </c>
      <c r="X171" s="208">
        <v>71.129855</v>
      </c>
      <c r="Y171" s="209">
        <f t="shared" si="71"/>
        <v>142.25971</v>
      </c>
      <c r="Z171" s="209">
        <f t="shared" si="72"/>
        <v>120.169396</v>
      </c>
      <c r="AA171" s="208">
        <v>0</v>
      </c>
      <c r="AB171" s="228">
        <v>0</v>
      </c>
      <c r="AC171" s="208">
        <v>0</v>
      </c>
      <c r="AD171" s="229">
        <v>120.169396</v>
      </c>
      <c r="AE171" s="208">
        <f t="shared" si="73"/>
        <v>294.69236874</v>
      </c>
      <c r="AF171" s="208">
        <v>0</v>
      </c>
      <c r="AG171" s="208">
        <f t="shared" si="74"/>
        <v>2275.464644</v>
      </c>
      <c r="AH171" s="208">
        <v>0</v>
      </c>
      <c r="AI171" s="208">
        <v>0</v>
      </c>
      <c r="AJ171" s="208">
        <v>2275.464644</v>
      </c>
      <c r="AK171" s="209">
        <f t="shared" si="75"/>
        <v>1437.56</v>
      </c>
      <c r="AL171" s="206">
        <f t="shared" si="76"/>
        <v>0</v>
      </c>
      <c r="AM171" s="235">
        <f t="shared" si="62"/>
        <v>0</v>
      </c>
      <c r="AN171" s="235">
        <f t="shared" si="77"/>
        <v>0</v>
      </c>
      <c r="AO171" s="209">
        <f t="shared" si="63"/>
        <v>1.43756</v>
      </c>
      <c r="AP171" s="209">
        <f t="shared" si="78"/>
        <v>0.04492375</v>
      </c>
      <c r="AQ171" s="209">
        <f t="shared" si="64"/>
        <v>0.71878</v>
      </c>
      <c r="AR171" s="209">
        <f t="shared" si="79"/>
        <v>0.0149745833333333</v>
      </c>
      <c r="AS171" s="209">
        <f t="shared" si="82"/>
        <v>0</v>
      </c>
      <c r="AT171" s="207">
        <v>0</v>
      </c>
      <c r="AU171" s="207"/>
      <c r="AV171" s="237">
        <f t="shared" si="65"/>
        <v>0</v>
      </c>
      <c r="AW171" s="209"/>
      <c r="AX171" s="209"/>
      <c r="AY171" s="237"/>
      <c r="AZ171" s="237"/>
      <c r="BA171" s="209"/>
      <c r="BB171" s="237"/>
      <c r="BC171" s="237"/>
      <c r="BD171" s="209"/>
      <c r="BE171" s="209"/>
      <c r="BF171" s="209"/>
      <c r="BG171" s="209"/>
      <c r="BH171" s="209"/>
      <c r="BI171" s="209"/>
      <c r="BJ171" s="207"/>
      <c r="BP171" s="240"/>
    </row>
    <row r="172" s="191" customFormat="1" ht="15" customHeight="1" spans="1:68">
      <c r="A172" s="214">
        <v>167</v>
      </c>
      <c r="B172" s="215" t="s">
        <v>251</v>
      </c>
      <c r="C172" s="215" t="s">
        <v>252</v>
      </c>
      <c r="D172" s="215" t="s">
        <v>113</v>
      </c>
      <c r="E172" s="215" t="s">
        <v>253</v>
      </c>
      <c r="F172" s="216">
        <v>1157.13</v>
      </c>
      <c r="G172" s="217">
        <f t="shared" si="66"/>
        <v>22.7769766460985</v>
      </c>
      <c r="H172" s="209">
        <f t="shared" si="61"/>
        <v>26355.9229865</v>
      </c>
      <c r="I172" s="215">
        <v>3</v>
      </c>
      <c r="J172" s="209">
        <f t="shared" si="67"/>
        <v>15782.812825</v>
      </c>
      <c r="K172" s="209">
        <f t="shared" si="80"/>
        <v>3613.802012</v>
      </c>
      <c r="L172" s="215">
        <v>2</v>
      </c>
      <c r="M172" s="209">
        <f t="shared" si="68"/>
        <v>2314.26</v>
      </c>
      <c r="N172" s="216">
        <v>8959.428647</v>
      </c>
      <c r="O172" s="217">
        <f t="shared" si="69"/>
        <v>6942.78</v>
      </c>
      <c r="P172" s="217">
        <v>0</v>
      </c>
      <c r="Q172" s="209">
        <f t="shared" si="81"/>
        <v>4560.7707815</v>
      </c>
      <c r="R172" s="209">
        <f t="shared" si="70"/>
        <v>3</v>
      </c>
      <c r="S172" s="209">
        <v>0</v>
      </c>
      <c r="T172" s="216">
        <v>5226.230813</v>
      </c>
      <c r="U172" s="215">
        <v>1</v>
      </c>
      <c r="V172" s="217"/>
      <c r="W172" s="216">
        <v>3613.802012</v>
      </c>
      <c r="X172" s="216">
        <v>0</v>
      </c>
      <c r="Y172" s="217">
        <f t="shared" si="71"/>
        <v>0</v>
      </c>
      <c r="Z172" s="209">
        <f t="shared" si="72"/>
        <v>2186.254836</v>
      </c>
      <c r="AA172" s="216">
        <v>12.762497</v>
      </c>
      <c r="AB172" s="230">
        <v>2168.792234</v>
      </c>
      <c r="AC172" s="216">
        <v>0</v>
      </c>
      <c r="AD172" s="231">
        <v>4.700105</v>
      </c>
      <c r="AE172" s="208">
        <f t="shared" si="73"/>
        <v>946.9687695</v>
      </c>
      <c r="AF172" s="216">
        <v>392.583692</v>
      </c>
      <c r="AG172" s="208">
        <f t="shared" si="74"/>
        <v>2844.399381</v>
      </c>
      <c r="AH172" s="216">
        <v>35.556823</v>
      </c>
      <c r="AI172" s="216">
        <v>0</v>
      </c>
      <c r="AJ172" s="216">
        <v>2808.842558</v>
      </c>
      <c r="AK172" s="217">
        <f t="shared" si="75"/>
        <v>2314.26</v>
      </c>
      <c r="AL172" s="206">
        <f t="shared" si="76"/>
        <v>0</v>
      </c>
      <c r="AM172" s="235">
        <f t="shared" si="62"/>
        <v>0</v>
      </c>
      <c r="AN172" s="235">
        <f t="shared" si="77"/>
        <v>0</v>
      </c>
      <c r="AO172" s="209">
        <f t="shared" si="63"/>
        <v>2.31426</v>
      </c>
      <c r="AP172" s="209">
        <f t="shared" si="78"/>
        <v>0.072320625</v>
      </c>
      <c r="AQ172" s="209">
        <f t="shared" si="64"/>
        <v>1.15713</v>
      </c>
      <c r="AR172" s="209">
        <f t="shared" si="79"/>
        <v>0.024106875</v>
      </c>
      <c r="AS172" s="209">
        <f t="shared" si="82"/>
        <v>2.31426</v>
      </c>
      <c r="AT172" s="215">
        <v>0</v>
      </c>
      <c r="AU172" s="215" t="s">
        <v>89</v>
      </c>
      <c r="AV172" s="237">
        <f t="shared" si="65"/>
        <v>0</v>
      </c>
      <c r="AW172" s="209"/>
      <c r="AX172" s="209"/>
      <c r="AY172" s="237"/>
      <c r="AZ172" s="217"/>
      <c r="BA172" s="209"/>
      <c r="BB172" s="237"/>
      <c r="BC172" s="237"/>
      <c r="BD172" s="217"/>
      <c r="BE172" s="209"/>
      <c r="BF172" s="217"/>
      <c r="BG172" s="209"/>
      <c r="BH172" s="209"/>
      <c r="BI172" s="209"/>
      <c r="BJ172" s="215"/>
      <c r="BP172" s="242"/>
    </row>
    <row r="173" s="190" customFormat="1" ht="15" customHeight="1" spans="1:68">
      <c r="A173" s="210">
        <v>168</v>
      </c>
      <c r="B173" s="207" t="s">
        <v>254</v>
      </c>
      <c r="C173" s="211" t="s">
        <v>254</v>
      </c>
      <c r="D173" s="211" t="s">
        <v>255</v>
      </c>
      <c r="E173" s="211" t="s">
        <v>80</v>
      </c>
      <c r="F173" s="212">
        <v>177.59</v>
      </c>
      <c r="G173" s="213">
        <f t="shared" si="66"/>
        <v>22.4606674512078</v>
      </c>
      <c r="H173" s="213">
        <f t="shared" si="61"/>
        <v>3988.78993266</v>
      </c>
      <c r="I173" s="211">
        <v>3</v>
      </c>
      <c r="J173" s="213">
        <f t="shared" si="67"/>
        <v>1464.071311</v>
      </c>
      <c r="K173" s="213">
        <f t="shared" si="80"/>
        <v>398.531311</v>
      </c>
      <c r="L173" s="207">
        <v>2</v>
      </c>
      <c r="M173" s="213">
        <f t="shared" si="68"/>
        <v>355.18</v>
      </c>
      <c r="N173" s="212">
        <v>2131.803521</v>
      </c>
      <c r="O173" s="213">
        <f t="shared" si="69"/>
        <v>1065.54</v>
      </c>
      <c r="P173" s="213">
        <v>0</v>
      </c>
      <c r="Q173" s="213">
        <f t="shared" si="81"/>
        <v>486.37558966</v>
      </c>
      <c r="R173" s="213">
        <f t="shared" si="70"/>
        <v>0</v>
      </c>
      <c r="S173" s="213">
        <v>0</v>
      </c>
      <c r="T173" s="212">
        <v>0</v>
      </c>
      <c r="U173" s="211">
        <v>0</v>
      </c>
      <c r="V173" s="213"/>
      <c r="W173" s="212">
        <v>398.531311</v>
      </c>
      <c r="X173" s="212">
        <v>0</v>
      </c>
      <c r="Y173" s="213">
        <f t="shared" si="71"/>
        <v>0</v>
      </c>
      <c r="Z173" s="213">
        <f t="shared" si="72"/>
        <v>0</v>
      </c>
      <c r="AA173" s="208">
        <v>0</v>
      </c>
      <c r="AB173" s="228">
        <v>0</v>
      </c>
      <c r="AC173" s="208">
        <v>0</v>
      </c>
      <c r="AD173" s="229">
        <v>0</v>
      </c>
      <c r="AE173" s="212">
        <f t="shared" si="73"/>
        <v>87.84427866</v>
      </c>
      <c r="AF173" s="212">
        <v>0</v>
      </c>
      <c r="AG173" s="212">
        <f t="shared" si="74"/>
        <v>1370.610822</v>
      </c>
      <c r="AH173" s="212">
        <v>0</v>
      </c>
      <c r="AI173" s="212">
        <v>0</v>
      </c>
      <c r="AJ173" s="212">
        <v>1370.610822</v>
      </c>
      <c r="AK173" s="213">
        <f t="shared" si="75"/>
        <v>355.18</v>
      </c>
      <c r="AL173" s="210">
        <f t="shared" si="76"/>
        <v>0</v>
      </c>
      <c r="AM173" s="235">
        <f t="shared" si="62"/>
        <v>0</v>
      </c>
      <c r="AN173" s="235">
        <f t="shared" si="77"/>
        <v>0</v>
      </c>
      <c r="AO173" s="213">
        <f t="shared" si="63"/>
        <v>0.35518</v>
      </c>
      <c r="AP173" s="209">
        <f t="shared" si="78"/>
        <v>0.011099375</v>
      </c>
      <c r="AQ173" s="213">
        <f t="shared" si="64"/>
        <v>0.17759</v>
      </c>
      <c r="AR173" s="209">
        <f t="shared" si="79"/>
        <v>0.00369979166666667</v>
      </c>
      <c r="AS173" s="213">
        <f t="shared" si="82"/>
        <v>0</v>
      </c>
      <c r="AT173" s="211">
        <v>0</v>
      </c>
      <c r="AU173" s="211"/>
      <c r="AV173" s="237">
        <f t="shared" si="65"/>
        <v>0</v>
      </c>
      <c r="AW173" s="213"/>
      <c r="AX173" s="213"/>
      <c r="AY173" s="238"/>
      <c r="AZ173" s="238"/>
      <c r="BA173" s="213"/>
      <c r="BB173" s="238"/>
      <c r="BC173" s="238"/>
      <c r="BD173" s="213"/>
      <c r="BE173" s="213"/>
      <c r="BF173" s="213"/>
      <c r="BG173" s="213"/>
      <c r="BH173" s="213"/>
      <c r="BI173" s="213"/>
      <c r="BJ173" s="211"/>
      <c r="BP173" s="241"/>
    </row>
    <row r="174" s="189" customFormat="1" ht="15" customHeight="1" spans="1:68">
      <c r="A174" s="206">
        <v>169</v>
      </c>
      <c r="B174" s="207" t="s">
        <v>83</v>
      </c>
      <c r="C174" s="207" t="s">
        <v>83</v>
      </c>
      <c r="D174" s="207" t="s">
        <v>85</v>
      </c>
      <c r="E174" s="207" t="s">
        <v>256</v>
      </c>
      <c r="F174" s="208">
        <v>2785.13</v>
      </c>
      <c r="G174" s="209">
        <f t="shared" si="66"/>
        <v>55.6551635110892</v>
      </c>
      <c r="H174" s="209">
        <f t="shared" si="61"/>
        <v>155006.86554964</v>
      </c>
      <c r="I174" s="207">
        <v>2</v>
      </c>
      <c r="J174" s="209">
        <f t="shared" si="67"/>
        <v>30213.481552</v>
      </c>
      <c r="K174" s="209">
        <f t="shared" si="80"/>
        <v>0</v>
      </c>
      <c r="L174" s="207">
        <v>2</v>
      </c>
      <c r="M174" s="209">
        <f t="shared" si="68"/>
        <v>5570.26</v>
      </c>
      <c r="N174" s="208">
        <f>73659.363035+2485.924416</f>
        <v>76145.287451</v>
      </c>
      <c r="O174" s="209">
        <f t="shared" si="69"/>
        <v>16710.78</v>
      </c>
      <c r="P174" s="209">
        <v>0</v>
      </c>
      <c r="Q174" s="209">
        <f t="shared" si="81"/>
        <v>2114.94370864</v>
      </c>
      <c r="R174" s="209">
        <f t="shared" si="70"/>
        <v>3</v>
      </c>
      <c r="S174" s="209">
        <v>0</v>
      </c>
      <c r="T174" s="208">
        <v>13502.701552</v>
      </c>
      <c r="U174" s="207">
        <v>1</v>
      </c>
      <c r="V174" s="209"/>
      <c r="W174" s="208">
        <v>0</v>
      </c>
      <c r="X174" s="208">
        <v>0</v>
      </c>
      <c r="Y174" s="209">
        <f t="shared" si="71"/>
        <v>0</v>
      </c>
      <c r="Z174" s="209">
        <f t="shared" si="72"/>
        <v>8182.060644</v>
      </c>
      <c r="AA174" s="208">
        <v>0</v>
      </c>
      <c r="AB174" s="228">
        <v>3533.799488</v>
      </c>
      <c r="AC174" s="208">
        <v>0</v>
      </c>
      <c r="AD174" s="229">
        <v>4648.261156</v>
      </c>
      <c r="AE174" s="208">
        <f t="shared" si="73"/>
        <v>2114.94370864</v>
      </c>
      <c r="AF174" s="208">
        <v>0</v>
      </c>
      <c r="AG174" s="208">
        <f t="shared" si="74"/>
        <v>46879.81155</v>
      </c>
      <c r="AH174" s="208">
        <v>4348.301681</v>
      </c>
      <c r="AI174" s="208">
        <v>1147.765093</v>
      </c>
      <c r="AJ174" s="208">
        <v>41383.744776</v>
      </c>
      <c r="AK174" s="209">
        <f t="shared" si="75"/>
        <v>5570.26</v>
      </c>
      <c r="AL174" s="206">
        <f t="shared" si="76"/>
        <v>0</v>
      </c>
      <c r="AM174" s="235">
        <f t="shared" si="62"/>
        <v>0</v>
      </c>
      <c r="AN174" s="235">
        <f t="shared" si="77"/>
        <v>0</v>
      </c>
      <c r="AO174" s="209">
        <f t="shared" si="63"/>
        <v>11.14052</v>
      </c>
      <c r="AP174" s="209">
        <f t="shared" si="78"/>
        <v>0.34814125</v>
      </c>
      <c r="AQ174" s="209">
        <f t="shared" si="64"/>
        <v>5.57026</v>
      </c>
      <c r="AR174" s="209">
        <f t="shared" si="79"/>
        <v>0.116047083333333</v>
      </c>
      <c r="AS174" s="209">
        <f t="shared" si="82"/>
        <v>5.57026</v>
      </c>
      <c r="AT174" s="207">
        <v>0</v>
      </c>
      <c r="AU174" s="207"/>
      <c r="AV174" s="237">
        <f t="shared" si="65"/>
        <v>0</v>
      </c>
      <c r="AW174" s="209"/>
      <c r="AX174" s="209"/>
      <c r="AY174" s="237"/>
      <c r="AZ174" s="237"/>
      <c r="BA174" s="209"/>
      <c r="BB174" s="237"/>
      <c r="BC174" s="237"/>
      <c r="BD174" s="209"/>
      <c r="BE174" s="209"/>
      <c r="BF174" s="209"/>
      <c r="BG174" s="209"/>
      <c r="BH174" s="209"/>
      <c r="BI174" s="209"/>
      <c r="BJ174" s="207"/>
      <c r="BP174" s="240"/>
    </row>
    <row r="175" s="189" customFormat="1" ht="15" customHeight="1" spans="1:68">
      <c r="A175" s="214">
        <v>170</v>
      </c>
      <c r="B175" s="207" t="s">
        <v>83</v>
      </c>
      <c r="C175" s="207" t="s">
        <v>257</v>
      </c>
      <c r="D175" s="207"/>
      <c r="E175" s="207"/>
      <c r="F175" s="208">
        <v>31.95</v>
      </c>
      <c r="G175" s="209">
        <f t="shared" si="66"/>
        <v>36.6579697026604</v>
      </c>
      <c r="H175" s="209">
        <f t="shared" si="61"/>
        <v>1171.222132</v>
      </c>
      <c r="I175" s="207">
        <v>2</v>
      </c>
      <c r="J175" s="209">
        <f t="shared" si="67"/>
        <v>191.7</v>
      </c>
      <c r="K175" s="209">
        <f t="shared" si="80"/>
        <v>0</v>
      </c>
      <c r="L175" s="207">
        <v>0</v>
      </c>
      <c r="M175" s="209">
        <f t="shared" si="68"/>
        <v>63.9</v>
      </c>
      <c r="N175" s="208">
        <v>1157.803132</v>
      </c>
      <c r="O175" s="209">
        <f t="shared" si="69"/>
        <v>191.7</v>
      </c>
      <c r="P175" s="209">
        <v>0</v>
      </c>
      <c r="Q175" s="209">
        <f t="shared" si="81"/>
        <v>13.419</v>
      </c>
      <c r="R175" s="209">
        <f t="shared" si="70"/>
        <v>0</v>
      </c>
      <c r="S175" s="209">
        <v>0</v>
      </c>
      <c r="T175" s="208">
        <v>0</v>
      </c>
      <c r="U175" s="207">
        <v>0</v>
      </c>
      <c r="V175" s="209"/>
      <c r="W175" s="208">
        <v>0</v>
      </c>
      <c r="X175" s="208">
        <v>0</v>
      </c>
      <c r="Y175" s="209">
        <f t="shared" si="71"/>
        <v>0</v>
      </c>
      <c r="Z175" s="209">
        <f t="shared" si="72"/>
        <v>0</v>
      </c>
      <c r="AA175" s="208">
        <v>0</v>
      </c>
      <c r="AB175" s="228">
        <v>0</v>
      </c>
      <c r="AC175" s="208">
        <v>0</v>
      </c>
      <c r="AD175" s="229">
        <v>0</v>
      </c>
      <c r="AE175" s="208">
        <f t="shared" si="73"/>
        <v>13.419</v>
      </c>
      <c r="AF175" s="208">
        <v>0</v>
      </c>
      <c r="AG175" s="208">
        <f t="shared" si="74"/>
        <v>0</v>
      </c>
      <c r="AH175" s="208">
        <v>0</v>
      </c>
      <c r="AI175" s="208">
        <v>0</v>
      </c>
      <c r="AJ175" s="208">
        <v>0</v>
      </c>
      <c r="AK175" s="209">
        <f t="shared" si="75"/>
        <v>63.9</v>
      </c>
      <c r="AL175" s="206">
        <f t="shared" si="76"/>
        <v>0</v>
      </c>
      <c r="AM175" s="235">
        <f t="shared" si="62"/>
        <v>0</v>
      </c>
      <c r="AN175" s="235">
        <f t="shared" si="77"/>
        <v>0</v>
      </c>
      <c r="AO175" s="209">
        <f t="shared" si="63"/>
        <v>0.1278</v>
      </c>
      <c r="AP175" s="209">
        <f t="shared" si="78"/>
        <v>0.00399375</v>
      </c>
      <c r="AQ175" s="209">
        <f t="shared" si="64"/>
        <v>0.0639</v>
      </c>
      <c r="AR175" s="209">
        <f t="shared" si="79"/>
        <v>0.00133125</v>
      </c>
      <c r="AS175" s="209">
        <f t="shared" si="82"/>
        <v>0</v>
      </c>
      <c r="AT175" s="207">
        <v>0</v>
      </c>
      <c r="AU175" s="207"/>
      <c r="AV175" s="237">
        <f t="shared" si="65"/>
        <v>0</v>
      </c>
      <c r="AW175" s="209"/>
      <c r="AX175" s="209"/>
      <c r="AY175" s="237"/>
      <c r="AZ175" s="237"/>
      <c r="BA175" s="209"/>
      <c r="BB175" s="237"/>
      <c r="BC175" s="237"/>
      <c r="BD175" s="209"/>
      <c r="BE175" s="209"/>
      <c r="BF175" s="209"/>
      <c r="BG175" s="209"/>
      <c r="BH175" s="209"/>
      <c r="BI175" s="209"/>
      <c r="BJ175" s="207"/>
      <c r="BP175" s="240"/>
    </row>
    <row r="176" s="189" customFormat="1" ht="15" customHeight="1" spans="1:68">
      <c r="A176" s="206">
        <v>171</v>
      </c>
      <c r="B176" s="207" t="s">
        <v>83</v>
      </c>
      <c r="C176" s="207" t="s">
        <v>83</v>
      </c>
      <c r="D176" s="207" t="s">
        <v>170</v>
      </c>
      <c r="E176" s="207" t="s">
        <v>85</v>
      </c>
      <c r="F176" s="208">
        <v>595.64</v>
      </c>
      <c r="G176" s="209">
        <f t="shared" si="66"/>
        <v>59.484304104224</v>
      </c>
      <c r="H176" s="209">
        <f t="shared" si="61"/>
        <v>35431.23089664</v>
      </c>
      <c r="I176" s="207">
        <v>2</v>
      </c>
      <c r="J176" s="209">
        <f t="shared" si="67"/>
        <v>5059.911052</v>
      </c>
      <c r="K176" s="209">
        <f t="shared" si="80"/>
        <v>121.311442</v>
      </c>
      <c r="L176" s="207">
        <v>2</v>
      </c>
      <c r="M176" s="209">
        <f t="shared" si="68"/>
        <v>1191.28</v>
      </c>
      <c r="N176" s="208">
        <v>12503.938258</v>
      </c>
      <c r="O176" s="209">
        <f t="shared" si="69"/>
        <v>3573.84</v>
      </c>
      <c r="P176" s="209">
        <v>0</v>
      </c>
      <c r="Q176" s="209">
        <f t="shared" si="81"/>
        <v>475.50521564</v>
      </c>
      <c r="R176" s="209">
        <f t="shared" si="70"/>
        <v>3</v>
      </c>
      <c r="S176" s="209">
        <v>0</v>
      </c>
      <c r="T176" s="208">
        <v>1364.75961</v>
      </c>
      <c r="U176" s="207">
        <v>1</v>
      </c>
      <c r="V176" s="209"/>
      <c r="W176" s="208">
        <v>121.311442</v>
      </c>
      <c r="X176" s="208">
        <v>0</v>
      </c>
      <c r="Y176" s="209">
        <f t="shared" si="71"/>
        <v>0</v>
      </c>
      <c r="Z176" s="209">
        <f t="shared" si="72"/>
        <v>1019.040838</v>
      </c>
      <c r="AA176" s="208">
        <v>20.436837</v>
      </c>
      <c r="AB176" s="228">
        <v>609.579346</v>
      </c>
      <c r="AC176" s="208">
        <v>0</v>
      </c>
      <c r="AD176" s="229">
        <v>389.024655</v>
      </c>
      <c r="AE176" s="208">
        <f t="shared" si="73"/>
        <v>354.19377364</v>
      </c>
      <c r="AF176" s="208">
        <v>0</v>
      </c>
      <c r="AG176" s="208">
        <f t="shared" si="74"/>
        <v>19048.946137</v>
      </c>
      <c r="AH176" s="208">
        <v>7744.248889</v>
      </c>
      <c r="AI176" s="208">
        <v>0</v>
      </c>
      <c r="AJ176" s="208">
        <v>11304.697248</v>
      </c>
      <c r="AK176" s="209">
        <f t="shared" si="75"/>
        <v>1191.28</v>
      </c>
      <c r="AL176" s="206">
        <f t="shared" si="76"/>
        <v>0</v>
      </c>
      <c r="AM176" s="235">
        <f t="shared" si="62"/>
        <v>0</v>
      </c>
      <c r="AN176" s="235">
        <f t="shared" si="77"/>
        <v>0</v>
      </c>
      <c r="AO176" s="209">
        <f t="shared" si="63"/>
        <v>2.38256</v>
      </c>
      <c r="AP176" s="209">
        <f t="shared" si="78"/>
        <v>0.074455</v>
      </c>
      <c r="AQ176" s="209">
        <f t="shared" si="64"/>
        <v>1.19128</v>
      </c>
      <c r="AR176" s="209">
        <f t="shared" si="79"/>
        <v>0.0248183333333333</v>
      </c>
      <c r="AS176" s="209">
        <f t="shared" si="82"/>
        <v>1.19128</v>
      </c>
      <c r="AT176" s="207">
        <v>0</v>
      </c>
      <c r="AU176" s="207"/>
      <c r="AV176" s="237">
        <f t="shared" si="65"/>
        <v>0</v>
      </c>
      <c r="AW176" s="209"/>
      <c r="AX176" s="209"/>
      <c r="AY176" s="237"/>
      <c r="AZ176" s="237"/>
      <c r="BA176" s="209"/>
      <c r="BB176" s="237"/>
      <c r="BC176" s="237"/>
      <c r="BD176" s="209"/>
      <c r="BE176" s="209"/>
      <c r="BF176" s="209"/>
      <c r="BG176" s="209"/>
      <c r="BH176" s="209"/>
      <c r="BI176" s="209"/>
      <c r="BJ176" s="207"/>
      <c r="BP176" s="240"/>
    </row>
    <row r="177" s="190" customFormat="1" ht="15" customHeight="1" spans="1:68">
      <c r="A177" s="210">
        <v>172</v>
      </c>
      <c r="B177" s="207" t="s">
        <v>83</v>
      </c>
      <c r="C177" s="211" t="s">
        <v>83</v>
      </c>
      <c r="D177" s="211" t="s">
        <v>170</v>
      </c>
      <c r="E177" s="211" t="s">
        <v>258</v>
      </c>
      <c r="F177" s="212">
        <v>207.64</v>
      </c>
      <c r="G177" s="213">
        <f t="shared" si="66"/>
        <v>53.8943828526777</v>
      </c>
      <c r="H177" s="213">
        <f t="shared" si="61"/>
        <v>11190.62965553</v>
      </c>
      <c r="I177" s="211">
        <v>2</v>
      </c>
      <c r="J177" s="213">
        <f t="shared" si="67"/>
        <v>1447.800679</v>
      </c>
      <c r="K177" s="213">
        <f t="shared" si="80"/>
        <v>201.960679</v>
      </c>
      <c r="L177" s="207">
        <v>2</v>
      </c>
      <c r="M177" s="213">
        <f t="shared" si="68"/>
        <v>415.28</v>
      </c>
      <c r="N177" s="212">
        <v>3984.0989</v>
      </c>
      <c r="O177" s="213">
        <f t="shared" si="69"/>
        <v>1245.84</v>
      </c>
      <c r="P177" s="213">
        <v>0</v>
      </c>
      <c r="Q177" s="213">
        <f t="shared" si="81"/>
        <v>303.30672653</v>
      </c>
      <c r="R177" s="213">
        <f t="shared" si="70"/>
        <v>0</v>
      </c>
      <c r="S177" s="213">
        <v>0</v>
      </c>
      <c r="T177" s="212">
        <v>0</v>
      </c>
      <c r="U177" s="211">
        <v>0</v>
      </c>
      <c r="V177" s="213"/>
      <c r="W177" s="212">
        <v>201.960679</v>
      </c>
      <c r="X177" s="212">
        <v>0</v>
      </c>
      <c r="Y177" s="213">
        <f t="shared" si="71"/>
        <v>0</v>
      </c>
      <c r="Z177" s="213">
        <f t="shared" si="72"/>
        <v>105.148635</v>
      </c>
      <c r="AA177" s="208">
        <v>0</v>
      </c>
      <c r="AB177" s="228">
        <v>0</v>
      </c>
      <c r="AC177" s="208">
        <v>0</v>
      </c>
      <c r="AD177" s="229">
        <v>105.148635</v>
      </c>
      <c r="AE177" s="212">
        <f t="shared" si="73"/>
        <v>101.34604753</v>
      </c>
      <c r="AF177" s="212">
        <v>0</v>
      </c>
      <c r="AG177" s="212">
        <f t="shared" si="74"/>
        <v>6692.926759</v>
      </c>
      <c r="AH177" s="212">
        <v>3639.381759</v>
      </c>
      <c r="AI177" s="212">
        <v>0</v>
      </c>
      <c r="AJ177" s="212">
        <v>3053.545</v>
      </c>
      <c r="AK177" s="213">
        <f t="shared" si="75"/>
        <v>415.28</v>
      </c>
      <c r="AL177" s="210">
        <f t="shared" si="76"/>
        <v>0</v>
      </c>
      <c r="AM177" s="235">
        <f t="shared" si="62"/>
        <v>0</v>
      </c>
      <c r="AN177" s="235">
        <f t="shared" si="77"/>
        <v>0</v>
      </c>
      <c r="AO177" s="213">
        <f t="shared" si="63"/>
        <v>0.83056</v>
      </c>
      <c r="AP177" s="209">
        <f t="shared" si="78"/>
        <v>0.025955</v>
      </c>
      <c r="AQ177" s="213">
        <f t="shared" si="64"/>
        <v>0.41528</v>
      </c>
      <c r="AR177" s="209">
        <f t="shared" si="79"/>
        <v>0.00865166666666667</v>
      </c>
      <c r="AS177" s="213">
        <f t="shared" si="82"/>
        <v>0</v>
      </c>
      <c r="AT177" s="211">
        <v>0</v>
      </c>
      <c r="AU177" s="211"/>
      <c r="AV177" s="237">
        <f t="shared" si="65"/>
        <v>0</v>
      </c>
      <c r="AW177" s="213"/>
      <c r="AX177" s="213"/>
      <c r="AY177" s="238"/>
      <c r="AZ177" s="238"/>
      <c r="BA177" s="213"/>
      <c r="BB177" s="238"/>
      <c r="BC177" s="238"/>
      <c r="BD177" s="213"/>
      <c r="BE177" s="213"/>
      <c r="BF177" s="213"/>
      <c r="BG177" s="213"/>
      <c r="BH177" s="213"/>
      <c r="BI177" s="213"/>
      <c r="BJ177" s="211"/>
      <c r="BP177" s="241"/>
    </row>
    <row r="178" s="189" customFormat="1" ht="15" customHeight="1" spans="1:68">
      <c r="A178" s="214">
        <v>173</v>
      </c>
      <c r="B178" s="207" t="s">
        <v>259</v>
      </c>
      <c r="C178" s="207" t="s">
        <v>259</v>
      </c>
      <c r="D178" s="207" t="s">
        <v>83</v>
      </c>
      <c r="E178" s="207" t="s">
        <v>180</v>
      </c>
      <c r="F178" s="208">
        <v>306.82</v>
      </c>
      <c r="G178" s="209">
        <f t="shared" si="66"/>
        <v>25.8315883938791</v>
      </c>
      <c r="H178" s="209">
        <f t="shared" si="61"/>
        <v>7925.64795101</v>
      </c>
      <c r="I178" s="207">
        <v>2</v>
      </c>
      <c r="J178" s="209">
        <f t="shared" si="67"/>
        <v>3246.044843</v>
      </c>
      <c r="K178" s="209">
        <f t="shared" si="80"/>
        <v>1405.124843</v>
      </c>
      <c r="L178" s="207">
        <v>0</v>
      </c>
      <c r="M178" s="209">
        <f t="shared" si="68"/>
        <v>613.64</v>
      </c>
      <c r="N178" s="208">
        <v>3451.108579</v>
      </c>
      <c r="O178" s="209">
        <f t="shared" si="69"/>
        <v>1840.92</v>
      </c>
      <c r="P178" s="209">
        <v>0</v>
      </c>
      <c r="Q178" s="209">
        <f t="shared" si="81"/>
        <v>1632.34798201</v>
      </c>
      <c r="R178" s="209">
        <f t="shared" si="70"/>
        <v>0</v>
      </c>
      <c r="S178" s="209">
        <f>T178</f>
        <v>1405.124843</v>
      </c>
      <c r="T178" s="208">
        <v>1405.124843</v>
      </c>
      <c r="U178" s="207">
        <v>0</v>
      </c>
      <c r="V178" s="209"/>
      <c r="W178" s="208">
        <v>0</v>
      </c>
      <c r="X178" s="208">
        <v>0</v>
      </c>
      <c r="Y178" s="209">
        <f t="shared" si="71"/>
        <v>0</v>
      </c>
      <c r="Z178" s="209">
        <f t="shared" si="72"/>
        <v>780.379382</v>
      </c>
      <c r="AA178" s="208">
        <v>0</v>
      </c>
      <c r="AB178" s="228">
        <v>312.609919</v>
      </c>
      <c r="AC178" s="208">
        <v>0</v>
      </c>
      <c r="AD178" s="229">
        <v>467.769463</v>
      </c>
      <c r="AE178" s="208">
        <f t="shared" si="73"/>
        <v>227.22313901</v>
      </c>
      <c r="AF178" s="208">
        <v>0</v>
      </c>
      <c r="AG178" s="208">
        <f t="shared" si="74"/>
        <v>1281.432626</v>
      </c>
      <c r="AH178" s="208">
        <v>34.106119</v>
      </c>
      <c r="AI178" s="208">
        <v>0</v>
      </c>
      <c r="AJ178" s="208">
        <v>1247.326507</v>
      </c>
      <c r="AK178" s="209">
        <f t="shared" si="75"/>
        <v>613.64</v>
      </c>
      <c r="AL178" s="206">
        <f t="shared" si="76"/>
        <v>0</v>
      </c>
      <c r="AM178" s="235">
        <f t="shared" si="62"/>
        <v>0</v>
      </c>
      <c r="AN178" s="235">
        <f t="shared" si="77"/>
        <v>0</v>
      </c>
      <c r="AO178" s="209">
        <f t="shared" si="63"/>
        <v>1.22728</v>
      </c>
      <c r="AP178" s="209">
        <f t="shared" si="78"/>
        <v>0.0383525</v>
      </c>
      <c r="AQ178" s="209">
        <f t="shared" si="64"/>
        <v>0.61364</v>
      </c>
      <c r="AR178" s="209">
        <f t="shared" si="79"/>
        <v>0.0127841666666667</v>
      </c>
      <c r="AS178" s="209">
        <f t="shared" si="82"/>
        <v>0</v>
      </c>
      <c r="AT178" s="207">
        <v>0</v>
      </c>
      <c r="AU178" s="207"/>
      <c r="AV178" s="237">
        <f t="shared" si="65"/>
        <v>0</v>
      </c>
      <c r="AW178" s="209"/>
      <c r="AX178" s="209"/>
      <c r="AY178" s="237"/>
      <c r="AZ178" s="237"/>
      <c r="BA178" s="209"/>
      <c r="BB178" s="237"/>
      <c r="BC178" s="237"/>
      <c r="BD178" s="209"/>
      <c r="BE178" s="209"/>
      <c r="BF178" s="209"/>
      <c r="BG178" s="209"/>
      <c r="BH178" s="209"/>
      <c r="BI178" s="209"/>
      <c r="BJ178" s="207"/>
      <c r="BP178" s="240"/>
    </row>
    <row r="179" s="189" customFormat="1" ht="15" customHeight="1" spans="1:68">
      <c r="A179" s="206">
        <v>174</v>
      </c>
      <c r="B179" s="207" t="s">
        <v>260</v>
      </c>
      <c r="C179" s="207" t="s">
        <v>260</v>
      </c>
      <c r="D179" s="207" t="s">
        <v>261</v>
      </c>
      <c r="E179" s="207" t="s">
        <v>85</v>
      </c>
      <c r="F179" s="208">
        <v>840.09</v>
      </c>
      <c r="G179" s="209">
        <f t="shared" si="66"/>
        <v>22.5424043900058</v>
      </c>
      <c r="H179" s="209">
        <f t="shared" si="61"/>
        <v>18937.648504</v>
      </c>
      <c r="I179" s="207">
        <v>2</v>
      </c>
      <c r="J179" s="209">
        <f t="shared" si="67"/>
        <v>10081.08</v>
      </c>
      <c r="K179" s="209">
        <f t="shared" si="80"/>
        <v>0</v>
      </c>
      <c r="L179" s="207">
        <v>4</v>
      </c>
      <c r="M179" s="209">
        <f t="shared" si="68"/>
        <v>3360.36</v>
      </c>
      <c r="N179" s="208">
        <f>10305.184845+7926.788059</f>
        <v>18231.972904</v>
      </c>
      <c r="O179" s="209">
        <f t="shared" si="69"/>
        <v>10081.08</v>
      </c>
      <c r="P179" s="209">
        <v>0</v>
      </c>
      <c r="Q179" s="209">
        <f t="shared" si="81"/>
        <v>705.6756</v>
      </c>
      <c r="R179" s="209">
        <f t="shared" si="70"/>
        <v>0</v>
      </c>
      <c r="S179" s="209">
        <v>0</v>
      </c>
      <c r="T179" s="208">
        <v>0</v>
      </c>
      <c r="U179" s="207">
        <v>0</v>
      </c>
      <c r="V179" s="209"/>
      <c r="W179" s="208">
        <v>0</v>
      </c>
      <c r="X179" s="208">
        <v>0</v>
      </c>
      <c r="Y179" s="209">
        <f t="shared" si="71"/>
        <v>0</v>
      </c>
      <c r="Z179" s="209">
        <f t="shared" si="72"/>
        <v>0</v>
      </c>
      <c r="AA179" s="208">
        <v>0</v>
      </c>
      <c r="AB179" s="228">
        <v>0</v>
      </c>
      <c r="AC179" s="208">
        <v>0</v>
      </c>
      <c r="AD179" s="229">
        <v>0</v>
      </c>
      <c r="AE179" s="208">
        <f t="shared" si="73"/>
        <v>705.6756</v>
      </c>
      <c r="AF179" s="208">
        <v>0</v>
      </c>
      <c r="AG179" s="208">
        <f t="shared" si="74"/>
        <v>0</v>
      </c>
      <c r="AH179" s="208">
        <v>0</v>
      </c>
      <c r="AI179" s="208">
        <v>0</v>
      </c>
      <c r="AJ179" s="208">
        <v>0</v>
      </c>
      <c r="AK179" s="209">
        <f t="shared" si="75"/>
        <v>1680.18</v>
      </c>
      <c r="AL179" s="206">
        <f t="shared" si="76"/>
        <v>0</v>
      </c>
      <c r="AM179" s="235">
        <f t="shared" si="62"/>
        <v>0</v>
      </c>
      <c r="AN179" s="235">
        <f t="shared" si="77"/>
        <v>0</v>
      </c>
      <c r="AO179" s="209">
        <f t="shared" si="63"/>
        <v>6.72072</v>
      </c>
      <c r="AP179" s="209">
        <f t="shared" si="78"/>
        <v>0.2100225</v>
      </c>
      <c r="AQ179" s="209">
        <f t="shared" si="64"/>
        <v>3.36036</v>
      </c>
      <c r="AR179" s="209">
        <f t="shared" si="79"/>
        <v>0.0700075</v>
      </c>
      <c r="AS179" s="209">
        <f t="shared" si="82"/>
        <v>0</v>
      </c>
      <c r="AT179" s="207">
        <v>0</v>
      </c>
      <c r="AU179" s="207"/>
      <c r="AV179" s="237">
        <f t="shared" si="65"/>
        <v>0</v>
      </c>
      <c r="AW179" s="209"/>
      <c r="AX179" s="209"/>
      <c r="AY179" s="237"/>
      <c r="AZ179" s="237"/>
      <c r="BA179" s="209"/>
      <c r="BB179" s="237"/>
      <c r="BC179" s="237"/>
      <c r="BD179" s="209"/>
      <c r="BE179" s="209"/>
      <c r="BF179" s="209"/>
      <c r="BG179" s="209"/>
      <c r="BH179" s="209"/>
      <c r="BI179" s="209"/>
      <c r="BJ179" s="207"/>
      <c r="BP179" s="240"/>
    </row>
    <row r="180" s="191" customFormat="1" ht="15" customHeight="1" spans="1:68">
      <c r="A180" s="206">
        <v>175</v>
      </c>
      <c r="B180" s="215" t="s">
        <v>117</v>
      </c>
      <c r="C180" s="215" t="s">
        <v>117</v>
      </c>
      <c r="D180" s="215" t="s">
        <v>139</v>
      </c>
      <c r="E180" s="215" t="s">
        <v>179</v>
      </c>
      <c r="F180" s="216">
        <v>496.69</v>
      </c>
      <c r="G180" s="217">
        <f t="shared" si="66"/>
        <v>53.1511415759729</v>
      </c>
      <c r="H180" s="209">
        <f t="shared" si="61"/>
        <v>26399.64050937</v>
      </c>
      <c r="I180" s="226">
        <v>2</v>
      </c>
      <c r="J180" s="209">
        <f t="shared" si="67"/>
        <v>6140.115991</v>
      </c>
      <c r="K180" s="209">
        <f t="shared" si="80"/>
        <v>2533.639341</v>
      </c>
      <c r="L180" s="215">
        <v>2</v>
      </c>
      <c r="M180" s="209">
        <f t="shared" si="68"/>
        <v>993.38</v>
      </c>
      <c r="N180" s="216">
        <f>12441.134293+2776.269783</f>
        <v>15217.404076</v>
      </c>
      <c r="O180" s="217">
        <f t="shared" si="69"/>
        <v>2980.14</v>
      </c>
      <c r="P180" s="217">
        <v>0</v>
      </c>
      <c r="Q180" s="209">
        <f t="shared" si="81"/>
        <v>2963.44746037</v>
      </c>
      <c r="R180" s="209">
        <f t="shared" si="70"/>
        <v>6</v>
      </c>
      <c r="S180" s="209">
        <v>0</v>
      </c>
      <c r="T180" s="216">
        <v>626.33665</v>
      </c>
      <c r="U180" s="215">
        <v>2</v>
      </c>
      <c r="V180" s="217"/>
      <c r="W180" s="216">
        <v>2533.639341</v>
      </c>
      <c r="X180" s="216">
        <v>0</v>
      </c>
      <c r="Y180" s="217">
        <f t="shared" si="71"/>
        <v>0</v>
      </c>
      <c r="Z180" s="209">
        <f t="shared" si="72"/>
        <v>0</v>
      </c>
      <c r="AA180" s="216">
        <v>0</v>
      </c>
      <c r="AB180" s="230">
        <v>0</v>
      </c>
      <c r="AC180" s="216">
        <v>0</v>
      </c>
      <c r="AD180" s="231">
        <v>0</v>
      </c>
      <c r="AE180" s="208">
        <f t="shared" si="73"/>
        <v>429.80811937</v>
      </c>
      <c r="AF180" s="216">
        <v>0</v>
      </c>
      <c r="AG180" s="208">
        <f t="shared" si="74"/>
        <v>7592.452323</v>
      </c>
      <c r="AH180" s="216">
        <v>843.573824</v>
      </c>
      <c r="AI180" s="216">
        <v>254.166813</v>
      </c>
      <c r="AJ180" s="216">
        <v>6494.711686</v>
      </c>
      <c r="AK180" s="217">
        <f t="shared" si="75"/>
        <v>993.38</v>
      </c>
      <c r="AL180" s="206">
        <f t="shared" si="76"/>
        <v>0</v>
      </c>
      <c r="AM180" s="235">
        <f t="shared" si="62"/>
        <v>0</v>
      </c>
      <c r="AN180" s="235">
        <f t="shared" si="77"/>
        <v>0</v>
      </c>
      <c r="AO180" s="209">
        <f t="shared" si="63"/>
        <v>1.98676</v>
      </c>
      <c r="AP180" s="209">
        <f t="shared" si="78"/>
        <v>0.06208625</v>
      </c>
      <c r="AQ180" s="209">
        <f t="shared" si="64"/>
        <v>0.99338</v>
      </c>
      <c r="AR180" s="209">
        <f t="shared" si="79"/>
        <v>0.0206954166666667</v>
      </c>
      <c r="AS180" s="209">
        <f t="shared" si="82"/>
        <v>1.98676</v>
      </c>
      <c r="AT180" s="215">
        <v>1</v>
      </c>
      <c r="AU180" s="215" t="s">
        <v>89</v>
      </c>
      <c r="AV180" s="237">
        <f t="shared" si="65"/>
        <v>0</v>
      </c>
      <c r="AW180" s="209"/>
      <c r="AX180" s="209"/>
      <c r="AY180" s="237"/>
      <c r="AZ180" s="217"/>
      <c r="BA180" s="209"/>
      <c r="BB180" s="237"/>
      <c r="BC180" s="237"/>
      <c r="BD180" s="217"/>
      <c r="BE180" s="209"/>
      <c r="BF180" s="217"/>
      <c r="BG180" s="209"/>
      <c r="BH180" s="209"/>
      <c r="BI180" s="209"/>
      <c r="BJ180" s="215"/>
      <c r="BP180" s="242"/>
    </row>
    <row r="181" s="191" customFormat="1" ht="15" customHeight="1" spans="1:68">
      <c r="A181" s="214">
        <v>176</v>
      </c>
      <c r="B181" s="215" t="s">
        <v>92</v>
      </c>
      <c r="C181" s="215" t="s">
        <v>92</v>
      </c>
      <c r="D181" s="215" t="s">
        <v>114</v>
      </c>
      <c r="E181" s="215" t="s">
        <v>112</v>
      </c>
      <c r="F181" s="216">
        <v>931.87</v>
      </c>
      <c r="G181" s="217">
        <f t="shared" si="66"/>
        <v>43.390425696331</v>
      </c>
      <c r="H181" s="209">
        <f t="shared" si="61"/>
        <v>40434.23599364</v>
      </c>
      <c r="I181" s="215">
        <v>1</v>
      </c>
      <c r="J181" s="209">
        <f t="shared" si="67"/>
        <v>17047.194008</v>
      </c>
      <c r="K181" s="209">
        <f t="shared" si="80"/>
        <v>6289.801552</v>
      </c>
      <c r="L181" s="215">
        <v>2</v>
      </c>
      <c r="M181" s="209">
        <f t="shared" si="68"/>
        <v>1863.74</v>
      </c>
      <c r="N181" s="216">
        <v>24191.332715</v>
      </c>
      <c r="O181" s="217">
        <f t="shared" si="69"/>
        <v>5591.22</v>
      </c>
      <c r="P181" s="217">
        <v>0</v>
      </c>
      <c r="Q181" s="209">
        <f t="shared" si="81"/>
        <v>7653.57707264</v>
      </c>
      <c r="R181" s="209">
        <f t="shared" si="70"/>
        <v>6</v>
      </c>
      <c r="S181" s="209">
        <v>0</v>
      </c>
      <c r="T181" s="216">
        <v>5166.172456</v>
      </c>
      <c r="U181" s="215">
        <v>2</v>
      </c>
      <c r="V181" s="217"/>
      <c r="W181" s="216">
        <v>6289.801552</v>
      </c>
      <c r="X181" s="216">
        <v>0</v>
      </c>
      <c r="Y181" s="217">
        <f t="shared" si="71"/>
        <v>0</v>
      </c>
      <c r="Z181" s="209">
        <f t="shared" si="72"/>
        <v>241.57541</v>
      </c>
      <c r="AA181" s="216">
        <v>201.492632</v>
      </c>
      <c r="AB181" s="230">
        <v>40.082778</v>
      </c>
      <c r="AC181" s="216">
        <v>0</v>
      </c>
      <c r="AD181" s="231">
        <v>0</v>
      </c>
      <c r="AE181" s="208">
        <f t="shared" si="73"/>
        <v>1363.77552064</v>
      </c>
      <c r="AF181" s="216">
        <v>0</v>
      </c>
      <c r="AG181" s="208">
        <f t="shared" si="74"/>
        <v>2940.00293</v>
      </c>
      <c r="AH181" s="216">
        <v>0</v>
      </c>
      <c r="AI181" s="216">
        <v>2013.649545</v>
      </c>
      <c r="AJ181" s="216">
        <v>926.353385</v>
      </c>
      <c r="AK181" s="217">
        <f t="shared" si="75"/>
        <v>1863.74</v>
      </c>
      <c r="AL181" s="206">
        <f t="shared" si="76"/>
        <v>0</v>
      </c>
      <c r="AM181" s="235">
        <f t="shared" si="62"/>
        <v>0</v>
      </c>
      <c r="AN181" s="235">
        <f t="shared" si="77"/>
        <v>0</v>
      </c>
      <c r="AO181" s="209">
        <f t="shared" si="63"/>
        <v>3.72748</v>
      </c>
      <c r="AP181" s="209">
        <f t="shared" si="78"/>
        <v>0.11648375</v>
      </c>
      <c r="AQ181" s="209">
        <f t="shared" si="64"/>
        <v>1.86374</v>
      </c>
      <c r="AR181" s="209">
        <f t="shared" si="79"/>
        <v>0.0388279166666667</v>
      </c>
      <c r="AS181" s="209">
        <f t="shared" si="82"/>
        <v>3.72748</v>
      </c>
      <c r="AT181" s="215">
        <v>7</v>
      </c>
      <c r="AU181" s="215" t="s">
        <v>89</v>
      </c>
      <c r="AV181" s="237">
        <f t="shared" si="65"/>
        <v>0</v>
      </c>
      <c r="AW181" s="209"/>
      <c r="AX181" s="209"/>
      <c r="AY181" s="237"/>
      <c r="AZ181" s="217"/>
      <c r="BA181" s="209"/>
      <c r="BB181" s="237"/>
      <c r="BC181" s="237"/>
      <c r="BD181" s="217"/>
      <c r="BE181" s="209"/>
      <c r="BF181" s="217"/>
      <c r="BG181" s="209"/>
      <c r="BH181" s="209"/>
      <c r="BI181" s="209"/>
      <c r="BJ181" s="215"/>
      <c r="BP181" s="242"/>
    </row>
    <row r="182" s="191" customFormat="1" ht="15" customHeight="1" spans="1:68">
      <c r="A182" s="206">
        <v>177</v>
      </c>
      <c r="B182" s="215" t="s">
        <v>92</v>
      </c>
      <c r="C182" s="215" t="s">
        <v>92</v>
      </c>
      <c r="D182" s="215" t="s">
        <v>112</v>
      </c>
      <c r="E182" s="215" t="s">
        <v>139</v>
      </c>
      <c r="F182" s="216">
        <v>814.84</v>
      </c>
      <c r="G182" s="217">
        <f t="shared" si="66"/>
        <v>52.3977981574297</v>
      </c>
      <c r="H182" s="209">
        <f t="shared" si="61"/>
        <v>42695.8218506</v>
      </c>
      <c r="I182" s="226">
        <v>2</v>
      </c>
      <c r="J182" s="209">
        <f t="shared" si="67"/>
        <v>10544.94698</v>
      </c>
      <c r="K182" s="209">
        <f t="shared" si="80"/>
        <v>4782.214381</v>
      </c>
      <c r="L182" s="215">
        <v>2</v>
      </c>
      <c r="M182" s="209">
        <f t="shared" si="68"/>
        <v>1629.68</v>
      </c>
      <c r="N182" s="216">
        <f>23322.104237+3384.400577</f>
        <v>26706.504814</v>
      </c>
      <c r="O182" s="217">
        <f t="shared" si="69"/>
        <v>4889.04</v>
      </c>
      <c r="P182" s="217">
        <v>0</v>
      </c>
      <c r="Q182" s="209">
        <f t="shared" si="81"/>
        <v>5520.3606696</v>
      </c>
      <c r="R182" s="209">
        <f t="shared" si="70"/>
        <v>6</v>
      </c>
      <c r="S182" s="209">
        <v>0</v>
      </c>
      <c r="T182" s="216">
        <v>873.692599</v>
      </c>
      <c r="U182" s="215">
        <v>2</v>
      </c>
      <c r="V182" s="217"/>
      <c r="W182" s="216">
        <v>4782.214381</v>
      </c>
      <c r="X182" s="216">
        <v>0</v>
      </c>
      <c r="Y182" s="217">
        <f t="shared" si="71"/>
        <v>0</v>
      </c>
      <c r="Z182" s="209">
        <f t="shared" si="72"/>
        <v>102.385642</v>
      </c>
      <c r="AA182" s="216">
        <v>0</v>
      </c>
      <c r="AB182" s="230">
        <v>102.385642</v>
      </c>
      <c r="AC182" s="216">
        <v>0</v>
      </c>
      <c r="AD182" s="231">
        <v>0</v>
      </c>
      <c r="AE182" s="208">
        <f t="shared" si="73"/>
        <v>738.1462886</v>
      </c>
      <c r="AF182" s="216">
        <v>0</v>
      </c>
      <c r="AG182" s="208">
        <f t="shared" si="74"/>
        <v>9390.492484</v>
      </c>
      <c r="AH182" s="216">
        <v>1353.603219</v>
      </c>
      <c r="AI182" s="216">
        <v>66.995819</v>
      </c>
      <c r="AJ182" s="216">
        <v>7969.893446</v>
      </c>
      <c r="AK182" s="217">
        <f t="shared" si="75"/>
        <v>1629.68</v>
      </c>
      <c r="AL182" s="206">
        <f t="shared" si="76"/>
        <v>0</v>
      </c>
      <c r="AM182" s="235">
        <f t="shared" si="62"/>
        <v>0</v>
      </c>
      <c r="AN182" s="235">
        <f t="shared" si="77"/>
        <v>0</v>
      </c>
      <c r="AO182" s="209">
        <f t="shared" si="63"/>
        <v>3.25936</v>
      </c>
      <c r="AP182" s="209">
        <f t="shared" si="78"/>
        <v>0.101855</v>
      </c>
      <c r="AQ182" s="209">
        <f t="shared" si="64"/>
        <v>1.62968</v>
      </c>
      <c r="AR182" s="209">
        <f t="shared" si="79"/>
        <v>0.0339516666666667</v>
      </c>
      <c r="AS182" s="209">
        <f t="shared" si="82"/>
        <v>3.25936</v>
      </c>
      <c r="AT182" s="215">
        <v>0</v>
      </c>
      <c r="AU182" s="215" t="s">
        <v>89</v>
      </c>
      <c r="AV182" s="237">
        <f t="shared" si="65"/>
        <v>0</v>
      </c>
      <c r="AW182" s="209"/>
      <c r="AX182" s="209"/>
      <c r="AY182" s="237"/>
      <c r="AZ182" s="217"/>
      <c r="BA182" s="209"/>
      <c r="BB182" s="237"/>
      <c r="BC182" s="237"/>
      <c r="BD182" s="217"/>
      <c r="BE182" s="209"/>
      <c r="BF182" s="217"/>
      <c r="BG182" s="209"/>
      <c r="BH182" s="209"/>
      <c r="BI182" s="209"/>
      <c r="BJ182" s="215"/>
      <c r="BP182" s="242"/>
    </row>
    <row r="183" s="191" customFormat="1" ht="15" customHeight="1" spans="1:68">
      <c r="A183" s="206">
        <v>178</v>
      </c>
      <c r="B183" s="215" t="s">
        <v>92</v>
      </c>
      <c r="C183" s="215" t="s">
        <v>92</v>
      </c>
      <c r="D183" s="215" t="s">
        <v>86</v>
      </c>
      <c r="E183" s="215" t="s">
        <v>148</v>
      </c>
      <c r="F183" s="216">
        <v>910.94</v>
      </c>
      <c r="G183" s="217">
        <f t="shared" si="66"/>
        <v>46.8242284450568</v>
      </c>
      <c r="H183" s="209">
        <f t="shared" si="61"/>
        <v>42654.06265974</v>
      </c>
      <c r="I183" s="226">
        <v>3</v>
      </c>
      <c r="J183" s="209">
        <f t="shared" si="67"/>
        <v>15989.340879</v>
      </c>
      <c r="K183" s="209">
        <f t="shared" si="80"/>
        <v>5224.039119</v>
      </c>
      <c r="L183" s="215">
        <v>2</v>
      </c>
      <c r="M183" s="209">
        <f t="shared" si="68"/>
        <v>1821.88</v>
      </c>
      <c r="N183" s="216">
        <v>24399.52012</v>
      </c>
      <c r="O183" s="217">
        <f t="shared" si="69"/>
        <v>5465.64</v>
      </c>
      <c r="P183" s="217">
        <v>0</v>
      </c>
      <c r="Q183" s="209">
        <f t="shared" si="81"/>
        <v>6183.39957174</v>
      </c>
      <c r="R183" s="209">
        <f t="shared" si="70"/>
        <v>6</v>
      </c>
      <c r="S183" s="209">
        <v>0</v>
      </c>
      <c r="T183" s="216">
        <v>5299.66176</v>
      </c>
      <c r="U183" s="215">
        <v>2</v>
      </c>
      <c r="V183" s="217"/>
      <c r="W183" s="216">
        <v>5224.039119</v>
      </c>
      <c r="X183" s="216">
        <v>0</v>
      </c>
      <c r="Y183" s="217">
        <f t="shared" si="71"/>
        <v>0</v>
      </c>
      <c r="Z183" s="209">
        <f t="shared" si="72"/>
        <v>138.445629</v>
      </c>
      <c r="AA183" s="216">
        <v>13.117363</v>
      </c>
      <c r="AB183" s="230">
        <v>125.328266</v>
      </c>
      <c r="AC183" s="216">
        <v>0</v>
      </c>
      <c r="AD183" s="231">
        <v>0</v>
      </c>
      <c r="AE183" s="208">
        <f t="shared" si="73"/>
        <v>959.36045274</v>
      </c>
      <c r="AF183" s="216">
        <v>0</v>
      </c>
      <c r="AG183" s="208">
        <f t="shared" si="74"/>
        <v>6494.58995</v>
      </c>
      <c r="AH183" s="216">
        <v>0</v>
      </c>
      <c r="AI183" s="216">
        <v>1611.666631</v>
      </c>
      <c r="AJ183" s="216">
        <v>4882.923319</v>
      </c>
      <c r="AK183" s="217">
        <f t="shared" si="75"/>
        <v>1821.88</v>
      </c>
      <c r="AL183" s="206">
        <f t="shared" si="76"/>
        <v>0</v>
      </c>
      <c r="AM183" s="235">
        <f t="shared" si="62"/>
        <v>0</v>
      </c>
      <c r="AN183" s="235">
        <f t="shared" si="77"/>
        <v>0</v>
      </c>
      <c r="AO183" s="209">
        <f t="shared" si="63"/>
        <v>1.82188</v>
      </c>
      <c r="AP183" s="209">
        <f t="shared" si="78"/>
        <v>0.05693375</v>
      </c>
      <c r="AQ183" s="209">
        <f t="shared" si="64"/>
        <v>0.91094</v>
      </c>
      <c r="AR183" s="209">
        <f t="shared" si="79"/>
        <v>0.0189779166666667</v>
      </c>
      <c r="AS183" s="209">
        <f t="shared" si="82"/>
        <v>3.64376</v>
      </c>
      <c r="AT183" s="215">
        <v>3</v>
      </c>
      <c r="AU183" s="215" t="s">
        <v>89</v>
      </c>
      <c r="AV183" s="237">
        <f t="shared" si="65"/>
        <v>0</v>
      </c>
      <c r="AW183" s="209"/>
      <c r="AX183" s="209"/>
      <c r="AY183" s="237"/>
      <c r="AZ183" s="217"/>
      <c r="BA183" s="209"/>
      <c r="BB183" s="237"/>
      <c r="BC183" s="237"/>
      <c r="BD183" s="217"/>
      <c r="BE183" s="209"/>
      <c r="BF183" s="217"/>
      <c r="BG183" s="209"/>
      <c r="BH183" s="209"/>
      <c r="BI183" s="209"/>
      <c r="BJ183" s="215"/>
      <c r="BP183" s="242"/>
    </row>
    <row r="184" s="191" customFormat="1" ht="15" customHeight="1" spans="1:68">
      <c r="A184" s="214">
        <v>179</v>
      </c>
      <c r="B184" s="215" t="s">
        <v>92</v>
      </c>
      <c r="C184" s="215" t="s">
        <v>92</v>
      </c>
      <c r="D184" s="215" t="s">
        <v>114</v>
      </c>
      <c r="E184" s="215" t="s">
        <v>102</v>
      </c>
      <c r="F184" s="216">
        <v>346.47</v>
      </c>
      <c r="G184" s="217">
        <f t="shared" si="66"/>
        <v>44.7322475149941</v>
      </c>
      <c r="H184" s="209">
        <f t="shared" si="61"/>
        <v>15498.38179652</v>
      </c>
      <c r="I184" s="215">
        <v>1</v>
      </c>
      <c r="J184" s="209">
        <f t="shared" si="67"/>
        <v>7379.986269</v>
      </c>
      <c r="K184" s="209">
        <f t="shared" si="80"/>
        <v>3020.953213</v>
      </c>
      <c r="L184" s="215">
        <v>2</v>
      </c>
      <c r="M184" s="209">
        <f t="shared" si="68"/>
        <v>692.94</v>
      </c>
      <c r="N184" s="216">
        <v>8828.864649</v>
      </c>
      <c r="O184" s="217">
        <f t="shared" si="69"/>
        <v>2078.82</v>
      </c>
      <c r="P184" s="217">
        <v>0</v>
      </c>
      <c r="Q184" s="209">
        <f t="shared" si="81"/>
        <v>3611.35211452</v>
      </c>
      <c r="R184" s="209">
        <f t="shared" si="70"/>
        <v>3</v>
      </c>
      <c r="S184" s="209">
        <v>0</v>
      </c>
      <c r="T184" s="216">
        <v>2280.213056</v>
      </c>
      <c r="U184" s="215">
        <v>1</v>
      </c>
      <c r="V184" s="217"/>
      <c r="W184" s="216">
        <v>2336.672943</v>
      </c>
      <c r="X184" s="216">
        <v>342.140135</v>
      </c>
      <c r="Y184" s="217">
        <f t="shared" si="71"/>
        <v>684.28027</v>
      </c>
      <c r="Z184" s="209">
        <f t="shared" si="72"/>
        <v>0</v>
      </c>
      <c r="AA184" s="216">
        <v>0</v>
      </c>
      <c r="AB184" s="230">
        <v>0</v>
      </c>
      <c r="AC184" s="216">
        <v>0</v>
      </c>
      <c r="AD184" s="231">
        <v>0</v>
      </c>
      <c r="AE184" s="208">
        <f t="shared" si="73"/>
        <v>590.39890152</v>
      </c>
      <c r="AF184" s="216">
        <v>0</v>
      </c>
      <c r="AG184" s="208">
        <f t="shared" si="74"/>
        <v>777.951977</v>
      </c>
      <c r="AH184" s="216">
        <v>0</v>
      </c>
      <c r="AI184" s="216">
        <v>747.079624</v>
      </c>
      <c r="AJ184" s="216">
        <v>30.872353</v>
      </c>
      <c r="AK184" s="217">
        <f t="shared" si="75"/>
        <v>692.94</v>
      </c>
      <c r="AL184" s="206">
        <f t="shared" si="76"/>
        <v>0</v>
      </c>
      <c r="AM184" s="235">
        <f t="shared" si="62"/>
        <v>0</v>
      </c>
      <c r="AN184" s="235">
        <f t="shared" si="77"/>
        <v>0</v>
      </c>
      <c r="AO184" s="209">
        <f t="shared" si="63"/>
        <v>1.38588</v>
      </c>
      <c r="AP184" s="209">
        <f t="shared" si="78"/>
        <v>0.04330875</v>
      </c>
      <c r="AQ184" s="209">
        <f t="shared" si="64"/>
        <v>0.69294</v>
      </c>
      <c r="AR184" s="209">
        <f t="shared" si="79"/>
        <v>0.01443625</v>
      </c>
      <c r="AS184" s="209">
        <f t="shared" si="82"/>
        <v>0.69294</v>
      </c>
      <c r="AT184" s="215">
        <v>0</v>
      </c>
      <c r="AU184" s="215" t="s">
        <v>89</v>
      </c>
      <c r="AV184" s="237">
        <f t="shared" si="65"/>
        <v>0</v>
      </c>
      <c r="AW184" s="209"/>
      <c r="AX184" s="209"/>
      <c r="AY184" s="237"/>
      <c r="AZ184" s="217"/>
      <c r="BA184" s="209"/>
      <c r="BB184" s="237"/>
      <c r="BC184" s="237"/>
      <c r="BD184" s="217"/>
      <c r="BE184" s="209"/>
      <c r="BF184" s="217"/>
      <c r="BG184" s="209"/>
      <c r="BH184" s="209"/>
      <c r="BI184" s="209"/>
      <c r="BJ184" s="215"/>
      <c r="BP184" s="242"/>
    </row>
    <row r="185" s="191" customFormat="1" ht="15" customHeight="1" spans="1:68">
      <c r="A185" s="206">
        <v>180</v>
      </c>
      <c r="B185" s="215" t="s">
        <v>92</v>
      </c>
      <c r="C185" s="215" t="s">
        <v>92</v>
      </c>
      <c r="D185" s="215" t="s">
        <v>102</v>
      </c>
      <c r="E185" s="215" t="s">
        <v>86</v>
      </c>
      <c r="F185" s="216">
        <v>268.71</v>
      </c>
      <c r="G185" s="217">
        <f t="shared" si="66"/>
        <v>48.1649483523501</v>
      </c>
      <c r="H185" s="209">
        <f t="shared" si="61"/>
        <v>12942.40327176</v>
      </c>
      <c r="I185" s="226">
        <v>3</v>
      </c>
      <c r="J185" s="209">
        <f t="shared" si="67"/>
        <v>5648.716396</v>
      </c>
      <c r="K185" s="209">
        <f t="shared" si="80"/>
        <v>2131.315077</v>
      </c>
      <c r="L185" s="215">
        <v>2</v>
      </c>
      <c r="M185" s="209">
        <f t="shared" si="68"/>
        <v>537.42</v>
      </c>
      <c r="N185" s="216">
        <v>7161.631566</v>
      </c>
      <c r="O185" s="217">
        <f t="shared" si="69"/>
        <v>1612.26</v>
      </c>
      <c r="P185" s="217">
        <v>0</v>
      </c>
      <c r="Q185" s="209">
        <f t="shared" si="81"/>
        <v>2470.23806076</v>
      </c>
      <c r="R185" s="209">
        <f t="shared" si="70"/>
        <v>6</v>
      </c>
      <c r="S185" s="209">
        <v>0</v>
      </c>
      <c r="T185" s="216">
        <v>1905.141319</v>
      </c>
      <c r="U185" s="215">
        <v>2</v>
      </c>
      <c r="V185" s="217"/>
      <c r="W185" s="216">
        <v>1597.718037</v>
      </c>
      <c r="X185" s="216">
        <v>266.79852</v>
      </c>
      <c r="Y185" s="217">
        <f t="shared" si="71"/>
        <v>533.59704</v>
      </c>
      <c r="Z185" s="209">
        <f t="shared" si="72"/>
        <v>0</v>
      </c>
      <c r="AA185" s="216">
        <v>0</v>
      </c>
      <c r="AB185" s="230">
        <v>0</v>
      </c>
      <c r="AC185" s="216">
        <v>0</v>
      </c>
      <c r="AD185" s="231">
        <v>0</v>
      </c>
      <c r="AE185" s="208">
        <f t="shared" si="73"/>
        <v>338.92298376</v>
      </c>
      <c r="AF185" s="216">
        <v>0</v>
      </c>
      <c r="AG185" s="208">
        <f t="shared" si="74"/>
        <v>1405.392326</v>
      </c>
      <c r="AH185" s="216">
        <v>0</v>
      </c>
      <c r="AI185" s="216">
        <v>569.455643</v>
      </c>
      <c r="AJ185" s="216">
        <v>835.936683</v>
      </c>
      <c r="AK185" s="217">
        <f t="shared" si="75"/>
        <v>537.42</v>
      </c>
      <c r="AL185" s="206">
        <f t="shared" si="76"/>
        <v>0</v>
      </c>
      <c r="AM185" s="235">
        <f t="shared" si="62"/>
        <v>0</v>
      </c>
      <c r="AN185" s="235">
        <f t="shared" si="77"/>
        <v>0</v>
      </c>
      <c r="AO185" s="209">
        <f t="shared" si="63"/>
        <v>0.53742</v>
      </c>
      <c r="AP185" s="209">
        <f t="shared" si="78"/>
        <v>0.016794375</v>
      </c>
      <c r="AQ185" s="209">
        <f t="shared" si="64"/>
        <v>0.26871</v>
      </c>
      <c r="AR185" s="209">
        <f t="shared" si="79"/>
        <v>0.005598125</v>
      </c>
      <c r="AS185" s="209">
        <f t="shared" si="82"/>
        <v>1.07484</v>
      </c>
      <c r="AT185" s="215">
        <v>2</v>
      </c>
      <c r="AU185" s="215" t="s">
        <v>89</v>
      </c>
      <c r="AV185" s="237">
        <f t="shared" si="65"/>
        <v>0</v>
      </c>
      <c r="AW185" s="209"/>
      <c r="AX185" s="209"/>
      <c r="AY185" s="237"/>
      <c r="AZ185" s="217"/>
      <c r="BA185" s="209"/>
      <c r="BB185" s="237"/>
      <c r="BC185" s="237"/>
      <c r="BD185" s="217"/>
      <c r="BE185" s="209"/>
      <c r="BF185" s="217"/>
      <c r="BG185" s="209"/>
      <c r="BH185" s="209"/>
      <c r="BI185" s="209"/>
      <c r="BJ185" s="215"/>
      <c r="BP185" s="242"/>
    </row>
    <row r="186" s="191" customFormat="1" ht="15" customHeight="1" spans="1:68">
      <c r="A186" s="206">
        <v>181</v>
      </c>
      <c r="B186" s="215" t="s">
        <v>92</v>
      </c>
      <c r="C186" s="215" t="s">
        <v>262</v>
      </c>
      <c r="D186" s="215" t="s">
        <v>148</v>
      </c>
      <c r="E186" s="215" t="s">
        <v>263</v>
      </c>
      <c r="F186" s="216">
        <v>35.13</v>
      </c>
      <c r="G186" s="217">
        <f t="shared" si="66"/>
        <v>41.0673058354683</v>
      </c>
      <c r="H186" s="209">
        <f t="shared" si="61"/>
        <v>1442.694454</v>
      </c>
      <c r="I186" s="226">
        <v>3</v>
      </c>
      <c r="J186" s="209">
        <f t="shared" si="67"/>
        <v>210.78</v>
      </c>
      <c r="K186" s="209">
        <f t="shared" si="80"/>
        <v>0</v>
      </c>
      <c r="L186" s="215">
        <v>0</v>
      </c>
      <c r="M186" s="209">
        <f t="shared" si="68"/>
        <v>70.26</v>
      </c>
      <c r="N186" s="216">
        <v>1430.047654</v>
      </c>
      <c r="O186" s="217">
        <f t="shared" si="69"/>
        <v>210.78</v>
      </c>
      <c r="P186" s="217">
        <v>0</v>
      </c>
      <c r="Q186" s="209">
        <f t="shared" si="81"/>
        <v>12.6468</v>
      </c>
      <c r="R186" s="209">
        <f t="shared" si="70"/>
        <v>0</v>
      </c>
      <c r="S186" s="209">
        <v>0</v>
      </c>
      <c r="T186" s="216">
        <v>0</v>
      </c>
      <c r="U186" s="215">
        <v>0</v>
      </c>
      <c r="V186" s="217"/>
      <c r="W186" s="216">
        <v>0</v>
      </c>
      <c r="X186" s="216">
        <v>0</v>
      </c>
      <c r="Y186" s="217">
        <f t="shared" si="71"/>
        <v>0</v>
      </c>
      <c r="Z186" s="209">
        <f t="shared" si="72"/>
        <v>0</v>
      </c>
      <c r="AA186" s="216">
        <v>0</v>
      </c>
      <c r="AB186" s="230">
        <v>0</v>
      </c>
      <c r="AC186" s="216">
        <v>0</v>
      </c>
      <c r="AD186" s="231">
        <v>0</v>
      </c>
      <c r="AE186" s="208">
        <f t="shared" si="73"/>
        <v>12.6468</v>
      </c>
      <c r="AF186" s="216">
        <v>0</v>
      </c>
      <c r="AG186" s="208">
        <f t="shared" si="74"/>
        <v>0</v>
      </c>
      <c r="AH186" s="216">
        <v>0</v>
      </c>
      <c r="AI186" s="216">
        <v>0</v>
      </c>
      <c r="AJ186" s="216">
        <v>0</v>
      </c>
      <c r="AK186" s="217">
        <f t="shared" si="75"/>
        <v>70.26</v>
      </c>
      <c r="AL186" s="206">
        <f t="shared" si="76"/>
        <v>0</v>
      </c>
      <c r="AM186" s="235">
        <f t="shared" si="62"/>
        <v>0</v>
      </c>
      <c r="AN186" s="235">
        <f t="shared" si="77"/>
        <v>0</v>
      </c>
      <c r="AO186" s="209">
        <f t="shared" si="63"/>
        <v>0.07026</v>
      </c>
      <c r="AP186" s="209">
        <f t="shared" si="78"/>
        <v>0.002195625</v>
      </c>
      <c r="AQ186" s="209">
        <f t="shared" si="64"/>
        <v>0.03513</v>
      </c>
      <c r="AR186" s="209">
        <f t="shared" si="79"/>
        <v>0.000731875</v>
      </c>
      <c r="AS186" s="209">
        <f t="shared" si="82"/>
        <v>0</v>
      </c>
      <c r="AT186" s="215">
        <v>0</v>
      </c>
      <c r="AU186" s="215" t="s">
        <v>89</v>
      </c>
      <c r="AV186" s="237">
        <f t="shared" si="65"/>
        <v>0</v>
      </c>
      <c r="AW186" s="209"/>
      <c r="AX186" s="209"/>
      <c r="AY186" s="237"/>
      <c r="AZ186" s="217"/>
      <c r="BA186" s="209"/>
      <c r="BB186" s="237"/>
      <c r="BC186" s="237"/>
      <c r="BD186" s="217"/>
      <c r="BE186" s="209"/>
      <c r="BF186" s="217"/>
      <c r="BG186" s="209"/>
      <c r="BH186" s="209"/>
      <c r="BI186" s="209"/>
      <c r="BJ186" s="215"/>
      <c r="BP186" s="242"/>
    </row>
    <row r="187" s="191" customFormat="1" ht="15" customHeight="1" spans="1:68">
      <c r="A187" s="214">
        <v>182</v>
      </c>
      <c r="B187" s="215" t="s">
        <v>92</v>
      </c>
      <c r="C187" s="215" t="s">
        <v>92</v>
      </c>
      <c r="D187" s="215" t="s">
        <v>148</v>
      </c>
      <c r="E187" s="215" t="s">
        <v>264</v>
      </c>
      <c r="F187" s="216">
        <v>1078.49</v>
      </c>
      <c r="G187" s="217">
        <f t="shared" si="66"/>
        <v>60.4241729655351</v>
      </c>
      <c r="H187" s="209">
        <f t="shared" si="61"/>
        <v>65166.8663016</v>
      </c>
      <c r="I187" s="226">
        <v>3</v>
      </c>
      <c r="J187" s="209">
        <f t="shared" si="67"/>
        <v>19093.06896</v>
      </c>
      <c r="K187" s="209">
        <f t="shared" si="80"/>
        <v>7209.05786</v>
      </c>
      <c r="L187" s="215">
        <v>2</v>
      </c>
      <c r="M187" s="209">
        <f t="shared" si="68"/>
        <v>2156.98</v>
      </c>
      <c r="N187" s="216">
        <v>30002.010529</v>
      </c>
      <c r="O187" s="217">
        <f t="shared" si="69"/>
        <v>6470.94</v>
      </c>
      <c r="P187" s="217">
        <v>0</v>
      </c>
      <c r="Q187" s="209">
        <f t="shared" si="81"/>
        <v>8354.6419976</v>
      </c>
      <c r="R187" s="209">
        <f t="shared" si="70"/>
        <v>6</v>
      </c>
      <c r="S187" s="209">
        <v>0</v>
      </c>
      <c r="T187" s="216">
        <v>5413.0711</v>
      </c>
      <c r="U187" s="215">
        <v>2</v>
      </c>
      <c r="V187" s="217"/>
      <c r="W187" s="216">
        <v>6849.790408</v>
      </c>
      <c r="X187" s="216">
        <v>179.633726</v>
      </c>
      <c r="Y187" s="217">
        <f t="shared" si="71"/>
        <v>359.267452</v>
      </c>
      <c r="Z187" s="209">
        <f t="shared" si="72"/>
        <v>88.288409</v>
      </c>
      <c r="AA187" s="216">
        <v>88.288409</v>
      </c>
      <c r="AB187" s="230">
        <v>0</v>
      </c>
      <c r="AC187" s="216">
        <v>0</v>
      </c>
      <c r="AD187" s="231">
        <v>0</v>
      </c>
      <c r="AE187" s="208">
        <f t="shared" si="73"/>
        <v>1145.5841376</v>
      </c>
      <c r="AF187" s="216">
        <v>1473.611759</v>
      </c>
      <c r="AG187" s="208">
        <f t="shared" si="74"/>
        <v>19746.954098</v>
      </c>
      <c r="AH187" s="216">
        <v>0</v>
      </c>
      <c r="AI187" s="216">
        <v>2212.432102</v>
      </c>
      <c r="AJ187" s="216">
        <v>17534.521996</v>
      </c>
      <c r="AK187" s="217">
        <f t="shared" si="75"/>
        <v>2156.98</v>
      </c>
      <c r="AL187" s="206">
        <f t="shared" si="76"/>
        <v>0</v>
      </c>
      <c r="AM187" s="235">
        <f t="shared" si="62"/>
        <v>0</v>
      </c>
      <c r="AN187" s="235">
        <f t="shared" si="77"/>
        <v>0</v>
      </c>
      <c r="AO187" s="209">
        <f t="shared" si="63"/>
        <v>2.15698</v>
      </c>
      <c r="AP187" s="209">
        <f t="shared" si="78"/>
        <v>0.067405625</v>
      </c>
      <c r="AQ187" s="209">
        <f t="shared" si="64"/>
        <v>1.07849</v>
      </c>
      <c r="AR187" s="209">
        <f t="shared" si="79"/>
        <v>0.0224685416666667</v>
      </c>
      <c r="AS187" s="209">
        <f t="shared" si="82"/>
        <v>4.31396</v>
      </c>
      <c r="AT187" s="215">
        <v>1</v>
      </c>
      <c r="AU187" s="215" t="s">
        <v>89</v>
      </c>
      <c r="AV187" s="237">
        <f t="shared" si="65"/>
        <v>0</v>
      </c>
      <c r="AW187" s="209"/>
      <c r="AX187" s="209"/>
      <c r="AY187" s="237"/>
      <c r="AZ187" s="217"/>
      <c r="BA187" s="209"/>
      <c r="BB187" s="237"/>
      <c r="BC187" s="237"/>
      <c r="BD187" s="217"/>
      <c r="BE187" s="209"/>
      <c r="BF187" s="217"/>
      <c r="BG187" s="209"/>
      <c r="BH187" s="209"/>
      <c r="BI187" s="209"/>
      <c r="BJ187" s="215"/>
      <c r="BP187" s="242"/>
    </row>
    <row r="188" s="190" customFormat="1" ht="15" customHeight="1" spans="1:68">
      <c r="A188" s="210">
        <v>183</v>
      </c>
      <c r="B188" s="207" t="s">
        <v>162</v>
      </c>
      <c r="C188" s="211" t="s">
        <v>162</v>
      </c>
      <c r="D188" s="211" t="s">
        <v>170</v>
      </c>
      <c r="E188" s="211" t="s">
        <v>85</v>
      </c>
      <c r="F188" s="212">
        <v>455.74</v>
      </c>
      <c r="G188" s="213">
        <f t="shared" si="66"/>
        <v>22.5672743517356</v>
      </c>
      <c r="H188" s="213">
        <f t="shared" si="61"/>
        <v>10284.80961306</v>
      </c>
      <c r="I188" s="211">
        <v>3</v>
      </c>
      <c r="J188" s="213">
        <f t="shared" si="67"/>
        <v>4641.402051</v>
      </c>
      <c r="K188" s="213">
        <f t="shared" si="80"/>
        <v>1906.962051</v>
      </c>
      <c r="L188" s="207">
        <v>2</v>
      </c>
      <c r="M188" s="213">
        <f t="shared" si="68"/>
        <v>911.48</v>
      </c>
      <c r="N188" s="212">
        <v>7105.20469</v>
      </c>
      <c r="O188" s="213">
        <f t="shared" si="69"/>
        <v>2734.44</v>
      </c>
      <c r="P188" s="213">
        <v>0</v>
      </c>
      <c r="Q188" s="213">
        <f t="shared" si="81"/>
        <v>2185.44617406</v>
      </c>
      <c r="R188" s="213">
        <f t="shared" si="70"/>
        <v>0</v>
      </c>
      <c r="S188" s="213">
        <v>0</v>
      </c>
      <c r="T188" s="212">
        <v>0</v>
      </c>
      <c r="U188" s="211">
        <v>0</v>
      </c>
      <c r="V188" s="213"/>
      <c r="W188" s="212">
        <v>1906.962051</v>
      </c>
      <c r="X188" s="212">
        <v>0</v>
      </c>
      <c r="Y188" s="213">
        <f t="shared" si="71"/>
        <v>0</v>
      </c>
      <c r="Z188" s="213">
        <f t="shared" si="72"/>
        <v>0</v>
      </c>
      <c r="AA188" s="208">
        <v>0</v>
      </c>
      <c r="AB188" s="228">
        <v>0</v>
      </c>
      <c r="AC188" s="208">
        <v>0</v>
      </c>
      <c r="AD188" s="229">
        <v>0</v>
      </c>
      <c r="AE188" s="212">
        <f t="shared" si="73"/>
        <v>278.48412306</v>
      </c>
      <c r="AF188" s="212">
        <v>0</v>
      </c>
      <c r="AG188" s="212">
        <f t="shared" si="74"/>
        <v>994.158749</v>
      </c>
      <c r="AH188" s="212">
        <v>0</v>
      </c>
      <c r="AI188" s="212">
        <v>0</v>
      </c>
      <c r="AJ188" s="212">
        <v>994.158749</v>
      </c>
      <c r="AK188" s="213">
        <f t="shared" si="75"/>
        <v>911.48</v>
      </c>
      <c r="AL188" s="210">
        <f t="shared" si="76"/>
        <v>0</v>
      </c>
      <c r="AM188" s="235">
        <f t="shared" si="62"/>
        <v>0</v>
      </c>
      <c r="AN188" s="235">
        <f t="shared" si="77"/>
        <v>0</v>
      </c>
      <c r="AO188" s="213">
        <f t="shared" si="63"/>
        <v>0.91148</v>
      </c>
      <c r="AP188" s="209">
        <f t="shared" si="78"/>
        <v>0.02848375</v>
      </c>
      <c r="AQ188" s="213">
        <f t="shared" si="64"/>
        <v>0.45574</v>
      </c>
      <c r="AR188" s="209">
        <f t="shared" si="79"/>
        <v>0.00949458333333333</v>
      </c>
      <c r="AS188" s="213">
        <f t="shared" si="82"/>
        <v>0</v>
      </c>
      <c r="AT188" s="211">
        <v>0</v>
      </c>
      <c r="AU188" s="211"/>
      <c r="AV188" s="237">
        <f t="shared" si="65"/>
        <v>0</v>
      </c>
      <c r="AW188" s="213"/>
      <c r="AX188" s="213"/>
      <c r="AY188" s="238"/>
      <c r="AZ188" s="238"/>
      <c r="BA188" s="213"/>
      <c r="BB188" s="238"/>
      <c r="BC188" s="238"/>
      <c r="BD188" s="213"/>
      <c r="BE188" s="213"/>
      <c r="BF188" s="213"/>
      <c r="BG188" s="213"/>
      <c r="BH188" s="213"/>
      <c r="BI188" s="213"/>
      <c r="BJ188" s="211"/>
      <c r="BP188" s="241"/>
    </row>
    <row r="189" s="190" customFormat="1" ht="15" customHeight="1" spans="1:68">
      <c r="A189" s="210">
        <v>184</v>
      </c>
      <c r="B189" s="207" t="s">
        <v>162</v>
      </c>
      <c r="C189" s="211" t="s">
        <v>162</v>
      </c>
      <c r="D189" s="211" t="s">
        <v>85</v>
      </c>
      <c r="E189" s="211" t="s">
        <v>265</v>
      </c>
      <c r="F189" s="212">
        <v>522.74</v>
      </c>
      <c r="G189" s="213">
        <f t="shared" si="66"/>
        <v>15.4728011718254</v>
      </c>
      <c r="H189" s="213">
        <f t="shared" si="61"/>
        <v>8088.25208456</v>
      </c>
      <c r="I189" s="211">
        <v>3</v>
      </c>
      <c r="J189" s="213">
        <f t="shared" si="67"/>
        <v>4572.634876</v>
      </c>
      <c r="K189" s="213">
        <f t="shared" si="80"/>
        <v>1436.194876</v>
      </c>
      <c r="L189" s="207">
        <v>2</v>
      </c>
      <c r="M189" s="213">
        <f t="shared" si="68"/>
        <v>1045.48</v>
      </c>
      <c r="N189" s="212">
        <v>5529.576591</v>
      </c>
      <c r="O189" s="213">
        <f t="shared" si="69"/>
        <v>3136.44</v>
      </c>
      <c r="P189" s="213">
        <v>0</v>
      </c>
      <c r="Q189" s="213">
        <f t="shared" si="81"/>
        <v>1710.55296856</v>
      </c>
      <c r="R189" s="213">
        <f t="shared" si="70"/>
        <v>0</v>
      </c>
      <c r="S189" s="213">
        <v>0</v>
      </c>
      <c r="T189" s="212">
        <v>0</v>
      </c>
      <c r="U189" s="211">
        <v>0</v>
      </c>
      <c r="V189" s="213"/>
      <c r="W189" s="212">
        <v>1436.194876</v>
      </c>
      <c r="X189" s="212">
        <v>0</v>
      </c>
      <c r="Y189" s="213">
        <f t="shared" si="71"/>
        <v>0</v>
      </c>
      <c r="Z189" s="213">
        <f t="shared" si="72"/>
        <v>0</v>
      </c>
      <c r="AA189" s="208">
        <v>0</v>
      </c>
      <c r="AB189" s="228">
        <v>0</v>
      </c>
      <c r="AC189" s="208">
        <v>0</v>
      </c>
      <c r="AD189" s="229">
        <v>0</v>
      </c>
      <c r="AE189" s="212">
        <f t="shared" si="73"/>
        <v>274.35809256</v>
      </c>
      <c r="AF189" s="212">
        <v>0</v>
      </c>
      <c r="AG189" s="212">
        <f t="shared" si="74"/>
        <v>848.122525</v>
      </c>
      <c r="AH189" s="212">
        <v>0</v>
      </c>
      <c r="AI189" s="212">
        <v>0</v>
      </c>
      <c r="AJ189" s="212">
        <v>848.122525</v>
      </c>
      <c r="AK189" s="213">
        <f t="shared" si="75"/>
        <v>1045.48</v>
      </c>
      <c r="AL189" s="210">
        <f t="shared" si="76"/>
        <v>0</v>
      </c>
      <c r="AM189" s="235">
        <f t="shared" si="62"/>
        <v>0</v>
      </c>
      <c r="AN189" s="235">
        <f t="shared" si="77"/>
        <v>0</v>
      </c>
      <c r="AO189" s="213">
        <f t="shared" si="63"/>
        <v>1.04548</v>
      </c>
      <c r="AP189" s="209">
        <f t="shared" si="78"/>
        <v>0.03267125</v>
      </c>
      <c r="AQ189" s="213">
        <f t="shared" si="64"/>
        <v>0.52274</v>
      </c>
      <c r="AR189" s="209">
        <f t="shared" si="79"/>
        <v>0.0108904166666667</v>
      </c>
      <c r="AS189" s="213">
        <f t="shared" si="82"/>
        <v>0</v>
      </c>
      <c r="AT189" s="211">
        <v>0</v>
      </c>
      <c r="AU189" s="211"/>
      <c r="AV189" s="237">
        <f t="shared" si="65"/>
        <v>0</v>
      </c>
      <c r="AW189" s="213"/>
      <c r="AX189" s="213"/>
      <c r="AY189" s="238"/>
      <c r="AZ189" s="238"/>
      <c r="BA189" s="213"/>
      <c r="BB189" s="238"/>
      <c r="BC189" s="238"/>
      <c r="BD189" s="213"/>
      <c r="BE189" s="213"/>
      <c r="BF189" s="213"/>
      <c r="BG189" s="213"/>
      <c r="BH189" s="213"/>
      <c r="BI189" s="213"/>
      <c r="BJ189" s="211"/>
      <c r="BP189" s="241"/>
    </row>
    <row r="190" s="190" customFormat="1" ht="15" customHeight="1" spans="1:68">
      <c r="A190" s="218">
        <v>185</v>
      </c>
      <c r="B190" s="207" t="s">
        <v>266</v>
      </c>
      <c r="C190" s="211" t="s">
        <v>266</v>
      </c>
      <c r="D190" s="211" t="s">
        <v>162</v>
      </c>
      <c r="E190" s="211" t="s">
        <v>140</v>
      </c>
      <c r="F190" s="212">
        <v>388.7</v>
      </c>
      <c r="G190" s="213">
        <f t="shared" si="66"/>
        <v>17.3073040281451</v>
      </c>
      <c r="H190" s="213">
        <f t="shared" si="61"/>
        <v>6727.34907574</v>
      </c>
      <c r="I190" s="211">
        <v>3</v>
      </c>
      <c r="J190" s="213">
        <f t="shared" si="67"/>
        <v>4170.628379</v>
      </c>
      <c r="K190" s="213">
        <f t="shared" si="80"/>
        <v>1838.428379</v>
      </c>
      <c r="L190" s="207">
        <v>2</v>
      </c>
      <c r="M190" s="213">
        <f t="shared" si="68"/>
        <v>777.4</v>
      </c>
      <c r="N190" s="212">
        <v>3615.979073</v>
      </c>
      <c r="O190" s="213">
        <f t="shared" si="69"/>
        <v>2332.2</v>
      </c>
      <c r="P190" s="213">
        <v>0</v>
      </c>
      <c r="Q190" s="213">
        <f t="shared" si="81"/>
        <v>2088.66608174</v>
      </c>
      <c r="R190" s="213">
        <f t="shared" si="70"/>
        <v>0</v>
      </c>
      <c r="S190" s="213">
        <v>0</v>
      </c>
      <c r="T190" s="212">
        <v>0</v>
      </c>
      <c r="U190" s="211">
        <v>0</v>
      </c>
      <c r="V190" s="213"/>
      <c r="W190" s="212">
        <v>1838.428379</v>
      </c>
      <c r="X190" s="212">
        <v>0</v>
      </c>
      <c r="Y190" s="213">
        <f t="shared" si="71"/>
        <v>0</v>
      </c>
      <c r="Z190" s="213">
        <f t="shared" si="72"/>
        <v>0</v>
      </c>
      <c r="AA190" s="208">
        <v>0</v>
      </c>
      <c r="AB190" s="228">
        <v>0</v>
      </c>
      <c r="AC190" s="208">
        <v>0</v>
      </c>
      <c r="AD190" s="229">
        <v>0</v>
      </c>
      <c r="AE190" s="212">
        <f t="shared" si="73"/>
        <v>250.23770274</v>
      </c>
      <c r="AF190" s="212">
        <v>0</v>
      </c>
      <c r="AG190" s="212">
        <f t="shared" si="74"/>
        <v>1022.703921</v>
      </c>
      <c r="AH190" s="212">
        <v>0</v>
      </c>
      <c r="AI190" s="212">
        <v>0</v>
      </c>
      <c r="AJ190" s="212">
        <v>1022.703921</v>
      </c>
      <c r="AK190" s="213">
        <f t="shared" si="75"/>
        <v>777.4</v>
      </c>
      <c r="AL190" s="210">
        <f t="shared" si="76"/>
        <v>0</v>
      </c>
      <c r="AM190" s="235">
        <f t="shared" si="62"/>
        <v>0</v>
      </c>
      <c r="AN190" s="235">
        <f t="shared" si="77"/>
        <v>0</v>
      </c>
      <c r="AO190" s="213">
        <f t="shared" si="63"/>
        <v>0.7774</v>
      </c>
      <c r="AP190" s="209">
        <f t="shared" si="78"/>
        <v>0.02429375</v>
      </c>
      <c r="AQ190" s="213">
        <f t="shared" si="64"/>
        <v>0.3887</v>
      </c>
      <c r="AR190" s="209">
        <f t="shared" si="79"/>
        <v>0.00809791666666667</v>
      </c>
      <c r="AS190" s="213">
        <f t="shared" si="82"/>
        <v>0</v>
      </c>
      <c r="AT190" s="211">
        <v>0</v>
      </c>
      <c r="AU190" s="211"/>
      <c r="AV190" s="237">
        <f t="shared" si="65"/>
        <v>0</v>
      </c>
      <c r="AW190" s="213"/>
      <c r="AX190" s="213"/>
      <c r="AY190" s="238"/>
      <c r="AZ190" s="238"/>
      <c r="BA190" s="213"/>
      <c r="BB190" s="238"/>
      <c r="BC190" s="238"/>
      <c r="BD190" s="213"/>
      <c r="BE190" s="213"/>
      <c r="BF190" s="213"/>
      <c r="BG190" s="213"/>
      <c r="BH190" s="213"/>
      <c r="BI190" s="213"/>
      <c r="BJ190" s="211"/>
      <c r="BP190" s="241"/>
    </row>
    <row r="191" s="190" customFormat="1" ht="15" customHeight="1" spans="1:68">
      <c r="A191" s="210">
        <v>186</v>
      </c>
      <c r="B191" s="207" t="s">
        <v>267</v>
      </c>
      <c r="C191" s="211" t="s">
        <v>267</v>
      </c>
      <c r="D191" s="211" t="s">
        <v>266</v>
      </c>
      <c r="E191" s="211" t="s">
        <v>85</v>
      </c>
      <c r="F191" s="212">
        <v>228.28</v>
      </c>
      <c r="G191" s="213">
        <f t="shared" si="66"/>
        <v>17.4568854958823</v>
      </c>
      <c r="H191" s="213">
        <f t="shared" si="61"/>
        <v>3985.057821</v>
      </c>
      <c r="I191" s="211">
        <v>3</v>
      </c>
      <c r="J191" s="213">
        <f t="shared" si="67"/>
        <v>1369.68</v>
      </c>
      <c r="K191" s="213">
        <f t="shared" si="80"/>
        <v>0</v>
      </c>
      <c r="L191" s="207">
        <v>0</v>
      </c>
      <c r="M191" s="213">
        <f t="shared" si="68"/>
        <v>456.56</v>
      </c>
      <c r="N191" s="212">
        <v>2132.230072</v>
      </c>
      <c r="O191" s="213">
        <f t="shared" si="69"/>
        <v>1369.68</v>
      </c>
      <c r="P191" s="213">
        <v>0</v>
      </c>
      <c r="Q191" s="213">
        <f t="shared" si="81"/>
        <v>82.1808</v>
      </c>
      <c r="R191" s="213">
        <f t="shared" si="70"/>
        <v>0</v>
      </c>
      <c r="S191" s="213">
        <v>0</v>
      </c>
      <c r="T191" s="212">
        <v>0</v>
      </c>
      <c r="U191" s="211">
        <v>0</v>
      </c>
      <c r="V191" s="213"/>
      <c r="W191" s="212">
        <v>0</v>
      </c>
      <c r="X191" s="212">
        <v>0</v>
      </c>
      <c r="Y191" s="213">
        <f t="shared" si="71"/>
        <v>0</v>
      </c>
      <c r="Z191" s="213">
        <f t="shared" si="72"/>
        <v>0</v>
      </c>
      <c r="AA191" s="208">
        <v>0</v>
      </c>
      <c r="AB191" s="228">
        <v>0</v>
      </c>
      <c r="AC191" s="208">
        <v>0</v>
      </c>
      <c r="AD191" s="229">
        <v>0</v>
      </c>
      <c r="AE191" s="212">
        <f t="shared" si="73"/>
        <v>82.1808</v>
      </c>
      <c r="AF191" s="212">
        <v>0</v>
      </c>
      <c r="AG191" s="212">
        <f t="shared" si="74"/>
        <v>1770.646949</v>
      </c>
      <c r="AH191" s="212">
        <v>0</v>
      </c>
      <c r="AI191" s="212">
        <v>0</v>
      </c>
      <c r="AJ191" s="212">
        <v>1770.646949</v>
      </c>
      <c r="AK191" s="213">
        <f t="shared" si="75"/>
        <v>456.56</v>
      </c>
      <c r="AL191" s="210">
        <f t="shared" si="76"/>
        <v>0</v>
      </c>
      <c r="AM191" s="235">
        <f t="shared" si="62"/>
        <v>0</v>
      </c>
      <c r="AN191" s="235">
        <f t="shared" si="77"/>
        <v>0</v>
      </c>
      <c r="AO191" s="213">
        <f t="shared" si="63"/>
        <v>0.45656</v>
      </c>
      <c r="AP191" s="209">
        <f t="shared" si="78"/>
        <v>0.0142675</v>
      </c>
      <c r="AQ191" s="213">
        <f t="shared" si="64"/>
        <v>0.22828</v>
      </c>
      <c r="AR191" s="209">
        <f t="shared" si="79"/>
        <v>0.00475583333333333</v>
      </c>
      <c r="AS191" s="213">
        <f t="shared" si="82"/>
        <v>0</v>
      </c>
      <c r="AT191" s="211">
        <v>0</v>
      </c>
      <c r="AU191" s="211"/>
      <c r="AV191" s="237">
        <f t="shared" si="65"/>
        <v>0</v>
      </c>
      <c r="AW191" s="213"/>
      <c r="AX191" s="213"/>
      <c r="AY191" s="238"/>
      <c r="AZ191" s="238"/>
      <c r="BA191" s="213"/>
      <c r="BB191" s="238"/>
      <c r="BC191" s="238"/>
      <c r="BD191" s="213"/>
      <c r="BE191" s="213"/>
      <c r="BF191" s="213"/>
      <c r="BG191" s="213"/>
      <c r="BH191" s="213"/>
      <c r="BI191" s="213"/>
      <c r="BJ191" s="211"/>
      <c r="BP191" s="241"/>
    </row>
    <row r="192" s="191" customFormat="1" ht="15" customHeight="1" spans="1:68">
      <c r="A192" s="206">
        <v>187</v>
      </c>
      <c r="B192" s="215" t="s">
        <v>112</v>
      </c>
      <c r="C192" s="215" t="s">
        <v>112</v>
      </c>
      <c r="D192" s="215" t="s">
        <v>92</v>
      </c>
      <c r="E192" s="215" t="s">
        <v>111</v>
      </c>
      <c r="F192" s="216">
        <v>192.11</v>
      </c>
      <c r="G192" s="217">
        <f t="shared" si="66"/>
        <v>22.7731982158139</v>
      </c>
      <c r="H192" s="209">
        <f t="shared" si="61"/>
        <v>4374.95910924</v>
      </c>
      <c r="I192" s="215">
        <v>2</v>
      </c>
      <c r="J192" s="209">
        <f t="shared" si="67"/>
        <v>1591.651132</v>
      </c>
      <c r="K192" s="209">
        <f t="shared" si="80"/>
        <v>438.991132</v>
      </c>
      <c r="L192" s="215">
        <v>2</v>
      </c>
      <c r="M192" s="209">
        <f t="shared" si="68"/>
        <v>384.22</v>
      </c>
      <c r="N192" s="216">
        <v>2879.684444</v>
      </c>
      <c r="O192" s="217">
        <f t="shared" si="69"/>
        <v>1152.66</v>
      </c>
      <c r="P192" s="217">
        <v>0</v>
      </c>
      <c r="Q192" s="209">
        <f t="shared" si="81"/>
        <v>550.40671124</v>
      </c>
      <c r="R192" s="209">
        <f t="shared" si="70"/>
        <v>0</v>
      </c>
      <c r="S192" s="209">
        <v>0</v>
      </c>
      <c r="T192" s="216">
        <v>0</v>
      </c>
      <c r="U192" s="215">
        <v>0</v>
      </c>
      <c r="V192" s="217"/>
      <c r="W192" s="216">
        <v>438.991132</v>
      </c>
      <c r="X192" s="216">
        <v>0</v>
      </c>
      <c r="Y192" s="217">
        <f t="shared" si="71"/>
        <v>0</v>
      </c>
      <c r="Z192" s="209">
        <f t="shared" si="72"/>
        <v>0</v>
      </c>
      <c r="AA192" s="216">
        <v>0</v>
      </c>
      <c r="AB192" s="230">
        <v>0</v>
      </c>
      <c r="AC192" s="216">
        <v>0</v>
      </c>
      <c r="AD192" s="231">
        <v>0</v>
      </c>
      <c r="AE192" s="208">
        <f t="shared" si="73"/>
        <v>111.41557924</v>
      </c>
      <c r="AF192" s="216">
        <v>0</v>
      </c>
      <c r="AG192" s="208">
        <f t="shared" si="74"/>
        <v>944.867954</v>
      </c>
      <c r="AH192" s="216">
        <v>0</v>
      </c>
      <c r="AI192" s="216">
        <v>0</v>
      </c>
      <c r="AJ192" s="216">
        <v>944.867954</v>
      </c>
      <c r="AK192" s="217">
        <f t="shared" si="75"/>
        <v>384.22</v>
      </c>
      <c r="AL192" s="206">
        <f t="shared" si="76"/>
        <v>0</v>
      </c>
      <c r="AM192" s="235">
        <f t="shared" si="62"/>
        <v>0</v>
      </c>
      <c r="AN192" s="235">
        <f t="shared" si="77"/>
        <v>0</v>
      </c>
      <c r="AO192" s="209">
        <f t="shared" si="63"/>
        <v>0.76844</v>
      </c>
      <c r="AP192" s="209">
        <f t="shared" si="78"/>
        <v>0.02401375</v>
      </c>
      <c r="AQ192" s="209">
        <f t="shared" si="64"/>
        <v>0.38422</v>
      </c>
      <c r="AR192" s="209">
        <f t="shared" si="79"/>
        <v>0.00800458333333333</v>
      </c>
      <c r="AS192" s="209">
        <f t="shared" si="82"/>
        <v>0</v>
      </c>
      <c r="AT192" s="215">
        <v>1</v>
      </c>
      <c r="AU192" s="215" t="s">
        <v>89</v>
      </c>
      <c r="AV192" s="237">
        <f t="shared" si="65"/>
        <v>0</v>
      </c>
      <c r="AW192" s="209"/>
      <c r="AX192" s="209"/>
      <c r="AY192" s="237"/>
      <c r="AZ192" s="217"/>
      <c r="BA192" s="209"/>
      <c r="BB192" s="237"/>
      <c r="BC192" s="237"/>
      <c r="BD192" s="217"/>
      <c r="BE192" s="209"/>
      <c r="BF192" s="217"/>
      <c r="BG192" s="209"/>
      <c r="BH192" s="209"/>
      <c r="BI192" s="209"/>
      <c r="BJ192" s="215"/>
      <c r="BP192" s="242"/>
    </row>
    <row r="193" s="191" customFormat="1" ht="15" customHeight="1" spans="1:68">
      <c r="A193" s="214">
        <v>188</v>
      </c>
      <c r="B193" s="215" t="s">
        <v>112</v>
      </c>
      <c r="C193" s="215" t="s">
        <v>112</v>
      </c>
      <c r="D193" s="215" t="s">
        <v>111</v>
      </c>
      <c r="E193" s="215" t="s">
        <v>88</v>
      </c>
      <c r="F193" s="216">
        <v>461.22</v>
      </c>
      <c r="G193" s="217">
        <f t="shared" si="66"/>
        <v>35.2367242712155</v>
      </c>
      <c r="H193" s="209">
        <f t="shared" si="61"/>
        <v>16251.88196837</v>
      </c>
      <c r="I193" s="215">
        <v>2</v>
      </c>
      <c r="J193" s="209">
        <f t="shared" si="67"/>
        <v>4712.945791</v>
      </c>
      <c r="K193" s="209">
        <f t="shared" si="80"/>
        <v>1945.625791</v>
      </c>
      <c r="L193" s="215">
        <v>2</v>
      </c>
      <c r="M193" s="209">
        <f t="shared" si="68"/>
        <v>922.44</v>
      </c>
      <c r="N193" s="216">
        <v>9221.801726</v>
      </c>
      <c r="O193" s="217">
        <f t="shared" si="69"/>
        <v>2767.32</v>
      </c>
      <c r="P193" s="217">
        <v>0</v>
      </c>
      <c r="Q193" s="209">
        <f t="shared" si="81"/>
        <v>2275.53199637</v>
      </c>
      <c r="R193" s="209">
        <f t="shared" si="70"/>
        <v>0</v>
      </c>
      <c r="S193" s="209">
        <v>0</v>
      </c>
      <c r="T193" s="216">
        <v>0</v>
      </c>
      <c r="U193" s="215">
        <v>0</v>
      </c>
      <c r="V193" s="217"/>
      <c r="W193" s="216">
        <v>1945.625791</v>
      </c>
      <c r="X193" s="216">
        <v>0</v>
      </c>
      <c r="Y193" s="217">
        <f t="shared" si="71"/>
        <v>0</v>
      </c>
      <c r="Z193" s="209">
        <f t="shared" si="72"/>
        <v>21.377402</v>
      </c>
      <c r="AA193" s="216">
        <v>21.377402</v>
      </c>
      <c r="AB193" s="230">
        <v>0</v>
      </c>
      <c r="AC193" s="216">
        <v>0</v>
      </c>
      <c r="AD193" s="231">
        <v>0</v>
      </c>
      <c r="AE193" s="208">
        <f t="shared" si="73"/>
        <v>329.90620537</v>
      </c>
      <c r="AF193" s="216">
        <v>0</v>
      </c>
      <c r="AG193" s="208">
        <f t="shared" si="74"/>
        <v>4711.793442</v>
      </c>
      <c r="AH193" s="216">
        <v>0</v>
      </c>
      <c r="AI193" s="216">
        <v>0</v>
      </c>
      <c r="AJ193" s="216">
        <v>4711.793442</v>
      </c>
      <c r="AK193" s="217">
        <f t="shared" si="75"/>
        <v>922.44</v>
      </c>
      <c r="AL193" s="206">
        <f t="shared" si="76"/>
        <v>0</v>
      </c>
      <c r="AM193" s="235">
        <f t="shared" si="62"/>
        <v>0</v>
      </c>
      <c r="AN193" s="235">
        <f t="shared" si="77"/>
        <v>0</v>
      </c>
      <c r="AO193" s="209">
        <f t="shared" si="63"/>
        <v>1.84488</v>
      </c>
      <c r="AP193" s="209">
        <f t="shared" si="78"/>
        <v>0.0576525</v>
      </c>
      <c r="AQ193" s="209">
        <f t="shared" si="64"/>
        <v>0.92244</v>
      </c>
      <c r="AR193" s="209">
        <f t="shared" si="79"/>
        <v>0.0192175</v>
      </c>
      <c r="AS193" s="209">
        <f t="shared" si="82"/>
        <v>0</v>
      </c>
      <c r="AT193" s="215">
        <v>3</v>
      </c>
      <c r="AU193" s="215" t="s">
        <v>89</v>
      </c>
      <c r="AV193" s="237">
        <f t="shared" si="65"/>
        <v>0</v>
      </c>
      <c r="AW193" s="209"/>
      <c r="AX193" s="209"/>
      <c r="AY193" s="237"/>
      <c r="AZ193" s="217"/>
      <c r="BA193" s="209"/>
      <c r="BB193" s="237"/>
      <c r="BC193" s="237"/>
      <c r="BD193" s="217"/>
      <c r="BE193" s="209"/>
      <c r="BF193" s="217"/>
      <c r="BG193" s="209"/>
      <c r="BH193" s="209"/>
      <c r="BI193" s="209"/>
      <c r="BJ193" s="215"/>
      <c r="BP193" s="242"/>
    </row>
    <row r="194" s="191" customFormat="1" ht="15" customHeight="1" spans="1:68">
      <c r="A194" s="206">
        <v>189</v>
      </c>
      <c r="B194" s="215" t="s">
        <v>112</v>
      </c>
      <c r="C194" s="215" t="s">
        <v>112</v>
      </c>
      <c r="D194" s="215" t="s">
        <v>88</v>
      </c>
      <c r="E194" s="215" t="s">
        <v>223</v>
      </c>
      <c r="F194" s="216">
        <v>140.71</v>
      </c>
      <c r="G194" s="217">
        <f t="shared" si="66"/>
        <v>44.4980403696965</v>
      </c>
      <c r="H194" s="209">
        <f t="shared" si="61"/>
        <v>6261.31926042</v>
      </c>
      <c r="I194" s="215">
        <v>2</v>
      </c>
      <c r="J194" s="209">
        <f t="shared" si="67"/>
        <v>1539.577206</v>
      </c>
      <c r="K194" s="209">
        <f t="shared" si="80"/>
        <v>695.317206</v>
      </c>
      <c r="L194" s="215">
        <v>2</v>
      </c>
      <c r="M194" s="209">
        <f t="shared" si="68"/>
        <v>281.42</v>
      </c>
      <c r="N194" s="216">
        <v>2815.257282</v>
      </c>
      <c r="O194" s="217">
        <f t="shared" si="69"/>
        <v>844.26</v>
      </c>
      <c r="P194" s="217">
        <v>0</v>
      </c>
      <c r="Q194" s="209">
        <f t="shared" si="81"/>
        <v>803.08761042</v>
      </c>
      <c r="R194" s="209">
        <f t="shared" si="70"/>
        <v>0</v>
      </c>
      <c r="S194" s="209">
        <v>0</v>
      </c>
      <c r="T194" s="216">
        <v>0</v>
      </c>
      <c r="U194" s="215">
        <v>0</v>
      </c>
      <c r="V194" s="217"/>
      <c r="W194" s="216">
        <v>695.317206</v>
      </c>
      <c r="X194" s="216">
        <v>0</v>
      </c>
      <c r="Y194" s="217">
        <f t="shared" si="71"/>
        <v>0</v>
      </c>
      <c r="Z194" s="209">
        <f t="shared" si="72"/>
        <v>28.044082</v>
      </c>
      <c r="AA194" s="216">
        <v>28.044082</v>
      </c>
      <c r="AB194" s="230">
        <v>0</v>
      </c>
      <c r="AC194" s="216">
        <v>0</v>
      </c>
      <c r="AD194" s="231">
        <v>0</v>
      </c>
      <c r="AE194" s="208">
        <f t="shared" si="73"/>
        <v>107.77040442</v>
      </c>
      <c r="AF194" s="216">
        <v>148.79699</v>
      </c>
      <c r="AG194" s="208">
        <f t="shared" si="74"/>
        <v>2438.089214</v>
      </c>
      <c r="AH194" s="216">
        <v>0</v>
      </c>
      <c r="AI194" s="216">
        <v>0</v>
      </c>
      <c r="AJ194" s="216">
        <v>2438.089214</v>
      </c>
      <c r="AK194" s="217">
        <f t="shared" si="75"/>
        <v>281.42</v>
      </c>
      <c r="AL194" s="206">
        <f t="shared" si="76"/>
        <v>0</v>
      </c>
      <c r="AM194" s="235">
        <f t="shared" si="62"/>
        <v>0</v>
      </c>
      <c r="AN194" s="235">
        <f t="shared" si="77"/>
        <v>0</v>
      </c>
      <c r="AO194" s="209">
        <f t="shared" si="63"/>
        <v>0.56284</v>
      </c>
      <c r="AP194" s="209">
        <f t="shared" si="78"/>
        <v>0.01758875</v>
      </c>
      <c r="AQ194" s="209">
        <f t="shared" si="64"/>
        <v>0.28142</v>
      </c>
      <c r="AR194" s="209">
        <f t="shared" si="79"/>
        <v>0.00586291666666667</v>
      </c>
      <c r="AS194" s="209">
        <f t="shared" si="82"/>
        <v>0</v>
      </c>
      <c r="AT194" s="215">
        <v>2</v>
      </c>
      <c r="AU194" s="215" t="s">
        <v>89</v>
      </c>
      <c r="AV194" s="237">
        <f t="shared" si="65"/>
        <v>0</v>
      </c>
      <c r="AW194" s="209"/>
      <c r="AX194" s="209"/>
      <c r="AY194" s="237"/>
      <c r="AZ194" s="217"/>
      <c r="BA194" s="209"/>
      <c r="BB194" s="237"/>
      <c r="BC194" s="237"/>
      <c r="BD194" s="217"/>
      <c r="BE194" s="209"/>
      <c r="BF194" s="217"/>
      <c r="BG194" s="209"/>
      <c r="BH194" s="209"/>
      <c r="BI194" s="209"/>
      <c r="BJ194" s="215"/>
      <c r="BP194" s="242"/>
    </row>
    <row r="195" s="191" customFormat="1" ht="15" customHeight="1" spans="1:68">
      <c r="A195" s="206">
        <v>190</v>
      </c>
      <c r="B195" s="215" t="s">
        <v>112</v>
      </c>
      <c r="C195" s="215" t="s">
        <v>268</v>
      </c>
      <c r="D195" s="215"/>
      <c r="E195" s="215"/>
      <c r="F195" s="216">
        <v>23.51</v>
      </c>
      <c r="G195" s="217">
        <f t="shared" si="66"/>
        <v>23.3365472990217</v>
      </c>
      <c r="H195" s="209">
        <f t="shared" si="61"/>
        <v>548.642227</v>
      </c>
      <c r="I195" s="215">
        <v>2</v>
      </c>
      <c r="J195" s="209">
        <f t="shared" si="67"/>
        <v>141.06</v>
      </c>
      <c r="K195" s="209">
        <f t="shared" si="80"/>
        <v>0</v>
      </c>
      <c r="L195" s="215">
        <v>0</v>
      </c>
      <c r="M195" s="209">
        <f t="shared" si="68"/>
        <v>47.02</v>
      </c>
      <c r="N195" s="216">
        <v>538.768027</v>
      </c>
      <c r="O195" s="217">
        <f t="shared" si="69"/>
        <v>141.06</v>
      </c>
      <c r="P195" s="217">
        <v>0</v>
      </c>
      <c r="Q195" s="209">
        <f t="shared" si="81"/>
        <v>9.8742</v>
      </c>
      <c r="R195" s="209">
        <f t="shared" si="70"/>
        <v>0</v>
      </c>
      <c r="S195" s="209">
        <v>0</v>
      </c>
      <c r="T195" s="216">
        <v>0</v>
      </c>
      <c r="U195" s="215">
        <v>0</v>
      </c>
      <c r="V195" s="217"/>
      <c r="W195" s="216">
        <v>0</v>
      </c>
      <c r="X195" s="216">
        <v>0</v>
      </c>
      <c r="Y195" s="217">
        <f t="shared" si="71"/>
        <v>0</v>
      </c>
      <c r="Z195" s="209">
        <f t="shared" si="72"/>
        <v>0</v>
      </c>
      <c r="AA195" s="216">
        <v>0</v>
      </c>
      <c r="AB195" s="230">
        <v>0</v>
      </c>
      <c r="AC195" s="216">
        <v>0</v>
      </c>
      <c r="AD195" s="231">
        <v>0</v>
      </c>
      <c r="AE195" s="208">
        <f t="shared" si="73"/>
        <v>9.8742</v>
      </c>
      <c r="AF195" s="216">
        <v>0</v>
      </c>
      <c r="AG195" s="208">
        <f t="shared" si="74"/>
        <v>0</v>
      </c>
      <c r="AH195" s="216">
        <v>0</v>
      </c>
      <c r="AI195" s="216">
        <v>0</v>
      </c>
      <c r="AJ195" s="216">
        <v>0</v>
      </c>
      <c r="AK195" s="217">
        <f t="shared" si="75"/>
        <v>47.02</v>
      </c>
      <c r="AL195" s="206">
        <f t="shared" si="76"/>
        <v>0</v>
      </c>
      <c r="AM195" s="235">
        <f t="shared" si="62"/>
        <v>0</v>
      </c>
      <c r="AN195" s="235">
        <f t="shared" si="77"/>
        <v>0</v>
      </c>
      <c r="AO195" s="209">
        <f t="shared" si="63"/>
        <v>0.09404</v>
      </c>
      <c r="AP195" s="209">
        <f t="shared" si="78"/>
        <v>0.00293875</v>
      </c>
      <c r="AQ195" s="209">
        <f t="shared" si="64"/>
        <v>0.04702</v>
      </c>
      <c r="AR195" s="209">
        <f t="shared" si="79"/>
        <v>0.000979583333333333</v>
      </c>
      <c r="AS195" s="209">
        <f t="shared" si="82"/>
        <v>0</v>
      </c>
      <c r="AT195" s="215">
        <v>0</v>
      </c>
      <c r="AU195" s="215" t="s">
        <v>89</v>
      </c>
      <c r="AV195" s="237">
        <f t="shared" si="65"/>
        <v>0</v>
      </c>
      <c r="AW195" s="209"/>
      <c r="AX195" s="209"/>
      <c r="AY195" s="237"/>
      <c r="AZ195" s="217"/>
      <c r="BA195" s="209"/>
      <c r="BB195" s="237"/>
      <c r="BC195" s="237"/>
      <c r="BD195" s="217"/>
      <c r="BE195" s="209"/>
      <c r="BF195" s="217"/>
      <c r="BG195" s="209"/>
      <c r="BH195" s="209"/>
      <c r="BI195" s="209"/>
      <c r="BJ195" s="215"/>
      <c r="BP195" s="242"/>
    </row>
    <row r="196" s="191" customFormat="1" ht="15" customHeight="1" spans="1:68">
      <c r="A196" s="214">
        <v>191</v>
      </c>
      <c r="B196" s="215" t="s">
        <v>112</v>
      </c>
      <c r="C196" s="215" t="s">
        <v>269</v>
      </c>
      <c r="D196" s="215"/>
      <c r="E196" s="215"/>
      <c r="F196" s="216">
        <v>30.41</v>
      </c>
      <c r="G196" s="217">
        <f t="shared" si="66"/>
        <v>26.1899580072345</v>
      </c>
      <c r="H196" s="209">
        <f t="shared" si="61"/>
        <v>796.436623</v>
      </c>
      <c r="I196" s="215">
        <v>2</v>
      </c>
      <c r="J196" s="209">
        <f t="shared" si="67"/>
        <v>182.46</v>
      </c>
      <c r="K196" s="209">
        <f t="shared" si="80"/>
        <v>0</v>
      </c>
      <c r="L196" s="215">
        <v>0</v>
      </c>
      <c r="M196" s="209">
        <f t="shared" si="68"/>
        <v>60.82</v>
      </c>
      <c r="N196" s="216">
        <v>783.664423</v>
      </c>
      <c r="O196" s="217">
        <f t="shared" si="69"/>
        <v>182.46</v>
      </c>
      <c r="P196" s="217">
        <v>0</v>
      </c>
      <c r="Q196" s="209">
        <f t="shared" si="81"/>
        <v>12.7722</v>
      </c>
      <c r="R196" s="209">
        <f t="shared" si="70"/>
        <v>0</v>
      </c>
      <c r="S196" s="209">
        <v>0</v>
      </c>
      <c r="T196" s="216">
        <v>0</v>
      </c>
      <c r="U196" s="215">
        <v>0</v>
      </c>
      <c r="V196" s="217"/>
      <c r="W196" s="216">
        <v>0</v>
      </c>
      <c r="X196" s="216">
        <v>0</v>
      </c>
      <c r="Y196" s="217">
        <f t="shared" si="71"/>
        <v>0</v>
      </c>
      <c r="Z196" s="209">
        <f t="shared" si="72"/>
        <v>0</v>
      </c>
      <c r="AA196" s="216">
        <v>0</v>
      </c>
      <c r="AB196" s="230">
        <v>0</v>
      </c>
      <c r="AC196" s="216">
        <v>0</v>
      </c>
      <c r="AD196" s="231">
        <v>0</v>
      </c>
      <c r="AE196" s="208">
        <f t="shared" si="73"/>
        <v>12.7722</v>
      </c>
      <c r="AF196" s="216">
        <v>0</v>
      </c>
      <c r="AG196" s="208">
        <f t="shared" si="74"/>
        <v>0</v>
      </c>
      <c r="AH196" s="216">
        <v>0</v>
      </c>
      <c r="AI196" s="216">
        <v>0</v>
      </c>
      <c r="AJ196" s="216">
        <v>0</v>
      </c>
      <c r="AK196" s="217">
        <f t="shared" si="75"/>
        <v>60.82</v>
      </c>
      <c r="AL196" s="206">
        <f t="shared" si="76"/>
        <v>0</v>
      </c>
      <c r="AM196" s="235">
        <f t="shared" si="62"/>
        <v>0</v>
      </c>
      <c r="AN196" s="235">
        <f t="shared" si="77"/>
        <v>0</v>
      </c>
      <c r="AO196" s="209">
        <f t="shared" si="63"/>
        <v>0.12164</v>
      </c>
      <c r="AP196" s="209">
        <f t="shared" si="78"/>
        <v>0.00380125</v>
      </c>
      <c r="AQ196" s="209">
        <f t="shared" si="64"/>
        <v>0.06082</v>
      </c>
      <c r="AR196" s="209">
        <f t="shared" si="79"/>
        <v>0.00126708333333333</v>
      </c>
      <c r="AS196" s="209">
        <f t="shared" si="82"/>
        <v>0</v>
      </c>
      <c r="AT196" s="215">
        <v>0</v>
      </c>
      <c r="AU196" s="215" t="s">
        <v>89</v>
      </c>
      <c r="AV196" s="237">
        <f t="shared" si="65"/>
        <v>0</v>
      </c>
      <c r="AW196" s="209"/>
      <c r="AX196" s="209"/>
      <c r="AY196" s="237"/>
      <c r="AZ196" s="217"/>
      <c r="BA196" s="209"/>
      <c r="BB196" s="237"/>
      <c r="BC196" s="237"/>
      <c r="BD196" s="217"/>
      <c r="BE196" s="209"/>
      <c r="BF196" s="217"/>
      <c r="BG196" s="209"/>
      <c r="BH196" s="209"/>
      <c r="BI196" s="209"/>
      <c r="BJ196" s="215"/>
      <c r="BP196" s="242"/>
    </row>
    <row r="197" s="191" customFormat="1" ht="15" customHeight="1" spans="1:68">
      <c r="A197" s="206">
        <v>192</v>
      </c>
      <c r="B197" s="215" t="s">
        <v>112</v>
      </c>
      <c r="C197" s="215" t="s">
        <v>270</v>
      </c>
      <c r="D197" s="215"/>
      <c r="E197" s="215"/>
      <c r="F197" s="216">
        <v>39.78</v>
      </c>
      <c r="G197" s="217">
        <f t="shared" si="66"/>
        <v>26.4391426093514</v>
      </c>
      <c r="H197" s="209">
        <f t="shared" si="61"/>
        <v>1051.749093</v>
      </c>
      <c r="I197" s="215">
        <v>2</v>
      </c>
      <c r="J197" s="209">
        <f t="shared" si="67"/>
        <v>238.68</v>
      </c>
      <c r="K197" s="209">
        <f t="shared" si="80"/>
        <v>0</v>
      </c>
      <c r="L197" s="215">
        <v>0</v>
      </c>
      <c r="M197" s="209">
        <f t="shared" si="68"/>
        <v>79.56</v>
      </c>
      <c r="N197" s="216">
        <v>1035.041493</v>
      </c>
      <c r="O197" s="217">
        <f t="shared" si="69"/>
        <v>238.68</v>
      </c>
      <c r="P197" s="217">
        <v>0</v>
      </c>
      <c r="Q197" s="209">
        <f t="shared" si="81"/>
        <v>16.7076</v>
      </c>
      <c r="R197" s="209">
        <f t="shared" si="70"/>
        <v>0</v>
      </c>
      <c r="S197" s="209">
        <v>0</v>
      </c>
      <c r="T197" s="216">
        <v>0</v>
      </c>
      <c r="U197" s="215">
        <v>0</v>
      </c>
      <c r="V197" s="217"/>
      <c r="W197" s="216">
        <v>0</v>
      </c>
      <c r="X197" s="216">
        <v>0</v>
      </c>
      <c r="Y197" s="217">
        <f t="shared" si="71"/>
        <v>0</v>
      </c>
      <c r="Z197" s="209">
        <f t="shared" si="72"/>
        <v>0</v>
      </c>
      <c r="AA197" s="216">
        <v>0</v>
      </c>
      <c r="AB197" s="230">
        <v>0</v>
      </c>
      <c r="AC197" s="216">
        <v>0</v>
      </c>
      <c r="AD197" s="231">
        <v>0</v>
      </c>
      <c r="AE197" s="208">
        <f t="shared" si="73"/>
        <v>16.7076</v>
      </c>
      <c r="AF197" s="216">
        <v>0</v>
      </c>
      <c r="AG197" s="208">
        <f t="shared" si="74"/>
        <v>0</v>
      </c>
      <c r="AH197" s="216">
        <v>0</v>
      </c>
      <c r="AI197" s="216">
        <v>0</v>
      </c>
      <c r="AJ197" s="216">
        <v>0</v>
      </c>
      <c r="AK197" s="217">
        <f t="shared" si="75"/>
        <v>79.56</v>
      </c>
      <c r="AL197" s="206">
        <f t="shared" si="76"/>
        <v>0</v>
      </c>
      <c r="AM197" s="235">
        <f t="shared" si="62"/>
        <v>0</v>
      </c>
      <c r="AN197" s="235">
        <f t="shared" si="77"/>
        <v>0</v>
      </c>
      <c r="AO197" s="209">
        <f t="shared" si="63"/>
        <v>0.15912</v>
      </c>
      <c r="AP197" s="209">
        <f t="shared" si="78"/>
        <v>0.0049725</v>
      </c>
      <c r="AQ197" s="209">
        <f t="shared" si="64"/>
        <v>0.07956</v>
      </c>
      <c r="AR197" s="209">
        <f t="shared" si="79"/>
        <v>0.0016575</v>
      </c>
      <c r="AS197" s="209">
        <f t="shared" si="82"/>
        <v>0</v>
      </c>
      <c r="AT197" s="215">
        <v>0</v>
      </c>
      <c r="AU197" s="215" t="s">
        <v>89</v>
      </c>
      <c r="AV197" s="237">
        <f t="shared" si="65"/>
        <v>0</v>
      </c>
      <c r="AW197" s="209"/>
      <c r="AX197" s="209"/>
      <c r="AY197" s="237"/>
      <c r="AZ197" s="217"/>
      <c r="BA197" s="209"/>
      <c r="BB197" s="237"/>
      <c r="BC197" s="237"/>
      <c r="BD197" s="217"/>
      <c r="BE197" s="209"/>
      <c r="BF197" s="217"/>
      <c r="BG197" s="209"/>
      <c r="BH197" s="209"/>
      <c r="BI197" s="209"/>
      <c r="BJ197" s="215"/>
      <c r="BP197" s="242"/>
    </row>
    <row r="198" s="191" customFormat="1" ht="15" customHeight="1" spans="1:68">
      <c r="A198" s="206">
        <v>193</v>
      </c>
      <c r="B198" s="215" t="s">
        <v>112</v>
      </c>
      <c r="C198" s="215" t="s">
        <v>112</v>
      </c>
      <c r="D198" s="215" t="s">
        <v>223</v>
      </c>
      <c r="E198" s="215" t="s">
        <v>93</v>
      </c>
      <c r="F198" s="216">
        <v>183.88</v>
      </c>
      <c r="G198" s="217">
        <f t="shared" si="66"/>
        <v>48.9906392573961</v>
      </c>
      <c r="H198" s="209">
        <f t="shared" si="61"/>
        <v>9008.39874665</v>
      </c>
      <c r="I198" s="215">
        <v>2</v>
      </c>
      <c r="J198" s="209">
        <f t="shared" si="67"/>
        <v>1882.748895</v>
      </c>
      <c r="K198" s="209">
        <f t="shared" si="80"/>
        <v>779.468895</v>
      </c>
      <c r="L198" s="215">
        <v>2</v>
      </c>
      <c r="M198" s="209">
        <f t="shared" si="68"/>
        <v>367.76</v>
      </c>
      <c r="N198" s="216">
        <v>3705.14441</v>
      </c>
      <c r="O198" s="217">
        <f t="shared" si="69"/>
        <v>1103.28</v>
      </c>
      <c r="P198" s="217">
        <v>0</v>
      </c>
      <c r="Q198" s="209">
        <f t="shared" si="81"/>
        <v>911.26131765</v>
      </c>
      <c r="R198" s="209">
        <f t="shared" si="70"/>
        <v>0</v>
      </c>
      <c r="S198" s="209">
        <v>0</v>
      </c>
      <c r="T198" s="216">
        <v>0</v>
      </c>
      <c r="U198" s="215">
        <v>0</v>
      </c>
      <c r="V198" s="217"/>
      <c r="W198" s="216">
        <v>779.468895</v>
      </c>
      <c r="X198" s="216">
        <v>0</v>
      </c>
      <c r="Y198" s="217">
        <f t="shared" si="71"/>
        <v>0</v>
      </c>
      <c r="Z198" s="209">
        <f t="shared" si="72"/>
        <v>0</v>
      </c>
      <c r="AA198" s="216">
        <v>0</v>
      </c>
      <c r="AB198" s="230">
        <v>0</v>
      </c>
      <c r="AC198" s="216">
        <v>0</v>
      </c>
      <c r="AD198" s="231">
        <v>0</v>
      </c>
      <c r="AE198" s="208">
        <f t="shared" si="73"/>
        <v>131.79242265</v>
      </c>
      <c r="AF198" s="216">
        <v>0</v>
      </c>
      <c r="AG198" s="208">
        <f t="shared" si="74"/>
        <v>4391.993019</v>
      </c>
      <c r="AH198" s="216">
        <v>0</v>
      </c>
      <c r="AI198" s="216">
        <v>0</v>
      </c>
      <c r="AJ198" s="216">
        <v>4391.993019</v>
      </c>
      <c r="AK198" s="217">
        <f t="shared" si="75"/>
        <v>367.76</v>
      </c>
      <c r="AL198" s="206">
        <f t="shared" si="76"/>
        <v>0</v>
      </c>
      <c r="AM198" s="235">
        <f t="shared" si="62"/>
        <v>0</v>
      </c>
      <c r="AN198" s="235">
        <f t="shared" si="77"/>
        <v>0</v>
      </c>
      <c r="AO198" s="209">
        <f t="shared" si="63"/>
        <v>0.73552</v>
      </c>
      <c r="AP198" s="209">
        <f t="shared" si="78"/>
        <v>0.022985</v>
      </c>
      <c r="AQ198" s="209">
        <f t="shared" si="64"/>
        <v>0.36776</v>
      </c>
      <c r="AR198" s="209">
        <f t="shared" si="79"/>
        <v>0.00766166666666667</v>
      </c>
      <c r="AS198" s="209">
        <f t="shared" si="82"/>
        <v>0</v>
      </c>
      <c r="AT198" s="215">
        <v>2</v>
      </c>
      <c r="AU198" s="215" t="s">
        <v>89</v>
      </c>
      <c r="AV198" s="237">
        <f t="shared" si="65"/>
        <v>0</v>
      </c>
      <c r="AW198" s="209"/>
      <c r="AX198" s="209"/>
      <c r="AY198" s="237"/>
      <c r="AZ198" s="217"/>
      <c r="BA198" s="209"/>
      <c r="BB198" s="237"/>
      <c r="BC198" s="237"/>
      <c r="BD198" s="217"/>
      <c r="BE198" s="209"/>
      <c r="BF198" s="217"/>
      <c r="BG198" s="209"/>
      <c r="BH198" s="209"/>
      <c r="BI198" s="209"/>
      <c r="BJ198" s="215"/>
      <c r="BP198" s="242"/>
    </row>
    <row r="199" s="191" customFormat="1" ht="15" customHeight="1" spans="1:68">
      <c r="A199" s="214">
        <v>194</v>
      </c>
      <c r="B199" s="215" t="s">
        <v>91</v>
      </c>
      <c r="C199" s="215" t="s">
        <v>91</v>
      </c>
      <c r="D199" s="215" t="s">
        <v>204</v>
      </c>
      <c r="E199" s="215" t="s">
        <v>114</v>
      </c>
      <c r="F199" s="216">
        <v>778.27</v>
      </c>
      <c r="G199" s="217">
        <f t="shared" si="66"/>
        <v>39.3403488088838</v>
      </c>
      <c r="H199" s="209">
        <f t="shared" ref="H199:H216" si="83">N199+T199+W199+Y199+AE199+AF199+AG199+Z199*2</f>
        <v>30617.41326749</v>
      </c>
      <c r="I199" s="215">
        <v>2</v>
      </c>
      <c r="J199" s="209">
        <f t="shared" si="67"/>
        <v>11534.767207</v>
      </c>
      <c r="K199" s="209">
        <f t="shared" si="80"/>
        <v>3142.29219</v>
      </c>
      <c r="L199" s="215">
        <v>2</v>
      </c>
      <c r="M199" s="209">
        <f t="shared" si="68"/>
        <v>1556.54</v>
      </c>
      <c r="N199" s="216">
        <v>12021.934295</v>
      </c>
      <c r="O199" s="217">
        <f t="shared" si="69"/>
        <v>4669.62</v>
      </c>
      <c r="P199" s="217">
        <v>0</v>
      </c>
      <c r="Q199" s="209">
        <f t="shared" si="81"/>
        <v>3949.72589449</v>
      </c>
      <c r="R199" s="209">
        <f t="shared" si="70"/>
        <v>3</v>
      </c>
      <c r="S199" s="209">
        <v>0</v>
      </c>
      <c r="T199" s="216">
        <v>3722.855017</v>
      </c>
      <c r="U199" s="215">
        <v>1</v>
      </c>
      <c r="V199" s="217"/>
      <c r="W199" s="216">
        <v>3142.29219</v>
      </c>
      <c r="X199" s="216">
        <v>0</v>
      </c>
      <c r="Y199" s="217">
        <f t="shared" si="71"/>
        <v>0</v>
      </c>
      <c r="Z199" s="209">
        <f t="shared" si="72"/>
        <v>1369.325581</v>
      </c>
      <c r="AA199" s="216">
        <v>0</v>
      </c>
      <c r="AB199" s="230">
        <v>1369.325581</v>
      </c>
      <c r="AC199" s="216">
        <v>0</v>
      </c>
      <c r="AD199" s="231">
        <v>0</v>
      </c>
      <c r="AE199" s="208">
        <f t="shared" si="73"/>
        <v>807.43370449</v>
      </c>
      <c r="AF199" s="216">
        <v>0</v>
      </c>
      <c r="AG199" s="208">
        <f t="shared" si="74"/>
        <v>8184.246899</v>
      </c>
      <c r="AH199" s="216">
        <v>0</v>
      </c>
      <c r="AI199" s="216">
        <v>0</v>
      </c>
      <c r="AJ199" s="216">
        <v>8184.246899</v>
      </c>
      <c r="AK199" s="217">
        <f t="shared" si="75"/>
        <v>1556.54</v>
      </c>
      <c r="AL199" s="206">
        <f t="shared" si="76"/>
        <v>0</v>
      </c>
      <c r="AM199" s="235">
        <f t="shared" ref="AM199:AM215" si="84">M199*IF(I199=1,0,IF(I199=2,0,IF(I199=3,0,IF(I199=4,0))))/1000</f>
        <v>0</v>
      </c>
      <c r="AN199" s="235">
        <f t="shared" si="77"/>
        <v>0</v>
      </c>
      <c r="AO199" s="209">
        <f t="shared" ref="AO199:AO215" si="85">M199*IF(I199=1,2,IF(I199=2,2,IF(I199=3,1,IF(I199=4,0))))/1000</f>
        <v>3.11308</v>
      </c>
      <c r="AP199" s="209">
        <f t="shared" si="78"/>
        <v>0.09728375</v>
      </c>
      <c r="AQ199" s="209">
        <f t="shared" ref="AQ199:AQ215" si="86">M199/1000/2*IF(I199=1,2,IF(I199=2,2,IF(I199=3,1,IF(I199=4,0))))</f>
        <v>1.55654</v>
      </c>
      <c r="AR199" s="209">
        <f t="shared" si="79"/>
        <v>0.0324279166666667</v>
      </c>
      <c r="AS199" s="209">
        <f t="shared" si="82"/>
        <v>1.55654</v>
      </c>
      <c r="AT199" s="215">
        <v>0</v>
      </c>
      <c r="AU199" s="215" t="s">
        <v>89</v>
      </c>
      <c r="AV199" s="237">
        <f t="shared" ref="AV199:AV215" si="87">AM199*26.99/10000*340</f>
        <v>0</v>
      </c>
      <c r="AW199" s="209"/>
      <c r="AX199" s="209"/>
      <c r="AY199" s="237"/>
      <c r="AZ199" s="217"/>
      <c r="BA199" s="209"/>
      <c r="BB199" s="237"/>
      <c r="BC199" s="237"/>
      <c r="BD199" s="217"/>
      <c r="BE199" s="209"/>
      <c r="BF199" s="217"/>
      <c r="BG199" s="209"/>
      <c r="BH199" s="209"/>
      <c r="BI199" s="209"/>
      <c r="BJ199" s="215"/>
      <c r="BP199" s="242"/>
    </row>
    <row r="200" s="191" customFormat="1" ht="15" customHeight="1" spans="1:68">
      <c r="A200" s="206">
        <v>195</v>
      </c>
      <c r="B200" s="215" t="s">
        <v>91</v>
      </c>
      <c r="C200" s="215" t="s">
        <v>91</v>
      </c>
      <c r="D200" s="215" t="s">
        <v>86</v>
      </c>
      <c r="E200" s="215" t="s">
        <v>135</v>
      </c>
      <c r="F200" s="216">
        <v>434.84</v>
      </c>
      <c r="G200" s="217">
        <f t="shared" ref="G200:G216" si="88">H200/F200</f>
        <v>15.741625280563</v>
      </c>
      <c r="H200" s="209">
        <f t="shared" si="83"/>
        <v>6845.088337</v>
      </c>
      <c r="I200" s="215">
        <v>2</v>
      </c>
      <c r="J200" s="209">
        <f t="shared" ref="J200:J216" si="89">O200+P200+T200+W200+Y200</f>
        <v>2609.04</v>
      </c>
      <c r="K200" s="209">
        <f t="shared" si="80"/>
        <v>0</v>
      </c>
      <c r="L200" s="215">
        <v>2</v>
      </c>
      <c r="M200" s="209">
        <f t="shared" ref="M200:M216" si="90">F200*IF(L200=4,4,IF(L200=6,6,2))</f>
        <v>869.68</v>
      </c>
      <c r="N200" s="216">
        <v>3082.558736</v>
      </c>
      <c r="O200" s="217">
        <f t="shared" ref="O200:O216" si="91">M200*3</f>
        <v>2609.04</v>
      </c>
      <c r="P200" s="217">
        <v>0</v>
      </c>
      <c r="Q200" s="209">
        <f t="shared" si="81"/>
        <v>182.6328</v>
      </c>
      <c r="R200" s="209">
        <f t="shared" ref="R200:R215" si="92">U200*3</f>
        <v>0</v>
      </c>
      <c r="S200" s="209">
        <v>0</v>
      </c>
      <c r="T200" s="216">
        <v>0</v>
      </c>
      <c r="U200" s="215">
        <v>0</v>
      </c>
      <c r="V200" s="217"/>
      <c r="W200" s="216">
        <v>0</v>
      </c>
      <c r="X200" s="216">
        <v>0</v>
      </c>
      <c r="Y200" s="217">
        <f t="shared" ref="Y200:Y215" si="93">X200*2</f>
        <v>0</v>
      </c>
      <c r="Z200" s="209">
        <f t="shared" ref="Z200:Z215" si="94">AA200+AB200+AC200+AD200</f>
        <v>0</v>
      </c>
      <c r="AA200" s="216">
        <v>0</v>
      </c>
      <c r="AB200" s="230">
        <v>0</v>
      </c>
      <c r="AC200" s="216">
        <v>0</v>
      </c>
      <c r="AD200" s="231">
        <v>0</v>
      </c>
      <c r="AE200" s="208">
        <f t="shared" ref="AE200:AE215" si="95">J200*IF(I200=1,0.08,IF(I200=2,0.07,IF(I200=3,0.06)))</f>
        <v>182.6328</v>
      </c>
      <c r="AF200" s="216">
        <v>0</v>
      </c>
      <c r="AG200" s="208">
        <f t="shared" ref="AG200:AG215" si="96">AH200+AI200+AJ200</f>
        <v>3579.896801</v>
      </c>
      <c r="AH200" s="216">
        <v>0</v>
      </c>
      <c r="AI200" s="216">
        <v>0</v>
      </c>
      <c r="AJ200" s="216">
        <v>3579.896801</v>
      </c>
      <c r="AK200" s="217">
        <f t="shared" ref="AK200:AK215" si="97">F200*2</f>
        <v>869.68</v>
      </c>
      <c r="AL200" s="206">
        <f t="shared" ref="AL200:AL215" si="98">AM200/M200*1000</f>
        <v>0</v>
      </c>
      <c r="AM200" s="235">
        <f t="shared" si="84"/>
        <v>0</v>
      </c>
      <c r="AN200" s="235">
        <f t="shared" ref="AN200:AN215" si="99">AM200/60</f>
        <v>0</v>
      </c>
      <c r="AO200" s="209">
        <f t="shared" si="85"/>
        <v>1.73936</v>
      </c>
      <c r="AP200" s="209">
        <f t="shared" ref="AP200:AP215" si="100">AO200/32</f>
        <v>0.054355</v>
      </c>
      <c r="AQ200" s="209">
        <f t="shared" si="86"/>
        <v>0.86968</v>
      </c>
      <c r="AR200" s="209">
        <f t="shared" ref="AR200:AR215" si="101">AQ200/48</f>
        <v>0.0181183333333333</v>
      </c>
      <c r="AS200" s="209">
        <f t="shared" si="82"/>
        <v>0</v>
      </c>
      <c r="AT200" s="215">
        <v>0</v>
      </c>
      <c r="AU200" s="215"/>
      <c r="AV200" s="237">
        <f t="shared" si="87"/>
        <v>0</v>
      </c>
      <c r="AW200" s="209"/>
      <c r="AX200" s="209"/>
      <c r="AY200" s="237"/>
      <c r="AZ200" s="217"/>
      <c r="BA200" s="209"/>
      <c r="BB200" s="237"/>
      <c r="BC200" s="237"/>
      <c r="BD200" s="217"/>
      <c r="BE200" s="209"/>
      <c r="BF200" s="217"/>
      <c r="BG200" s="209"/>
      <c r="BH200" s="209"/>
      <c r="BI200" s="209"/>
      <c r="BJ200" s="215"/>
      <c r="BP200" s="242"/>
    </row>
    <row r="201" s="191" customFormat="1" ht="15" customHeight="1" spans="1:68">
      <c r="A201" s="206">
        <v>196</v>
      </c>
      <c r="B201" s="215" t="s">
        <v>91</v>
      </c>
      <c r="C201" s="215" t="s">
        <v>91</v>
      </c>
      <c r="D201" s="215" t="s">
        <v>114</v>
      </c>
      <c r="E201" s="215" t="s">
        <v>86</v>
      </c>
      <c r="F201" s="216">
        <v>554.21</v>
      </c>
      <c r="G201" s="217">
        <f t="shared" si="88"/>
        <v>45.7382474082568</v>
      </c>
      <c r="H201" s="209">
        <f t="shared" si="83"/>
        <v>25348.59409613</v>
      </c>
      <c r="I201" s="215">
        <v>2</v>
      </c>
      <c r="J201" s="209">
        <f t="shared" si="89"/>
        <v>7954.134159</v>
      </c>
      <c r="K201" s="209">
        <f t="shared" ref="K201:K215" si="102">P201+S201+W201+Y201</f>
        <v>2042.921953</v>
      </c>
      <c r="L201" s="215">
        <v>2</v>
      </c>
      <c r="M201" s="209">
        <f t="shared" si="90"/>
        <v>1108.42</v>
      </c>
      <c r="N201" s="216">
        <v>9071.210095</v>
      </c>
      <c r="O201" s="217">
        <f t="shared" si="91"/>
        <v>3325.26</v>
      </c>
      <c r="P201" s="217">
        <v>0</v>
      </c>
      <c r="Q201" s="209">
        <f t="shared" ref="Q201:Q216" si="103">P201+S201+W201+Y201+AE201</f>
        <v>2599.71134413</v>
      </c>
      <c r="R201" s="209">
        <f t="shared" si="92"/>
        <v>3</v>
      </c>
      <c r="S201" s="209">
        <v>0</v>
      </c>
      <c r="T201" s="216">
        <v>2585.952206</v>
      </c>
      <c r="U201" s="215">
        <v>1</v>
      </c>
      <c r="V201" s="217"/>
      <c r="W201" s="216">
        <v>2042.921953</v>
      </c>
      <c r="X201" s="216">
        <v>0</v>
      </c>
      <c r="Y201" s="217">
        <f t="shared" si="93"/>
        <v>0</v>
      </c>
      <c r="Z201" s="209">
        <f t="shared" si="94"/>
        <v>988.455278</v>
      </c>
      <c r="AA201" s="216">
        <v>0</v>
      </c>
      <c r="AB201" s="230">
        <v>927.289871</v>
      </c>
      <c r="AC201" s="216">
        <v>0</v>
      </c>
      <c r="AD201" s="231">
        <v>61.165407</v>
      </c>
      <c r="AE201" s="208">
        <f t="shared" si="95"/>
        <v>556.78939113</v>
      </c>
      <c r="AF201" s="216">
        <v>23.681222</v>
      </c>
      <c r="AG201" s="208">
        <f t="shared" si="96"/>
        <v>9091.128673</v>
      </c>
      <c r="AH201" s="216">
        <v>0</v>
      </c>
      <c r="AI201" s="216">
        <v>0</v>
      </c>
      <c r="AJ201" s="216">
        <v>9091.128673</v>
      </c>
      <c r="AK201" s="217">
        <f t="shared" si="97"/>
        <v>1108.42</v>
      </c>
      <c r="AL201" s="206">
        <f t="shared" si="98"/>
        <v>0</v>
      </c>
      <c r="AM201" s="235">
        <f t="shared" si="84"/>
        <v>0</v>
      </c>
      <c r="AN201" s="235">
        <f t="shared" si="99"/>
        <v>0</v>
      </c>
      <c r="AO201" s="209">
        <f t="shared" si="85"/>
        <v>2.21684</v>
      </c>
      <c r="AP201" s="209">
        <f t="shared" si="100"/>
        <v>0.06927625</v>
      </c>
      <c r="AQ201" s="209">
        <f t="shared" si="86"/>
        <v>1.10842</v>
      </c>
      <c r="AR201" s="209">
        <f t="shared" si="101"/>
        <v>0.0230920833333333</v>
      </c>
      <c r="AS201" s="209">
        <f t="shared" ref="AS201:AS216" si="104">F201*U201/1000*2</f>
        <v>1.10842</v>
      </c>
      <c r="AT201" s="215">
        <v>0</v>
      </c>
      <c r="AU201" s="215"/>
      <c r="AV201" s="237">
        <f t="shared" si="87"/>
        <v>0</v>
      </c>
      <c r="AW201" s="209"/>
      <c r="AX201" s="209"/>
      <c r="AY201" s="237"/>
      <c r="AZ201" s="217"/>
      <c r="BA201" s="209"/>
      <c r="BB201" s="237"/>
      <c r="BC201" s="237"/>
      <c r="BD201" s="217"/>
      <c r="BE201" s="209"/>
      <c r="BF201" s="217"/>
      <c r="BG201" s="209"/>
      <c r="BH201" s="209"/>
      <c r="BI201" s="209"/>
      <c r="BJ201" s="215"/>
      <c r="BP201" s="242"/>
    </row>
    <row r="202" s="191" customFormat="1" ht="15" customHeight="1" spans="1:68">
      <c r="A202" s="214">
        <v>197</v>
      </c>
      <c r="B202" s="215" t="s">
        <v>91</v>
      </c>
      <c r="C202" s="215" t="s">
        <v>271</v>
      </c>
      <c r="D202" s="215"/>
      <c r="E202" s="215"/>
      <c r="F202" s="216">
        <v>39.95</v>
      </c>
      <c r="G202" s="217">
        <f t="shared" si="88"/>
        <v>34.9372045807259</v>
      </c>
      <c r="H202" s="209">
        <f t="shared" si="83"/>
        <v>1395.741323</v>
      </c>
      <c r="I202" s="215">
        <v>2</v>
      </c>
      <c r="J202" s="209">
        <f t="shared" si="89"/>
        <v>239.7</v>
      </c>
      <c r="K202" s="209">
        <f t="shared" si="102"/>
        <v>0</v>
      </c>
      <c r="L202" s="215">
        <v>0</v>
      </c>
      <c r="M202" s="209">
        <f t="shared" si="90"/>
        <v>79.9</v>
      </c>
      <c r="N202" s="216">
        <v>1378.962323</v>
      </c>
      <c r="O202" s="217">
        <f t="shared" si="91"/>
        <v>239.7</v>
      </c>
      <c r="P202" s="217">
        <v>0</v>
      </c>
      <c r="Q202" s="209">
        <f t="shared" si="103"/>
        <v>16.779</v>
      </c>
      <c r="R202" s="209">
        <f t="shared" si="92"/>
        <v>0</v>
      </c>
      <c r="S202" s="209">
        <v>0</v>
      </c>
      <c r="T202" s="216">
        <v>0</v>
      </c>
      <c r="U202" s="215">
        <v>0</v>
      </c>
      <c r="V202" s="217"/>
      <c r="W202" s="216">
        <v>0</v>
      </c>
      <c r="X202" s="216">
        <v>0</v>
      </c>
      <c r="Y202" s="217">
        <f t="shared" si="93"/>
        <v>0</v>
      </c>
      <c r="Z202" s="209">
        <f t="shared" si="94"/>
        <v>0</v>
      </c>
      <c r="AA202" s="216">
        <v>0</v>
      </c>
      <c r="AB202" s="230">
        <v>0</v>
      </c>
      <c r="AC202" s="216">
        <v>0</v>
      </c>
      <c r="AD202" s="231">
        <v>0</v>
      </c>
      <c r="AE202" s="208">
        <f t="shared" si="95"/>
        <v>16.779</v>
      </c>
      <c r="AF202" s="216">
        <v>0</v>
      </c>
      <c r="AG202" s="208">
        <f t="shared" si="96"/>
        <v>0</v>
      </c>
      <c r="AH202" s="216">
        <v>0</v>
      </c>
      <c r="AI202" s="216">
        <v>0</v>
      </c>
      <c r="AJ202" s="216">
        <v>0</v>
      </c>
      <c r="AK202" s="217">
        <f t="shared" si="97"/>
        <v>79.9</v>
      </c>
      <c r="AL202" s="206">
        <f t="shared" si="98"/>
        <v>0</v>
      </c>
      <c r="AM202" s="235">
        <f t="shared" si="84"/>
        <v>0</v>
      </c>
      <c r="AN202" s="235">
        <f t="shared" si="99"/>
        <v>0</v>
      </c>
      <c r="AO202" s="209">
        <f t="shared" si="85"/>
        <v>0.1598</v>
      </c>
      <c r="AP202" s="209">
        <f t="shared" si="100"/>
        <v>0.00499375</v>
      </c>
      <c r="AQ202" s="209">
        <f t="shared" si="86"/>
        <v>0.0799</v>
      </c>
      <c r="AR202" s="209">
        <f t="shared" si="101"/>
        <v>0.00166458333333333</v>
      </c>
      <c r="AS202" s="209">
        <f t="shared" si="104"/>
        <v>0</v>
      </c>
      <c r="AT202" s="215">
        <v>0</v>
      </c>
      <c r="AU202" s="215" t="s">
        <v>89</v>
      </c>
      <c r="AV202" s="237">
        <f t="shared" si="87"/>
        <v>0</v>
      </c>
      <c r="AW202" s="209"/>
      <c r="AX202" s="209"/>
      <c r="AY202" s="237"/>
      <c r="AZ202" s="217"/>
      <c r="BA202" s="209"/>
      <c r="BB202" s="237"/>
      <c r="BC202" s="237"/>
      <c r="BD202" s="217"/>
      <c r="BE202" s="209"/>
      <c r="BF202" s="217"/>
      <c r="BG202" s="209"/>
      <c r="BH202" s="209"/>
      <c r="BI202" s="209"/>
      <c r="BJ202" s="215"/>
      <c r="BP202" s="242"/>
    </row>
    <row r="203" s="191" customFormat="1" ht="15" customHeight="1" spans="1:68">
      <c r="A203" s="206">
        <v>198</v>
      </c>
      <c r="B203" s="215" t="s">
        <v>91</v>
      </c>
      <c r="C203" s="215" t="s">
        <v>272</v>
      </c>
      <c r="D203" s="215"/>
      <c r="E203" s="215"/>
      <c r="F203" s="216">
        <v>41.17</v>
      </c>
      <c r="G203" s="217">
        <f t="shared" si="88"/>
        <v>30.6096181442798</v>
      </c>
      <c r="H203" s="209">
        <f t="shared" si="83"/>
        <v>1260.197979</v>
      </c>
      <c r="I203" s="215">
        <v>2</v>
      </c>
      <c r="J203" s="209">
        <f t="shared" si="89"/>
        <v>247.02</v>
      </c>
      <c r="K203" s="209">
        <f t="shared" si="102"/>
        <v>0</v>
      </c>
      <c r="L203" s="215">
        <v>0</v>
      </c>
      <c r="M203" s="209">
        <f t="shared" si="90"/>
        <v>82.34</v>
      </c>
      <c r="N203" s="216">
        <v>1242.906579</v>
      </c>
      <c r="O203" s="217">
        <f t="shared" si="91"/>
        <v>247.02</v>
      </c>
      <c r="P203" s="217">
        <v>0</v>
      </c>
      <c r="Q203" s="209">
        <f t="shared" si="103"/>
        <v>17.2914</v>
      </c>
      <c r="R203" s="209">
        <f t="shared" si="92"/>
        <v>0</v>
      </c>
      <c r="S203" s="209">
        <v>0</v>
      </c>
      <c r="T203" s="216">
        <v>0</v>
      </c>
      <c r="U203" s="215">
        <v>0</v>
      </c>
      <c r="V203" s="217"/>
      <c r="W203" s="216">
        <v>0</v>
      </c>
      <c r="X203" s="216">
        <v>0</v>
      </c>
      <c r="Y203" s="217">
        <f t="shared" si="93"/>
        <v>0</v>
      </c>
      <c r="Z203" s="209">
        <f t="shared" si="94"/>
        <v>0</v>
      </c>
      <c r="AA203" s="216">
        <v>0</v>
      </c>
      <c r="AB203" s="230">
        <v>0</v>
      </c>
      <c r="AC203" s="216">
        <v>0</v>
      </c>
      <c r="AD203" s="231">
        <v>0</v>
      </c>
      <c r="AE203" s="208">
        <f t="shared" si="95"/>
        <v>17.2914</v>
      </c>
      <c r="AF203" s="216">
        <v>0</v>
      </c>
      <c r="AG203" s="208">
        <f t="shared" si="96"/>
        <v>0</v>
      </c>
      <c r="AH203" s="216">
        <v>0</v>
      </c>
      <c r="AI203" s="216">
        <v>0</v>
      </c>
      <c r="AJ203" s="216">
        <v>0</v>
      </c>
      <c r="AK203" s="217">
        <f t="shared" si="97"/>
        <v>82.34</v>
      </c>
      <c r="AL203" s="206">
        <f t="shared" si="98"/>
        <v>0</v>
      </c>
      <c r="AM203" s="235">
        <f t="shared" si="84"/>
        <v>0</v>
      </c>
      <c r="AN203" s="235">
        <f t="shared" si="99"/>
        <v>0</v>
      </c>
      <c r="AO203" s="209">
        <f t="shared" si="85"/>
        <v>0.16468</v>
      </c>
      <c r="AP203" s="209">
        <f t="shared" si="100"/>
        <v>0.00514625</v>
      </c>
      <c r="AQ203" s="209">
        <f t="shared" si="86"/>
        <v>0.08234</v>
      </c>
      <c r="AR203" s="209">
        <f t="shared" si="101"/>
        <v>0.00171541666666667</v>
      </c>
      <c r="AS203" s="209">
        <f t="shared" si="104"/>
        <v>0</v>
      </c>
      <c r="AT203" s="215">
        <v>0</v>
      </c>
      <c r="AU203" s="215" t="s">
        <v>89</v>
      </c>
      <c r="AV203" s="237">
        <f t="shared" si="87"/>
        <v>0</v>
      </c>
      <c r="AW203" s="209"/>
      <c r="AX203" s="209"/>
      <c r="AY203" s="237"/>
      <c r="AZ203" s="217"/>
      <c r="BA203" s="209"/>
      <c r="BB203" s="237"/>
      <c r="BC203" s="237"/>
      <c r="BD203" s="217"/>
      <c r="BE203" s="209"/>
      <c r="BF203" s="217"/>
      <c r="BG203" s="209"/>
      <c r="BH203" s="209"/>
      <c r="BI203" s="209"/>
      <c r="BJ203" s="215"/>
      <c r="BP203" s="242"/>
    </row>
    <row r="204" s="189" customFormat="1" ht="15" customHeight="1" spans="1:68">
      <c r="A204" s="206">
        <v>199</v>
      </c>
      <c r="B204" s="207" t="s">
        <v>273</v>
      </c>
      <c r="C204" s="207" t="s">
        <v>273</v>
      </c>
      <c r="D204" s="207" t="s">
        <v>91</v>
      </c>
      <c r="E204" s="207" t="s">
        <v>203</v>
      </c>
      <c r="F204" s="208">
        <v>215.91</v>
      </c>
      <c r="G204" s="209">
        <f t="shared" si="88"/>
        <v>15.9617294242972</v>
      </c>
      <c r="H204" s="209">
        <f t="shared" si="83"/>
        <v>3446.297</v>
      </c>
      <c r="I204" s="226">
        <v>3</v>
      </c>
      <c r="J204" s="209">
        <f t="shared" si="89"/>
        <v>1295.46</v>
      </c>
      <c r="K204" s="209">
        <f t="shared" si="102"/>
        <v>0</v>
      </c>
      <c r="L204" s="207">
        <v>2</v>
      </c>
      <c r="M204" s="209">
        <f t="shared" si="90"/>
        <v>431.82</v>
      </c>
      <c r="N204" s="208">
        <v>1884.956165</v>
      </c>
      <c r="O204" s="209">
        <f t="shared" si="91"/>
        <v>1295.46</v>
      </c>
      <c r="P204" s="209">
        <v>0</v>
      </c>
      <c r="Q204" s="209">
        <f t="shared" si="103"/>
        <v>77.7276</v>
      </c>
      <c r="R204" s="209">
        <f t="shared" si="92"/>
        <v>0</v>
      </c>
      <c r="S204" s="209">
        <v>0</v>
      </c>
      <c r="T204" s="208">
        <v>0</v>
      </c>
      <c r="U204" s="207">
        <v>0</v>
      </c>
      <c r="V204" s="209"/>
      <c r="W204" s="208">
        <v>0</v>
      </c>
      <c r="X204" s="208">
        <v>0</v>
      </c>
      <c r="Y204" s="209">
        <f t="shared" si="93"/>
        <v>0</v>
      </c>
      <c r="Z204" s="209">
        <f t="shared" si="94"/>
        <v>0</v>
      </c>
      <c r="AA204" s="208">
        <v>0</v>
      </c>
      <c r="AB204" s="228">
        <v>0</v>
      </c>
      <c r="AC204" s="208">
        <v>0</v>
      </c>
      <c r="AD204" s="229">
        <v>0</v>
      </c>
      <c r="AE204" s="208">
        <f t="shared" si="95"/>
        <v>77.7276</v>
      </c>
      <c r="AF204" s="208">
        <v>0</v>
      </c>
      <c r="AG204" s="208">
        <f t="shared" si="96"/>
        <v>1483.613235</v>
      </c>
      <c r="AH204" s="208">
        <v>0</v>
      </c>
      <c r="AI204" s="208">
        <v>0</v>
      </c>
      <c r="AJ204" s="208">
        <v>1483.613235</v>
      </c>
      <c r="AK204" s="209">
        <f t="shared" si="97"/>
        <v>431.82</v>
      </c>
      <c r="AL204" s="206">
        <f t="shared" si="98"/>
        <v>0</v>
      </c>
      <c r="AM204" s="235">
        <f t="shared" si="84"/>
        <v>0</v>
      </c>
      <c r="AN204" s="235">
        <f t="shared" si="99"/>
        <v>0</v>
      </c>
      <c r="AO204" s="209">
        <f t="shared" si="85"/>
        <v>0.43182</v>
      </c>
      <c r="AP204" s="209">
        <f t="shared" si="100"/>
        <v>0.013494375</v>
      </c>
      <c r="AQ204" s="209">
        <f t="shared" si="86"/>
        <v>0.21591</v>
      </c>
      <c r="AR204" s="209">
        <f t="shared" si="101"/>
        <v>0.004498125</v>
      </c>
      <c r="AS204" s="209">
        <f t="shared" si="104"/>
        <v>0</v>
      </c>
      <c r="AT204" s="207">
        <v>0</v>
      </c>
      <c r="AU204" s="207"/>
      <c r="AV204" s="237">
        <f t="shared" si="87"/>
        <v>0</v>
      </c>
      <c r="AW204" s="209"/>
      <c r="AX204" s="209"/>
      <c r="AY204" s="237"/>
      <c r="AZ204" s="237"/>
      <c r="BA204" s="209"/>
      <c r="BB204" s="237"/>
      <c r="BC204" s="237"/>
      <c r="BD204" s="209"/>
      <c r="BE204" s="209"/>
      <c r="BF204" s="209"/>
      <c r="BG204" s="209"/>
      <c r="BH204" s="209"/>
      <c r="BI204" s="209"/>
      <c r="BJ204" s="207"/>
      <c r="BP204" s="240"/>
    </row>
    <row r="205" s="191" customFormat="1" ht="15" customHeight="1" spans="1:68">
      <c r="A205" s="214">
        <v>200</v>
      </c>
      <c r="B205" s="215" t="s">
        <v>204</v>
      </c>
      <c r="C205" s="215" t="s">
        <v>204</v>
      </c>
      <c r="D205" s="215" t="s">
        <v>274</v>
      </c>
      <c r="E205" s="215" t="s">
        <v>91</v>
      </c>
      <c r="F205" s="216">
        <v>155.43</v>
      </c>
      <c r="G205" s="217">
        <f t="shared" si="88"/>
        <v>18.2558121074439</v>
      </c>
      <c r="H205" s="209">
        <f t="shared" si="83"/>
        <v>2837.50087586</v>
      </c>
      <c r="I205" s="215">
        <v>2</v>
      </c>
      <c r="J205" s="209">
        <f t="shared" si="89"/>
        <v>1252.647598</v>
      </c>
      <c r="K205" s="209">
        <f t="shared" si="102"/>
        <v>320.067598</v>
      </c>
      <c r="L205" s="215">
        <v>2</v>
      </c>
      <c r="M205" s="209">
        <f t="shared" si="90"/>
        <v>310.86</v>
      </c>
      <c r="N205" s="216">
        <v>1342.697052</v>
      </c>
      <c r="O205" s="217">
        <f t="shared" si="91"/>
        <v>932.58</v>
      </c>
      <c r="P205" s="217">
        <v>0</v>
      </c>
      <c r="Q205" s="209">
        <f t="shared" si="103"/>
        <v>407.75292986</v>
      </c>
      <c r="R205" s="209">
        <f t="shared" si="92"/>
        <v>0</v>
      </c>
      <c r="S205" s="209">
        <v>0</v>
      </c>
      <c r="T205" s="216">
        <v>0</v>
      </c>
      <c r="U205" s="215">
        <v>0</v>
      </c>
      <c r="V205" s="217"/>
      <c r="W205" s="216">
        <v>320.067598</v>
      </c>
      <c r="X205" s="216">
        <v>0</v>
      </c>
      <c r="Y205" s="217">
        <f t="shared" si="93"/>
        <v>0</v>
      </c>
      <c r="Z205" s="209">
        <f t="shared" si="94"/>
        <v>13.236174</v>
      </c>
      <c r="AA205" s="216">
        <v>0</v>
      </c>
      <c r="AB205" s="230">
        <v>0</v>
      </c>
      <c r="AC205" s="216">
        <v>0</v>
      </c>
      <c r="AD205" s="231">
        <v>13.236174</v>
      </c>
      <c r="AE205" s="208">
        <f t="shared" si="95"/>
        <v>87.68533186</v>
      </c>
      <c r="AF205" s="216">
        <v>0</v>
      </c>
      <c r="AG205" s="208">
        <f t="shared" si="96"/>
        <v>1060.578546</v>
      </c>
      <c r="AH205" s="216">
        <v>0</v>
      </c>
      <c r="AI205" s="216">
        <v>0</v>
      </c>
      <c r="AJ205" s="216">
        <v>1060.578546</v>
      </c>
      <c r="AK205" s="217">
        <f t="shared" si="97"/>
        <v>310.86</v>
      </c>
      <c r="AL205" s="206">
        <f t="shared" si="98"/>
        <v>0</v>
      </c>
      <c r="AM205" s="235">
        <f t="shared" si="84"/>
        <v>0</v>
      </c>
      <c r="AN205" s="235">
        <f t="shared" si="99"/>
        <v>0</v>
      </c>
      <c r="AO205" s="209">
        <f t="shared" si="85"/>
        <v>0.62172</v>
      </c>
      <c r="AP205" s="209">
        <f t="shared" si="100"/>
        <v>0.01942875</v>
      </c>
      <c r="AQ205" s="209">
        <f t="shared" si="86"/>
        <v>0.31086</v>
      </c>
      <c r="AR205" s="209">
        <f t="shared" si="101"/>
        <v>0.00647625</v>
      </c>
      <c r="AS205" s="209">
        <f t="shared" si="104"/>
        <v>0</v>
      </c>
      <c r="AT205" s="215">
        <v>0</v>
      </c>
      <c r="AU205" s="215"/>
      <c r="AV205" s="237">
        <f t="shared" si="87"/>
        <v>0</v>
      </c>
      <c r="AW205" s="209"/>
      <c r="AX205" s="209"/>
      <c r="AY205" s="237"/>
      <c r="AZ205" s="217"/>
      <c r="BA205" s="209"/>
      <c r="BB205" s="237"/>
      <c r="BC205" s="237"/>
      <c r="BD205" s="217"/>
      <c r="BE205" s="209"/>
      <c r="BF205" s="217"/>
      <c r="BG205" s="209"/>
      <c r="BH205" s="209"/>
      <c r="BI205" s="209"/>
      <c r="BJ205" s="215"/>
      <c r="BP205" s="242"/>
    </row>
    <row r="206" s="191" customFormat="1" ht="15" customHeight="1" spans="1:68">
      <c r="A206" s="206">
        <v>201</v>
      </c>
      <c r="B206" s="215" t="s">
        <v>204</v>
      </c>
      <c r="C206" s="215" t="s">
        <v>204</v>
      </c>
      <c r="D206" s="215" t="s">
        <v>91</v>
      </c>
      <c r="E206" s="215" t="s">
        <v>138</v>
      </c>
      <c r="F206" s="216">
        <v>545.15</v>
      </c>
      <c r="G206" s="217">
        <f t="shared" si="88"/>
        <v>18.498815510997</v>
      </c>
      <c r="H206" s="209">
        <f t="shared" si="83"/>
        <v>10084.62927582</v>
      </c>
      <c r="I206" s="215">
        <v>2</v>
      </c>
      <c r="J206" s="209">
        <f t="shared" si="89"/>
        <v>5226.607626</v>
      </c>
      <c r="K206" s="209">
        <f t="shared" si="102"/>
        <v>1955.707626</v>
      </c>
      <c r="L206" s="215">
        <v>2</v>
      </c>
      <c r="M206" s="209">
        <f t="shared" si="90"/>
        <v>1090.3</v>
      </c>
      <c r="N206" s="216">
        <v>4894.715756</v>
      </c>
      <c r="O206" s="217">
        <f t="shared" si="91"/>
        <v>3270.9</v>
      </c>
      <c r="P206" s="217">
        <v>0</v>
      </c>
      <c r="Q206" s="209">
        <f t="shared" si="103"/>
        <v>2321.57015982</v>
      </c>
      <c r="R206" s="209">
        <f t="shared" si="92"/>
        <v>0</v>
      </c>
      <c r="S206" s="209">
        <v>0</v>
      </c>
      <c r="T206" s="216">
        <v>0</v>
      </c>
      <c r="U206" s="215">
        <v>0</v>
      </c>
      <c r="V206" s="217"/>
      <c r="W206" s="216">
        <v>1955.707626</v>
      </c>
      <c r="X206" s="216">
        <v>0</v>
      </c>
      <c r="Y206" s="217">
        <f t="shared" si="93"/>
        <v>0</v>
      </c>
      <c r="Z206" s="209">
        <f t="shared" si="94"/>
        <v>0</v>
      </c>
      <c r="AA206" s="216">
        <v>0</v>
      </c>
      <c r="AB206" s="230">
        <v>0</v>
      </c>
      <c r="AC206" s="216">
        <v>0</v>
      </c>
      <c r="AD206" s="231">
        <v>0</v>
      </c>
      <c r="AE206" s="208">
        <f t="shared" si="95"/>
        <v>365.86253382</v>
      </c>
      <c r="AF206" s="216">
        <v>0</v>
      </c>
      <c r="AG206" s="208">
        <f t="shared" si="96"/>
        <v>2868.34336</v>
      </c>
      <c r="AH206" s="216">
        <v>0</v>
      </c>
      <c r="AI206" s="216">
        <v>0</v>
      </c>
      <c r="AJ206" s="216">
        <v>2868.34336</v>
      </c>
      <c r="AK206" s="217">
        <f t="shared" si="97"/>
        <v>1090.3</v>
      </c>
      <c r="AL206" s="206">
        <f t="shared" si="98"/>
        <v>0</v>
      </c>
      <c r="AM206" s="235">
        <f t="shared" si="84"/>
        <v>0</v>
      </c>
      <c r="AN206" s="235">
        <f t="shared" si="99"/>
        <v>0</v>
      </c>
      <c r="AO206" s="209">
        <f t="shared" si="85"/>
        <v>2.1806</v>
      </c>
      <c r="AP206" s="209">
        <f t="shared" si="100"/>
        <v>0.06814375</v>
      </c>
      <c r="AQ206" s="209">
        <f t="shared" si="86"/>
        <v>1.0903</v>
      </c>
      <c r="AR206" s="209">
        <f t="shared" si="101"/>
        <v>0.0227145833333333</v>
      </c>
      <c r="AS206" s="209">
        <f t="shared" si="104"/>
        <v>0</v>
      </c>
      <c r="AT206" s="215">
        <v>0</v>
      </c>
      <c r="AU206" s="215"/>
      <c r="AV206" s="237">
        <f t="shared" si="87"/>
        <v>0</v>
      </c>
      <c r="AW206" s="209"/>
      <c r="AX206" s="209"/>
      <c r="AY206" s="237"/>
      <c r="AZ206" s="217"/>
      <c r="BA206" s="209"/>
      <c r="BB206" s="237"/>
      <c r="BC206" s="237"/>
      <c r="BD206" s="217"/>
      <c r="BE206" s="209"/>
      <c r="BF206" s="217"/>
      <c r="BG206" s="209"/>
      <c r="BH206" s="209"/>
      <c r="BI206" s="209"/>
      <c r="BJ206" s="215"/>
      <c r="BP206" s="242"/>
    </row>
    <row r="207" s="191" customFormat="1" ht="15" customHeight="1" spans="1:68">
      <c r="A207" s="206">
        <v>202</v>
      </c>
      <c r="B207" s="215" t="s">
        <v>204</v>
      </c>
      <c r="C207" s="215" t="s">
        <v>275</v>
      </c>
      <c r="D207" s="215"/>
      <c r="E207" s="215"/>
      <c r="F207" s="216">
        <v>16.78</v>
      </c>
      <c r="G207" s="217">
        <f t="shared" si="88"/>
        <v>13.0387773539928</v>
      </c>
      <c r="H207" s="209">
        <f t="shared" si="83"/>
        <v>218.790684</v>
      </c>
      <c r="I207" s="215">
        <v>2</v>
      </c>
      <c r="J207" s="209">
        <f t="shared" si="89"/>
        <v>100.68</v>
      </c>
      <c r="K207" s="209">
        <f t="shared" si="102"/>
        <v>0</v>
      </c>
      <c r="L207" s="215">
        <v>0</v>
      </c>
      <c r="M207" s="209">
        <f t="shared" si="90"/>
        <v>33.56</v>
      </c>
      <c r="N207" s="216">
        <v>211.743084</v>
      </c>
      <c r="O207" s="217">
        <f t="shared" si="91"/>
        <v>100.68</v>
      </c>
      <c r="P207" s="217">
        <v>0</v>
      </c>
      <c r="Q207" s="209">
        <f t="shared" si="103"/>
        <v>7.0476</v>
      </c>
      <c r="R207" s="209">
        <f t="shared" si="92"/>
        <v>0</v>
      </c>
      <c r="S207" s="209">
        <v>0</v>
      </c>
      <c r="T207" s="216">
        <v>0</v>
      </c>
      <c r="U207" s="215">
        <v>0</v>
      </c>
      <c r="V207" s="217"/>
      <c r="W207" s="216">
        <v>0</v>
      </c>
      <c r="X207" s="216">
        <v>0</v>
      </c>
      <c r="Y207" s="217">
        <f t="shared" si="93"/>
        <v>0</v>
      </c>
      <c r="Z207" s="209">
        <f t="shared" si="94"/>
        <v>0</v>
      </c>
      <c r="AA207" s="216">
        <v>0</v>
      </c>
      <c r="AB207" s="230">
        <v>0</v>
      </c>
      <c r="AC207" s="216">
        <v>0</v>
      </c>
      <c r="AD207" s="231">
        <v>0</v>
      </c>
      <c r="AE207" s="208">
        <f t="shared" si="95"/>
        <v>7.0476</v>
      </c>
      <c r="AF207" s="216">
        <v>0</v>
      </c>
      <c r="AG207" s="208">
        <f t="shared" si="96"/>
        <v>0</v>
      </c>
      <c r="AH207" s="216">
        <v>0</v>
      </c>
      <c r="AI207" s="216">
        <v>0</v>
      </c>
      <c r="AJ207" s="216">
        <v>0</v>
      </c>
      <c r="AK207" s="217">
        <f t="shared" si="97"/>
        <v>33.56</v>
      </c>
      <c r="AL207" s="206">
        <f t="shared" si="98"/>
        <v>0</v>
      </c>
      <c r="AM207" s="235">
        <f t="shared" si="84"/>
        <v>0</v>
      </c>
      <c r="AN207" s="235">
        <f t="shared" si="99"/>
        <v>0</v>
      </c>
      <c r="AO207" s="209">
        <f t="shared" si="85"/>
        <v>0.06712</v>
      </c>
      <c r="AP207" s="209">
        <f t="shared" si="100"/>
        <v>0.0020975</v>
      </c>
      <c r="AQ207" s="209">
        <f t="shared" si="86"/>
        <v>0.03356</v>
      </c>
      <c r="AR207" s="209">
        <f t="shared" si="101"/>
        <v>0.000699166666666667</v>
      </c>
      <c r="AS207" s="209">
        <f t="shared" si="104"/>
        <v>0</v>
      </c>
      <c r="AT207" s="215">
        <v>0</v>
      </c>
      <c r="AU207" s="215"/>
      <c r="AV207" s="237">
        <f t="shared" si="87"/>
        <v>0</v>
      </c>
      <c r="AW207" s="209"/>
      <c r="AX207" s="209"/>
      <c r="AY207" s="237"/>
      <c r="AZ207" s="217"/>
      <c r="BA207" s="209"/>
      <c r="BB207" s="237"/>
      <c r="BC207" s="237"/>
      <c r="BD207" s="217"/>
      <c r="BE207" s="209"/>
      <c r="BF207" s="217"/>
      <c r="BG207" s="209"/>
      <c r="BH207" s="209"/>
      <c r="BI207" s="209"/>
      <c r="BJ207" s="215"/>
      <c r="BP207" s="242"/>
    </row>
    <row r="208" s="191" customFormat="1" ht="15" customHeight="1" spans="1:68">
      <c r="A208" s="214">
        <v>203</v>
      </c>
      <c r="B208" s="215" t="s">
        <v>204</v>
      </c>
      <c r="C208" s="215" t="s">
        <v>276</v>
      </c>
      <c r="D208" s="215"/>
      <c r="E208" s="215"/>
      <c r="F208" s="216">
        <v>32.25</v>
      </c>
      <c r="G208" s="217">
        <f t="shared" si="88"/>
        <v>13.5813537054264</v>
      </c>
      <c r="H208" s="209">
        <f t="shared" si="83"/>
        <v>437.998657</v>
      </c>
      <c r="I208" s="215">
        <v>2</v>
      </c>
      <c r="J208" s="209">
        <f t="shared" si="89"/>
        <v>193.5</v>
      </c>
      <c r="K208" s="209">
        <f t="shared" si="102"/>
        <v>0</v>
      </c>
      <c r="L208" s="215">
        <v>0</v>
      </c>
      <c r="M208" s="209">
        <f t="shared" si="90"/>
        <v>64.5</v>
      </c>
      <c r="N208" s="216">
        <v>424.453657</v>
      </c>
      <c r="O208" s="217">
        <f t="shared" si="91"/>
        <v>193.5</v>
      </c>
      <c r="P208" s="217">
        <v>0</v>
      </c>
      <c r="Q208" s="209">
        <f t="shared" si="103"/>
        <v>13.545</v>
      </c>
      <c r="R208" s="209">
        <f t="shared" si="92"/>
        <v>0</v>
      </c>
      <c r="S208" s="209">
        <v>0</v>
      </c>
      <c r="T208" s="216">
        <v>0</v>
      </c>
      <c r="U208" s="215">
        <v>0</v>
      </c>
      <c r="V208" s="217"/>
      <c r="W208" s="216">
        <v>0</v>
      </c>
      <c r="X208" s="216">
        <v>0</v>
      </c>
      <c r="Y208" s="217">
        <f t="shared" si="93"/>
        <v>0</v>
      </c>
      <c r="Z208" s="209">
        <f t="shared" si="94"/>
        <v>0</v>
      </c>
      <c r="AA208" s="216">
        <v>0</v>
      </c>
      <c r="AB208" s="230">
        <v>0</v>
      </c>
      <c r="AC208" s="216">
        <v>0</v>
      </c>
      <c r="AD208" s="231">
        <v>0</v>
      </c>
      <c r="AE208" s="208">
        <f t="shared" si="95"/>
        <v>13.545</v>
      </c>
      <c r="AF208" s="216">
        <v>0</v>
      </c>
      <c r="AG208" s="208">
        <f t="shared" si="96"/>
        <v>0</v>
      </c>
      <c r="AH208" s="216">
        <v>0</v>
      </c>
      <c r="AI208" s="216">
        <v>0</v>
      </c>
      <c r="AJ208" s="216">
        <v>0</v>
      </c>
      <c r="AK208" s="217">
        <f t="shared" si="97"/>
        <v>64.5</v>
      </c>
      <c r="AL208" s="206">
        <f t="shared" si="98"/>
        <v>0</v>
      </c>
      <c r="AM208" s="235">
        <f t="shared" si="84"/>
        <v>0</v>
      </c>
      <c r="AN208" s="235">
        <f t="shared" si="99"/>
        <v>0</v>
      </c>
      <c r="AO208" s="209">
        <f t="shared" si="85"/>
        <v>0.129</v>
      </c>
      <c r="AP208" s="209">
        <f t="shared" si="100"/>
        <v>0.00403125</v>
      </c>
      <c r="AQ208" s="209">
        <f t="shared" si="86"/>
        <v>0.0645</v>
      </c>
      <c r="AR208" s="209">
        <f t="shared" si="101"/>
        <v>0.00134375</v>
      </c>
      <c r="AS208" s="209">
        <f t="shared" si="104"/>
        <v>0</v>
      </c>
      <c r="AT208" s="215">
        <v>0</v>
      </c>
      <c r="AU208" s="215"/>
      <c r="AV208" s="237">
        <f t="shared" si="87"/>
        <v>0</v>
      </c>
      <c r="AW208" s="209"/>
      <c r="AX208" s="209"/>
      <c r="AY208" s="237"/>
      <c r="AZ208" s="217"/>
      <c r="BA208" s="209"/>
      <c r="BB208" s="237"/>
      <c r="BC208" s="237"/>
      <c r="BD208" s="217"/>
      <c r="BE208" s="209"/>
      <c r="BF208" s="217"/>
      <c r="BG208" s="209"/>
      <c r="BH208" s="209"/>
      <c r="BI208" s="209"/>
      <c r="BJ208" s="215"/>
      <c r="BP208" s="242"/>
    </row>
    <row r="209" s="191" customFormat="1" ht="15" customHeight="1" spans="1:68">
      <c r="A209" s="206">
        <v>204</v>
      </c>
      <c r="B209" s="215" t="s">
        <v>204</v>
      </c>
      <c r="C209" s="215" t="s">
        <v>204</v>
      </c>
      <c r="D209" s="215" t="s">
        <v>138</v>
      </c>
      <c r="E209" s="215" t="s">
        <v>92</v>
      </c>
      <c r="F209" s="216">
        <v>405.21</v>
      </c>
      <c r="G209" s="217">
        <f t="shared" si="88"/>
        <v>16.9600464230399</v>
      </c>
      <c r="H209" s="209">
        <f t="shared" si="83"/>
        <v>6872.38041108</v>
      </c>
      <c r="I209" s="215">
        <v>2</v>
      </c>
      <c r="J209" s="209">
        <f t="shared" si="89"/>
        <v>2941.703344</v>
      </c>
      <c r="K209" s="209">
        <f t="shared" si="102"/>
        <v>510.443344</v>
      </c>
      <c r="L209" s="215">
        <v>2</v>
      </c>
      <c r="M209" s="209">
        <f t="shared" si="90"/>
        <v>810.42</v>
      </c>
      <c r="N209" s="216">
        <v>4047.737535</v>
      </c>
      <c r="O209" s="217">
        <f t="shared" si="91"/>
        <v>2431.26</v>
      </c>
      <c r="P209" s="217">
        <v>0</v>
      </c>
      <c r="Q209" s="209">
        <f t="shared" si="103"/>
        <v>716.36257808</v>
      </c>
      <c r="R209" s="209">
        <f t="shared" si="92"/>
        <v>0</v>
      </c>
      <c r="S209" s="209">
        <f>T209</f>
        <v>236.162647</v>
      </c>
      <c r="T209" s="216">
        <v>236.162647</v>
      </c>
      <c r="U209" s="215">
        <v>0</v>
      </c>
      <c r="V209" s="217"/>
      <c r="W209" s="216">
        <v>274.280697</v>
      </c>
      <c r="X209" s="216">
        <v>0</v>
      </c>
      <c r="Y209" s="217">
        <f t="shared" si="93"/>
        <v>0</v>
      </c>
      <c r="Z209" s="209">
        <f t="shared" si="94"/>
        <v>126.687746</v>
      </c>
      <c r="AA209" s="216">
        <v>0</v>
      </c>
      <c r="AB209" s="230">
        <v>126.687746</v>
      </c>
      <c r="AC209" s="216">
        <v>0</v>
      </c>
      <c r="AD209" s="231">
        <v>0</v>
      </c>
      <c r="AE209" s="208">
        <f t="shared" si="95"/>
        <v>205.91923408</v>
      </c>
      <c r="AF209" s="216">
        <v>0</v>
      </c>
      <c r="AG209" s="208">
        <f t="shared" si="96"/>
        <v>1854.904806</v>
      </c>
      <c r="AH209" s="216">
        <v>0</v>
      </c>
      <c r="AI209" s="216">
        <v>0</v>
      </c>
      <c r="AJ209" s="216">
        <v>1854.904806</v>
      </c>
      <c r="AK209" s="217">
        <f t="shared" si="97"/>
        <v>810.42</v>
      </c>
      <c r="AL209" s="206">
        <f t="shared" si="98"/>
        <v>0</v>
      </c>
      <c r="AM209" s="235">
        <f t="shared" si="84"/>
        <v>0</v>
      </c>
      <c r="AN209" s="235">
        <f t="shared" si="99"/>
        <v>0</v>
      </c>
      <c r="AO209" s="209">
        <f t="shared" si="85"/>
        <v>1.62084</v>
      </c>
      <c r="AP209" s="209">
        <f t="shared" si="100"/>
        <v>0.05065125</v>
      </c>
      <c r="AQ209" s="209">
        <f t="shared" si="86"/>
        <v>0.81042</v>
      </c>
      <c r="AR209" s="209">
        <f t="shared" si="101"/>
        <v>0.01688375</v>
      </c>
      <c r="AS209" s="209">
        <f t="shared" si="104"/>
        <v>0</v>
      </c>
      <c r="AT209" s="215">
        <v>0</v>
      </c>
      <c r="AU209" s="215"/>
      <c r="AV209" s="237">
        <f t="shared" si="87"/>
        <v>0</v>
      </c>
      <c r="AW209" s="209"/>
      <c r="AX209" s="209"/>
      <c r="AY209" s="237"/>
      <c r="AZ209" s="217"/>
      <c r="BA209" s="209"/>
      <c r="BB209" s="237"/>
      <c r="BC209" s="237"/>
      <c r="BD209" s="217"/>
      <c r="BE209" s="209"/>
      <c r="BF209" s="217"/>
      <c r="BG209" s="209"/>
      <c r="BH209" s="209"/>
      <c r="BI209" s="209"/>
      <c r="BJ209" s="215"/>
      <c r="BP209" s="242"/>
    </row>
    <row r="210" s="190" customFormat="1" ht="15" customHeight="1" spans="1:68">
      <c r="A210" s="210">
        <v>205</v>
      </c>
      <c r="B210" s="207" t="s">
        <v>172</v>
      </c>
      <c r="C210" s="211" t="s">
        <v>172</v>
      </c>
      <c r="D210" s="211" t="s">
        <v>174</v>
      </c>
      <c r="E210" s="211" t="s">
        <v>171</v>
      </c>
      <c r="F210" s="212">
        <v>177.45</v>
      </c>
      <c r="G210" s="213">
        <f t="shared" si="88"/>
        <v>13.0559328036067</v>
      </c>
      <c r="H210" s="213">
        <f t="shared" si="83"/>
        <v>2316.775276</v>
      </c>
      <c r="I210" s="211">
        <v>3</v>
      </c>
      <c r="J210" s="213">
        <f t="shared" si="89"/>
        <v>1064.7</v>
      </c>
      <c r="K210" s="213">
        <f t="shared" si="102"/>
        <v>0</v>
      </c>
      <c r="L210" s="207">
        <v>2</v>
      </c>
      <c r="M210" s="213">
        <f t="shared" si="90"/>
        <v>354.9</v>
      </c>
      <c r="N210" s="212">
        <v>1509.686056</v>
      </c>
      <c r="O210" s="213">
        <f t="shared" si="91"/>
        <v>1064.7</v>
      </c>
      <c r="P210" s="213">
        <v>0</v>
      </c>
      <c r="Q210" s="213">
        <f t="shared" si="103"/>
        <v>63.882</v>
      </c>
      <c r="R210" s="213">
        <f t="shared" si="92"/>
        <v>0</v>
      </c>
      <c r="S210" s="213">
        <v>0</v>
      </c>
      <c r="T210" s="212">
        <v>0</v>
      </c>
      <c r="U210" s="211">
        <v>0</v>
      </c>
      <c r="V210" s="213"/>
      <c r="W210" s="212">
        <v>0</v>
      </c>
      <c r="X210" s="212">
        <v>0</v>
      </c>
      <c r="Y210" s="213">
        <f t="shared" si="93"/>
        <v>0</v>
      </c>
      <c r="Z210" s="213">
        <f t="shared" si="94"/>
        <v>0</v>
      </c>
      <c r="AA210" s="208">
        <v>0</v>
      </c>
      <c r="AB210" s="228">
        <v>0</v>
      </c>
      <c r="AC210" s="208">
        <v>0</v>
      </c>
      <c r="AD210" s="229">
        <v>0</v>
      </c>
      <c r="AE210" s="212">
        <f t="shared" si="95"/>
        <v>63.882</v>
      </c>
      <c r="AF210" s="212">
        <v>0</v>
      </c>
      <c r="AG210" s="212">
        <f t="shared" si="96"/>
        <v>743.20722</v>
      </c>
      <c r="AH210" s="212">
        <v>0</v>
      </c>
      <c r="AI210" s="212">
        <v>0</v>
      </c>
      <c r="AJ210" s="212">
        <v>743.20722</v>
      </c>
      <c r="AK210" s="213">
        <f t="shared" si="97"/>
        <v>354.9</v>
      </c>
      <c r="AL210" s="210">
        <f t="shared" si="98"/>
        <v>0</v>
      </c>
      <c r="AM210" s="235">
        <f t="shared" si="84"/>
        <v>0</v>
      </c>
      <c r="AN210" s="235">
        <f t="shared" si="99"/>
        <v>0</v>
      </c>
      <c r="AO210" s="213">
        <f t="shared" si="85"/>
        <v>0.3549</v>
      </c>
      <c r="AP210" s="209">
        <f t="shared" si="100"/>
        <v>0.011090625</v>
      </c>
      <c r="AQ210" s="213">
        <f t="shared" si="86"/>
        <v>0.17745</v>
      </c>
      <c r="AR210" s="209">
        <f t="shared" si="101"/>
        <v>0.003696875</v>
      </c>
      <c r="AS210" s="213">
        <f t="shared" si="104"/>
        <v>0</v>
      </c>
      <c r="AT210" s="211">
        <v>0</v>
      </c>
      <c r="AU210" s="211"/>
      <c r="AV210" s="237">
        <f t="shared" si="87"/>
        <v>0</v>
      </c>
      <c r="AW210" s="213"/>
      <c r="AX210" s="213"/>
      <c r="AY210" s="238"/>
      <c r="AZ210" s="238"/>
      <c r="BA210" s="213"/>
      <c r="BB210" s="238"/>
      <c r="BC210" s="238"/>
      <c r="BD210" s="213"/>
      <c r="BE210" s="213"/>
      <c r="BF210" s="213"/>
      <c r="BG210" s="213"/>
      <c r="BH210" s="213"/>
      <c r="BI210" s="213"/>
      <c r="BJ210" s="211"/>
      <c r="BP210" s="241"/>
    </row>
    <row r="211" s="189" customFormat="1" ht="15" customHeight="1" spans="1:68">
      <c r="A211" s="214">
        <v>206</v>
      </c>
      <c r="B211" s="207" t="s">
        <v>172</v>
      </c>
      <c r="C211" s="207" t="s">
        <v>277</v>
      </c>
      <c r="D211" s="207"/>
      <c r="E211" s="207"/>
      <c r="F211" s="208">
        <v>17.33</v>
      </c>
      <c r="G211" s="209">
        <f t="shared" si="88"/>
        <v>8.33919596076169</v>
      </c>
      <c r="H211" s="209">
        <f t="shared" si="83"/>
        <v>144.518266</v>
      </c>
      <c r="I211" s="207">
        <v>3</v>
      </c>
      <c r="J211" s="209">
        <f t="shared" si="89"/>
        <v>103.98</v>
      </c>
      <c r="K211" s="209">
        <f t="shared" si="102"/>
        <v>0</v>
      </c>
      <c r="L211" s="207">
        <v>0</v>
      </c>
      <c r="M211" s="209">
        <f t="shared" si="90"/>
        <v>34.66</v>
      </c>
      <c r="N211" s="208">
        <v>138.279466</v>
      </c>
      <c r="O211" s="209">
        <f t="shared" si="91"/>
        <v>103.98</v>
      </c>
      <c r="P211" s="209">
        <v>0</v>
      </c>
      <c r="Q211" s="209">
        <f t="shared" si="103"/>
        <v>6.2388</v>
      </c>
      <c r="R211" s="209">
        <f t="shared" si="92"/>
        <v>0</v>
      </c>
      <c r="S211" s="209">
        <v>0</v>
      </c>
      <c r="T211" s="208">
        <v>0</v>
      </c>
      <c r="U211" s="207">
        <v>0</v>
      </c>
      <c r="V211" s="209"/>
      <c r="W211" s="208">
        <v>0</v>
      </c>
      <c r="X211" s="208">
        <v>0</v>
      </c>
      <c r="Y211" s="209">
        <f t="shared" si="93"/>
        <v>0</v>
      </c>
      <c r="Z211" s="209">
        <f t="shared" si="94"/>
        <v>0</v>
      </c>
      <c r="AA211" s="208">
        <v>0</v>
      </c>
      <c r="AB211" s="228">
        <v>0</v>
      </c>
      <c r="AC211" s="208">
        <v>0</v>
      </c>
      <c r="AD211" s="229">
        <v>0</v>
      </c>
      <c r="AE211" s="208">
        <f t="shared" si="95"/>
        <v>6.2388</v>
      </c>
      <c r="AF211" s="208">
        <v>0</v>
      </c>
      <c r="AG211" s="208">
        <f t="shared" si="96"/>
        <v>0</v>
      </c>
      <c r="AH211" s="208">
        <v>0</v>
      </c>
      <c r="AI211" s="208">
        <v>0</v>
      </c>
      <c r="AJ211" s="208">
        <v>0</v>
      </c>
      <c r="AK211" s="209">
        <f t="shared" si="97"/>
        <v>34.66</v>
      </c>
      <c r="AL211" s="206">
        <f t="shared" si="98"/>
        <v>0</v>
      </c>
      <c r="AM211" s="235">
        <f t="shared" si="84"/>
        <v>0</v>
      </c>
      <c r="AN211" s="235">
        <f t="shared" si="99"/>
        <v>0</v>
      </c>
      <c r="AO211" s="209">
        <f t="shared" si="85"/>
        <v>0.03466</v>
      </c>
      <c r="AP211" s="209">
        <f t="shared" si="100"/>
        <v>0.001083125</v>
      </c>
      <c r="AQ211" s="209">
        <f t="shared" si="86"/>
        <v>0.01733</v>
      </c>
      <c r="AR211" s="209">
        <f t="shared" si="101"/>
        <v>0.000361041666666667</v>
      </c>
      <c r="AS211" s="209">
        <f t="shared" si="104"/>
        <v>0</v>
      </c>
      <c r="AT211" s="207">
        <v>0</v>
      </c>
      <c r="AU211" s="207"/>
      <c r="AV211" s="237">
        <f t="shared" si="87"/>
        <v>0</v>
      </c>
      <c r="AW211" s="209"/>
      <c r="AX211" s="209"/>
      <c r="AY211" s="237"/>
      <c r="AZ211" s="237"/>
      <c r="BA211" s="209"/>
      <c r="BB211" s="237"/>
      <c r="BC211" s="237"/>
      <c r="BD211" s="209"/>
      <c r="BE211" s="209"/>
      <c r="BF211" s="209"/>
      <c r="BG211" s="209"/>
      <c r="BH211" s="209"/>
      <c r="BI211" s="209"/>
      <c r="BJ211" s="207"/>
      <c r="BP211" s="240"/>
    </row>
    <row r="212" s="189" customFormat="1" ht="15" customHeight="1" spans="1:68">
      <c r="A212" s="206">
        <v>207</v>
      </c>
      <c r="B212" s="207" t="s">
        <v>172</v>
      </c>
      <c r="C212" s="207" t="s">
        <v>278</v>
      </c>
      <c r="D212" s="207"/>
      <c r="E212" s="207"/>
      <c r="F212" s="208">
        <v>10.38</v>
      </c>
      <c r="G212" s="209">
        <f t="shared" si="88"/>
        <v>12.8642535645472</v>
      </c>
      <c r="H212" s="209">
        <f t="shared" si="83"/>
        <v>133.530952</v>
      </c>
      <c r="I212" s="207">
        <v>3</v>
      </c>
      <c r="J212" s="209">
        <f t="shared" si="89"/>
        <v>62.28</v>
      </c>
      <c r="K212" s="209">
        <f t="shared" si="102"/>
        <v>0</v>
      </c>
      <c r="L212" s="207">
        <v>0</v>
      </c>
      <c r="M212" s="209">
        <f t="shared" si="90"/>
        <v>20.76</v>
      </c>
      <c r="N212" s="208">
        <v>129.794152</v>
      </c>
      <c r="O212" s="209">
        <f t="shared" si="91"/>
        <v>62.28</v>
      </c>
      <c r="P212" s="209">
        <v>0</v>
      </c>
      <c r="Q212" s="209">
        <f t="shared" si="103"/>
        <v>3.7368</v>
      </c>
      <c r="R212" s="209">
        <f t="shared" si="92"/>
        <v>0</v>
      </c>
      <c r="S212" s="209">
        <v>0</v>
      </c>
      <c r="T212" s="208">
        <v>0</v>
      </c>
      <c r="U212" s="207">
        <v>0</v>
      </c>
      <c r="V212" s="209"/>
      <c r="W212" s="208">
        <v>0</v>
      </c>
      <c r="X212" s="208">
        <v>0</v>
      </c>
      <c r="Y212" s="209">
        <f t="shared" si="93"/>
        <v>0</v>
      </c>
      <c r="Z212" s="209">
        <f t="shared" si="94"/>
        <v>0</v>
      </c>
      <c r="AA212" s="208">
        <v>0</v>
      </c>
      <c r="AB212" s="228">
        <v>0</v>
      </c>
      <c r="AC212" s="208">
        <v>0</v>
      </c>
      <c r="AD212" s="229">
        <v>0</v>
      </c>
      <c r="AE212" s="208">
        <f t="shared" si="95"/>
        <v>3.7368</v>
      </c>
      <c r="AF212" s="208">
        <v>0</v>
      </c>
      <c r="AG212" s="208">
        <f t="shared" si="96"/>
        <v>0</v>
      </c>
      <c r="AH212" s="208">
        <v>0</v>
      </c>
      <c r="AI212" s="208">
        <v>0</v>
      </c>
      <c r="AJ212" s="208">
        <v>0</v>
      </c>
      <c r="AK212" s="209">
        <f t="shared" si="97"/>
        <v>20.76</v>
      </c>
      <c r="AL212" s="206">
        <f t="shared" si="98"/>
        <v>0</v>
      </c>
      <c r="AM212" s="235">
        <f t="shared" si="84"/>
        <v>0</v>
      </c>
      <c r="AN212" s="235">
        <f t="shared" si="99"/>
        <v>0</v>
      </c>
      <c r="AO212" s="209">
        <f t="shared" si="85"/>
        <v>0.02076</v>
      </c>
      <c r="AP212" s="209">
        <f t="shared" si="100"/>
        <v>0.00064875</v>
      </c>
      <c r="AQ212" s="209">
        <f t="shared" si="86"/>
        <v>0.01038</v>
      </c>
      <c r="AR212" s="209">
        <f t="shared" si="101"/>
        <v>0.00021625</v>
      </c>
      <c r="AS212" s="209">
        <f t="shared" si="104"/>
        <v>0</v>
      </c>
      <c r="AT212" s="207">
        <v>0</v>
      </c>
      <c r="AU212" s="207"/>
      <c r="AV212" s="237">
        <f t="shared" si="87"/>
        <v>0</v>
      </c>
      <c r="AW212" s="209"/>
      <c r="AX212" s="209"/>
      <c r="AY212" s="237"/>
      <c r="AZ212" s="237"/>
      <c r="BA212" s="209"/>
      <c r="BB212" s="237"/>
      <c r="BC212" s="237"/>
      <c r="BD212" s="209"/>
      <c r="BE212" s="209"/>
      <c r="BF212" s="209"/>
      <c r="BG212" s="209"/>
      <c r="BH212" s="209"/>
      <c r="BI212" s="209"/>
      <c r="BJ212" s="207"/>
      <c r="BP212" s="240"/>
    </row>
    <row r="213" s="190" customFormat="1" ht="15" customHeight="1" spans="1:68">
      <c r="A213" s="210">
        <v>208</v>
      </c>
      <c r="B213" s="207" t="s">
        <v>172</v>
      </c>
      <c r="C213" s="211" t="s">
        <v>172</v>
      </c>
      <c r="D213" s="211" t="s">
        <v>221</v>
      </c>
      <c r="E213" s="211" t="s">
        <v>174</v>
      </c>
      <c r="F213" s="212">
        <v>348.74</v>
      </c>
      <c r="G213" s="213">
        <f t="shared" si="88"/>
        <v>13.5829006126054</v>
      </c>
      <c r="H213" s="213">
        <f t="shared" si="83"/>
        <v>4736.90075964</v>
      </c>
      <c r="I213" s="211">
        <v>3</v>
      </c>
      <c r="J213" s="213">
        <f t="shared" si="89"/>
        <v>3205.454094</v>
      </c>
      <c r="K213" s="213">
        <f t="shared" si="102"/>
        <v>1113.014094</v>
      </c>
      <c r="L213" s="207">
        <v>2</v>
      </c>
      <c r="M213" s="213">
        <f t="shared" si="90"/>
        <v>697.48</v>
      </c>
      <c r="N213" s="212">
        <v>2416.371925</v>
      </c>
      <c r="O213" s="213">
        <f t="shared" si="91"/>
        <v>2092.44</v>
      </c>
      <c r="P213" s="213">
        <v>0</v>
      </c>
      <c r="Q213" s="213">
        <f t="shared" si="103"/>
        <v>1305.34133964</v>
      </c>
      <c r="R213" s="213">
        <f t="shared" si="92"/>
        <v>0</v>
      </c>
      <c r="S213" s="213">
        <v>0</v>
      </c>
      <c r="T213" s="212">
        <v>0</v>
      </c>
      <c r="U213" s="211">
        <v>0</v>
      </c>
      <c r="V213" s="213"/>
      <c r="W213" s="212">
        <v>1113.014094</v>
      </c>
      <c r="X213" s="212">
        <v>0</v>
      </c>
      <c r="Y213" s="213">
        <f t="shared" si="93"/>
        <v>0</v>
      </c>
      <c r="Z213" s="213">
        <f t="shared" si="94"/>
        <v>0</v>
      </c>
      <c r="AA213" s="208">
        <v>0</v>
      </c>
      <c r="AB213" s="228">
        <v>0</v>
      </c>
      <c r="AC213" s="208">
        <v>0</v>
      </c>
      <c r="AD213" s="229">
        <v>0</v>
      </c>
      <c r="AE213" s="212">
        <f t="shared" si="95"/>
        <v>192.32724564</v>
      </c>
      <c r="AF213" s="212">
        <v>0</v>
      </c>
      <c r="AG213" s="212">
        <f t="shared" si="96"/>
        <v>1015.187495</v>
      </c>
      <c r="AH213" s="212">
        <v>0</v>
      </c>
      <c r="AI213" s="212">
        <v>0</v>
      </c>
      <c r="AJ213" s="212">
        <v>1015.187495</v>
      </c>
      <c r="AK213" s="213">
        <f t="shared" si="97"/>
        <v>697.48</v>
      </c>
      <c r="AL213" s="210">
        <f t="shared" si="98"/>
        <v>0</v>
      </c>
      <c r="AM213" s="235">
        <f t="shared" si="84"/>
        <v>0</v>
      </c>
      <c r="AN213" s="235">
        <f t="shared" si="99"/>
        <v>0</v>
      </c>
      <c r="AO213" s="213">
        <f t="shared" si="85"/>
        <v>0.69748</v>
      </c>
      <c r="AP213" s="209">
        <f t="shared" si="100"/>
        <v>0.02179625</v>
      </c>
      <c r="AQ213" s="213">
        <f t="shared" si="86"/>
        <v>0.34874</v>
      </c>
      <c r="AR213" s="209">
        <f t="shared" si="101"/>
        <v>0.00726541666666667</v>
      </c>
      <c r="AS213" s="213">
        <f t="shared" si="104"/>
        <v>0</v>
      </c>
      <c r="AT213" s="211">
        <v>0</v>
      </c>
      <c r="AU213" s="211"/>
      <c r="AV213" s="237">
        <f t="shared" si="87"/>
        <v>0</v>
      </c>
      <c r="AW213" s="213"/>
      <c r="AX213" s="213"/>
      <c r="AY213" s="238"/>
      <c r="AZ213" s="238"/>
      <c r="BA213" s="213"/>
      <c r="BB213" s="238"/>
      <c r="BC213" s="238"/>
      <c r="BD213" s="213"/>
      <c r="BE213" s="213"/>
      <c r="BF213" s="213"/>
      <c r="BG213" s="213"/>
      <c r="BH213" s="213"/>
      <c r="BI213" s="213"/>
      <c r="BJ213" s="211"/>
      <c r="BP213" s="241"/>
    </row>
    <row r="214" s="190" customFormat="1" ht="15" customHeight="1" spans="1:68">
      <c r="A214" s="218">
        <v>209</v>
      </c>
      <c r="B214" s="207" t="s">
        <v>172</v>
      </c>
      <c r="C214" s="211" t="s">
        <v>172</v>
      </c>
      <c r="D214" s="211" t="s">
        <v>171</v>
      </c>
      <c r="E214" s="211" t="s">
        <v>137</v>
      </c>
      <c r="F214" s="212">
        <v>271.4</v>
      </c>
      <c r="G214" s="213">
        <f t="shared" si="88"/>
        <v>10.4514361110538</v>
      </c>
      <c r="H214" s="213">
        <f t="shared" si="83"/>
        <v>2836.51976054</v>
      </c>
      <c r="I214" s="211">
        <v>3</v>
      </c>
      <c r="J214" s="213">
        <f t="shared" si="89"/>
        <v>1677.950059</v>
      </c>
      <c r="K214" s="213">
        <f t="shared" si="102"/>
        <v>49.550059</v>
      </c>
      <c r="L214" s="207">
        <v>0</v>
      </c>
      <c r="M214" s="213">
        <f t="shared" si="90"/>
        <v>542.8</v>
      </c>
      <c r="N214" s="212">
        <v>1571.325046</v>
      </c>
      <c r="O214" s="213">
        <f t="shared" si="91"/>
        <v>1628.4</v>
      </c>
      <c r="P214" s="213">
        <v>0</v>
      </c>
      <c r="Q214" s="213">
        <f t="shared" si="103"/>
        <v>150.22706254</v>
      </c>
      <c r="R214" s="213">
        <f t="shared" si="92"/>
        <v>0</v>
      </c>
      <c r="S214" s="213">
        <v>0</v>
      </c>
      <c r="T214" s="212">
        <v>0</v>
      </c>
      <c r="U214" s="211">
        <v>0</v>
      </c>
      <c r="V214" s="213"/>
      <c r="W214" s="212">
        <v>49.550059</v>
      </c>
      <c r="X214" s="212">
        <v>0</v>
      </c>
      <c r="Y214" s="213">
        <f t="shared" si="93"/>
        <v>0</v>
      </c>
      <c r="Z214" s="213">
        <f t="shared" si="94"/>
        <v>0</v>
      </c>
      <c r="AA214" s="208">
        <v>0</v>
      </c>
      <c r="AB214" s="228">
        <v>0</v>
      </c>
      <c r="AC214" s="208">
        <v>0</v>
      </c>
      <c r="AD214" s="229">
        <v>0</v>
      </c>
      <c r="AE214" s="212">
        <f t="shared" si="95"/>
        <v>100.67700354</v>
      </c>
      <c r="AF214" s="212">
        <v>0</v>
      </c>
      <c r="AG214" s="212">
        <f t="shared" si="96"/>
        <v>1114.967652</v>
      </c>
      <c r="AH214" s="212">
        <v>0</v>
      </c>
      <c r="AI214" s="212">
        <v>0</v>
      </c>
      <c r="AJ214" s="212">
        <v>1114.967652</v>
      </c>
      <c r="AK214" s="213">
        <f t="shared" si="97"/>
        <v>542.8</v>
      </c>
      <c r="AL214" s="210">
        <f t="shared" si="98"/>
        <v>0</v>
      </c>
      <c r="AM214" s="235">
        <f t="shared" si="84"/>
        <v>0</v>
      </c>
      <c r="AN214" s="235">
        <f t="shared" si="99"/>
        <v>0</v>
      </c>
      <c r="AO214" s="213">
        <f t="shared" si="85"/>
        <v>0.5428</v>
      </c>
      <c r="AP214" s="209">
        <f t="shared" si="100"/>
        <v>0.0169625</v>
      </c>
      <c r="AQ214" s="213">
        <f t="shared" si="86"/>
        <v>0.2714</v>
      </c>
      <c r="AR214" s="209">
        <f t="shared" si="101"/>
        <v>0.00565416666666667</v>
      </c>
      <c r="AS214" s="213">
        <f t="shared" si="104"/>
        <v>0</v>
      </c>
      <c r="AT214" s="211">
        <v>0</v>
      </c>
      <c r="AU214" s="211"/>
      <c r="AV214" s="237">
        <f t="shared" si="87"/>
        <v>0</v>
      </c>
      <c r="AW214" s="213"/>
      <c r="AX214" s="213"/>
      <c r="AY214" s="238"/>
      <c r="AZ214" s="238"/>
      <c r="BA214" s="213"/>
      <c r="BB214" s="238"/>
      <c r="BC214" s="238"/>
      <c r="BD214" s="213"/>
      <c r="BE214" s="213"/>
      <c r="BF214" s="213"/>
      <c r="BG214" s="213"/>
      <c r="BH214" s="213"/>
      <c r="BI214" s="213"/>
      <c r="BJ214" s="211"/>
      <c r="BP214" s="241"/>
    </row>
    <row r="215" s="190" customFormat="1" ht="15" customHeight="1" spans="1:68">
      <c r="A215" s="210">
        <v>210</v>
      </c>
      <c r="B215" s="207" t="s">
        <v>279</v>
      </c>
      <c r="C215" s="211" t="s">
        <v>279</v>
      </c>
      <c r="D215" s="211" t="s">
        <v>280</v>
      </c>
      <c r="E215" s="211" t="s">
        <v>172</v>
      </c>
      <c r="F215" s="212">
        <v>47.5</v>
      </c>
      <c r="G215" s="213">
        <f t="shared" si="88"/>
        <v>9.39028088421053</v>
      </c>
      <c r="H215" s="213">
        <f t="shared" si="83"/>
        <v>446.038342</v>
      </c>
      <c r="I215" s="211">
        <v>3</v>
      </c>
      <c r="J215" s="213">
        <f t="shared" si="89"/>
        <v>285</v>
      </c>
      <c r="K215" s="213">
        <f t="shared" si="102"/>
        <v>0</v>
      </c>
      <c r="L215" s="207">
        <v>0</v>
      </c>
      <c r="M215" s="213">
        <f t="shared" si="90"/>
        <v>95</v>
      </c>
      <c r="N215" s="212">
        <v>166.790038</v>
      </c>
      <c r="O215" s="213">
        <f t="shared" si="91"/>
        <v>285</v>
      </c>
      <c r="P215" s="213">
        <v>0</v>
      </c>
      <c r="Q215" s="213">
        <f t="shared" si="103"/>
        <v>17.1</v>
      </c>
      <c r="R215" s="213">
        <f t="shared" si="92"/>
        <v>0</v>
      </c>
      <c r="S215" s="213">
        <v>0</v>
      </c>
      <c r="T215" s="212">
        <v>0</v>
      </c>
      <c r="U215" s="211">
        <v>0</v>
      </c>
      <c r="V215" s="213"/>
      <c r="W215" s="212">
        <v>0</v>
      </c>
      <c r="X215" s="212">
        <v>0</v>
      </c>
      <c r="Y215" s="213">
        <f t="shared" si="93"/>
        <v>0</v>
      </c>
      <c r="Z215" s="213">
        <f t="shared" si="94"/>
        <v>0</v>
      </c>
      <c r="AA215" s="208">
        <v>0</v>
      </c>
      <c r="AB215" s="228">
        <v>0</v>
      </c>
      <c r="AC215" s="208">
        <v>0</v>
      </c>
      <c r="AD215" s="229">
        <v>0</v>
      </c>
      <c r="AE215" s="212">
        <f t="shared" si="95"/>
        <v>17.1</v>
      </c>
      <c r="AF215" s="212">
        <v>0</v>
      </c>
      <c r="AG215" s="212">
        <f t="shared" si="96"/>
        <v>262.148304</v>
      </c>
      <c r="AH215" s="212">
        <v>0</v>
      </c>
      <c r="AI215" s="212">
        <v>0</v>
      </c>
      <c r="AJ215" s="212">
        <v>262.148304</v>
      </c>
      <c r="AK215" s="213">
        <f t="shared" si="97"/>
        <v>95</v>
      </c>
      <c r="AL215" s="210">
        <f t="shared" si="98"/>
        <v>0</v>
      </c>
      <c r="AM215" s="235">
        <f t="shared" si="84"/>
        <v>0</v>
      </c>
      <c r="AN215" s="235">
        <f t="shared" si="99"/>
        <v>0</v>
      </c>
      <c r="AO215" s="213">
        <f t="shared" si="85"/>
        <v>0.095</v>
      </c>
      <c r="AP215" s="209">
        <f t="shared" si="100"/>
        <v>0.00296875</v>
      </c>
      <c r="AQ215" s="213">
        <f t="shared" si="86"/>
        <v>0.0475</v>
      </c>
      <c r="AR215" s="209">
        <f t="shared" si="101"/>
        <v>0.000989583333333333</v>
      </c>
      <c r="AS215" s="213">
        <f t="shared" si="104"/>
        <v>0</v>
      </c>
      <c r="AT215" s="211">
        <v>0</v>
      </c>
      <c r="AU215" s="211"/>
      <c r="AV215" s="237">
        <f t="shared" si="87"/>
        <v>0</v>
      </c>
      <c r="AW215" s="213"/>
      <c r="AX215" s="213"/>
      <c r="AY215" s="238"/>
      <c r="AZ215" s="238"/>
      <c r="BA215" s="213"/>
      <c r="BB215" s="238"/>
      <c r="BC215" s="238"/>
      <c r="BD215" s="213"/>
      <c r="BE215" s="213"/>
      <c r="BF215" s="213"/>
      <c r="BG215" s="213"/>
      <c r="BH215" s="213"/>
      <c r="BI215" s="213"/>
      <c r="BJ215" s="211"/>
      <c r="BP215" s="241"/>
    </row>
    <row r="216" s="190" customFormat="1" ht="15" customHeight="1" spans="1:68">
      <c r="A216" s="210">
        <v>211</v>
      </c>
      <c r="B216" s="211"/>
      <c r="C216" s="210" t="s">
        <v>281</v>
      </c>
      <c r="D216" s="210" t="s">
        <v>80</v>
      </c>
      <c r="E216" s="210" t="s">
        <v>135</v>
      </c>
      <c r="F216" s="210">
        <v>519</v>
      </c>
      <c r="G216" s="213">
        <f t="shared" si="88"/>
        <v>12.36</v>
      </c>
      <c r="H216" s="213">
        <f t="shared" si="83"/>
        <v>6414.84</v>
      </c>
      <c r="I216" s="211">
        <v>3</v>
      </c>
      <c r="J216" s="213">
        <f t="shared" si="89"/>
        <v>3114</v>
      </c>
      <c r="K216" s="213">
        <f t="shared" ref="K216:K221" si="105">P216+S216+W216+Y216</f>
        <v>0</v>
      </c>
      <c r="L216" s="211"/>
      <c r="M216" s="213">
        <f t="shared" si="90"/>
        <v>1038</v>
      </c>
      <c r="N216" s="212">
        <f>F216*12</f>
        <v>6228</v>
      </c>
      <c r="O216" s="213">
        <f t="shared" si="91"/>
        <v>3114</v>
      </c>
      <c r="P216" s="213">
        <v>0</v>
      </c>
      <c r="Q216" s="213">
        <f t="shared" si="103"/>
        <v>186.84</v>
      </c>
      <c r="R216" s="213">
        <v>0</v>
      </c>
      <c r="S216" s="213">
        <v>0</v>
      </c>
      <c r="T216" s="212">
        <v>0</v>
      </c>
      <c r="U216" s="211">
        <v>1</v>
      </c>
      <c r="V216" s="213"/>
      <c r="W216" s="212">
        <v>0</v>
      </c>
      <c r="X216" s="212">
        <v>0</v>
      </c>
      <c r="Y216" s="213">
        <v>0</v>
      </c>
      <c r="Z216" s="213">
        <v>0</v>
      </c>
      <c r="AA216" s="212"/>
      <c r="AB216" s="254"/>
      <c r="AC216" s="212"/>
      <c r="AD216" s="255"/>
      <c r="AE216" s="212">
        <f t="shared" ref="AE216:AE221" si="106">J216*IF(I216=1,0.08,IF(I216=2,0.07,IF(I216=3,0.06)))</f>
        <v>186.84</v>
      </c>
      <c r="AF216" s="212">
        <v>0</v>
      </c>
      <c r="AG216" s="212">
        <f t="shared" ref="AG216:AG221" si="107">AH216+AI216+AJ216</f>
        <v>0</v>
      </c>
      <c r="AH216" s="212">
        <v>0</v>
      </c>
      <c r="AI216" s="212">
        <v>0</v>
      </c>
      <c r="AJ216" s="212">
        <v>0</v>
      </c>
      <c r="AK216" s="213">
        <f t="shared" ref="AK216:AK221" si="108">F216*2</f>
        <v>1038</v>
      </c>
      <c r="AL216" s="210">
        <v>0</v>
      </c>
      <c r="AM216" s="256"/>
      <c r="AN216" s="256"/>
      <c r="AO216" s="213">
        <f t="shared" ref="AO216:AO221" si="109">M216*IF(I216=1,2,IF(I216=2,2,IF(I216=3,1,IF(I216=4,0))))/1000</f>
        <v>1.038</v>
      </c>
      <c r="AP216" s="213"/>
      <c r="AQ216" s="213">
        <f t="shared" ref="AQ216:AQ221" si="110">M216/1000/2*IF(I216=1,2,IF(I216=2,2,IF(I216=3,1,IF(I216=4,0))))</f>
        <v>0.519</v>
      </c>
      <c r="AR216" s="213"/>
      <c r="AS216" s="213">
        <f t="shared" si="104"/>
        <v>1.038</v>
      </c>
      <c r="AT216" s="211">
        <v>0</v>
      </c>
      <c r="AU216" s="211"/>
      <c r="AV216" s="238"/>
      <c r="AW216" s="213"/>
      <c r="AX216" s="213"/>
      <c r="AY216" s="238"/>
      <c r="AZ216" s="238"/>
      <c r="BA216" s="213"/>
      <c r="BB216" s="238"/>
      <c r="BC216" s="238"/>
      <c r="BD216" s="213"/>
      <c r="BE216" s="213"/>
      <c r="BF216" s="213"/>
      <c r="BG216" s="213"/>
      <c r="BH216" s="213"/>
      <c r="BI216" s="213"/>
      <c r="BJ216" s="211"/>
      <c r="BP216" s="241"/>
    </row>
    <row r="217" s="190" customFormat="1" ht="15" customHeight="1" spans="1:68">
      <c r="A217" s="210">
        <v>212</v>
      </c>
      <c r="B217" s="211"/>
      <c r="C217" s="210" t="s">
        <v>282</v>
      </c>
      <c r="D217" s="210" t="s">
        <v>80</v>
      </c>
      <c r="E217" s="210" t="s">
        <v>148</v>
      </c>
      <c r="F217" s="210">
        <v>1000</v>
      </c>
      <c r="G217" s="213">
        <f t="shared" ref="G216:G221" si="111">H217/F217</f>
        <v>9.6376</v>
      </c>
      <c r="H217" s="213">
        <f t="shared" ref="H216:H221" si="112">N217+T217+W217+Y217+AE217+AF217+AG217+Z217*2</f>
        <v>9637.6</v>
      </c>
      <c r="I217" s="211">
        <v>3</v>
      </c>
      <c r="J217" s="213">
        <f t="shared" ref="J216:J221" si="113">O217+P217+T217+W217+Y217</f>
        <v>7960</v>
      </c>
      <c r="K217" s="213">
        <f t="shared" si="105"/>
        <v>1960</v>
      </c>
      <c r="L217" s="211"/>
      <c r="M217" s="213">
        <f t="shared" ref="M216:M221" si="114">F217*IF(L217=4,4,IF(L217=6,6,2))</f>
        <v>2000</v>
      </c>
      <c r="N217" s="212">
        <f>F217*7.2</f>
        <v>7200</v>
      </c>
      <c r="O217" s="213">
        <f t="shared" ref="O216:O221" si="115">M217*3</f>
        <v>6000</v>
      </c>
      <c r="P217" s="213">
        <v>0</v>
      </c>
      <c r="Q217" s="213">
        <f t="shared" ref="Q216:Q221" si="116">P217+S217+W217+Y217+AE217</f>
        <v>2437.6</v>
      </c>
      <c r="R217" s="213">
        <v>0</v>
      </c>
      <c r="S217" s="213">
        <v>0</v>
      </c>
      <c r="T217" s="212">
        <v>0</v>
      </c>
      <c r="U217" s="211">
        <v>1</v>
      </c>
      <c r="V217" s="213"/>
      <c r="W217" s="212">
        <v>0</v>
      </c>
      <c r="X217" s="212">
        <v>980</v>
      </c>
      <c r="Y217" s="238">
        <f>X217*2</f>
        <v>1960</v>
      </c>
      <c r="Z217" s="213">
        <v>0</v>
      </c>
      <c r="AA217" s="212"/>
      <c r="AB217" s="254"/>
      <c r="AC217" s="212"/>
      <c r="AD217" s="255"/>
      <c r="AE217" s="212">
        <f t="shared" si="106"/>
        <v>477.6</v>
      </c>
      <c r="AF217" s="212">
        <v>0</v>
      </c>
      <c r="AG217" s="212">
        <f t="shared" si="107"/>
        <v>0</v>
      </c>
      <c r="AH217" s="212">
        <v>0</v>
      </c>
      <c r="AI217" s="212">
        <v>0</v>
      </c>
      <c r="AJ217" s="212">
        <v>0</v>
      </c>
      <c r="AK217" s="213">
        <f t="shared" si="108"/>
        <v>2000</v>
      </c>
      <c r="AL217" s="210">
        <v>0</v>
      </c>
      <c r="AM217" s="256"/>
      <c r="AN217" s="256"/>
      <c r="AO217" s="213">
        <f t="shared" si="109"/>
        <v>2</v>
      </c>
      <c r="AP217" s="213"/>
      <c r="AQ217" s="213">
        <f t="shared" si="110"/>
        <v>1</v>
      </c>
      <c r="AR217" s="213"/>
      <c r="AS217" s="213">
        <f t="shared" ref="AS216:AS221" si="117">F217*U217/1000*2</f>
        <v>2</v>
      </c>
      <c r="AT217" s="211">
        <v>0</v>
      </c>
      <c r="AU217" s="211"/>
      <c r="AV217" s="238"/>
      <c r="AW217" s="213"/>
      <c r="AX217" s="213"/>
      <c r="AY217" s="238"/>
      <c r="AZ217" s="238"/>
      <c r="BA217" s="213"/>
      <c r="BB217" s="238"/>
      <c r="BC217" s="238"/>
      <c r="BD217" s="213"/>
      <c r="BE217" s="213"/>
      <c r="BF217" s="213"/>
      <c r="BG217" s="213"/>
      <c r="BH217" s="213"/>
      <c r="BI217" s="213"/>
      <c r="BJ217" s="211"/>
      <c r="BP217" s="241"/>
    </row>
    <row r="218" s="190" customFormat="1" ht="15" customHeight="1" spans="1:68">
      <c r="A218" s="210">
        <v>213</v>
      </c>
      <c r="B218" s="211"/>
      <c r="C218" s="210" t="s">
        <v>283</v>
      </c>
      <c r="D218" s="210" t="s">
        <v>91</v>
      </c>
      <c r="E218" s="210" t="s">
        <v>92</v>
      </c>
      <c r="F218" s="210">
        <v>478</v>
      </c>
      <c r="G218" s="213">
        <f t="shared" si="111"/>
        <v>9.928</v>
      </c>
      <c r="H218" s="213">
        <f t="shared" si="112"/>
        <v>4745.584</v>
      </c>
      <c r="I218" s="211">
        <v>3</v>
      </c>
      <c r="J218" s="213">
        <f t="shared" si="113"/>
        <v>4206.4</v>
      </c>
      <c r="K218" s="213">
        <f t="shared" si="105"/>
        <v>1338.4</v>
      </c>
      <c r="L218" s="211"/>
      <c r="M218" s="213">
        <f t="shared" si="114"/>
        <v>956</v>
      </c>
      <c r="N218" s="212">
        <f>F218*6.6</f>
        <v>3154.8</v>
      </c>
      <c r="O218" s="213">
        <f t="shared" si="115"/>
        <v>2868</v>
      </c>
      <c r="P218" s="213">
        <v>0</v>
      </c>
      <c r="Q218" s="213">
        <f t="shared" si="116"/>
        <v>1590.784</v>
      </c>
      <c r="R218" s="213">
        <v>0</v>
      </c>
      <c r="S218" s="213">
        <v>0</v>
      </c>
      <c r="T218" s="212">
        <v>0</v>
      </c>
      <c r="U218" s="211">
        <v>1</v>
      </c>
      <c r="V218" s="213"/>
      <c r="W218" s="212">
        <f>1.4*2*F218</f>
        <v>1338.4</v>
      </c>
      <c r="X218" s="212">
        <v>0</v>
      </c>
      <c r="Y218" s="213">
        <v>0</v>
      </c>
      <c r="Z218" s="213">
        <v>0</v>
      </c>
      <c r="AA218" s="212"/>
      <c r="AB218" s="254"/>
      <c r="AC218" s="212"/>
      <c r="AD218" s="255"/>
      <c r="AE218" s="212">
        <f t="shared" si="106"/>
        <v>252.384</v>
      </c>
      <c r="AF218" s="212">
        <v>0</v>
      </c>
      <c r="AG218" s="212">
        <f t="shared" si="107"/>
        <v>0</v>
      </c>
      <c r="AH218" s="212">
        <v>0</v>
      </c>
      <c r="AI218" s="212">
        <v>0</v>
      </c>
      <c r="AJ218" s="212">
        <v>0</v>
      </c>
      <c r="AK218" s="213">
        <f t="shared" si="108"/>
        <v>956</v>
      </c>
      <c r="AL218" s="210">
        <v>0</v>
      </c>
      <c r="AM218" s="256"/>
      <c r="AN218" s="256"/>
      <c r="AO218" s="213">
        <f t="shared" si="109"/>
        <v>0.956</v>
      </c>
      <c r="AP218" s="213"/>
      <c r="AQ218" s="213">
        <f t="shared" si="110"/>
        <v>0.478</v>
      </c>
      <c r="AR218" s="213"/>
      <c r="AS218" s="213">
        <f t="shared" si="117"/>
        <v>0.956</v>
      </c>
      <c r="AT218" s="211">
        <v>0</v>
      </c>
      <c r="AU218" s="211"/>
      <c r="AV218" s="238"/>
      <c r="AW218" s="213"/>
      <c r="AX218" s="213"/>
      <c r="AY218" s="238"/>
      <c r="AZ218" s="238"/>
      <c r="BA218" s="213"/>
      <c r="BB218" s="238"/>
      <c r="BC218" s="238"/>
      <c r="BD218" s="213"/>
      <c r="BE218" s="213"/>
      <c r="BF218" s="213"/>
      <c r="BG218" s="213"/>
      <c r="BH218" s="213"/>
      <c r="BI218" s="213"/>
      <c r="BJ218" s="211"/>
      <c r="BP218" s="241"/>
    </row>
    <row r="219" s="190" customFormat="1" ht="15" customHeight="1" spans="1:68">
      <c r="A219" s="210">
        <v>214</v>
      </c>
      <c r="B219" s="211"/>
      <c r="C219" s="210" t="s">
        <v>102</v>
      </c>
      <c r="D219" s="210" t="s">
        <v>284</v>
      </c>
      <c r="E219" s="210" t="s">
        <v>88</v>
      </c>
      <c r="F219" s="210">
        <f>251+338+69</f>
        <v>658</v>
      </c>
      <c r="G219" s="213">
        <f t="shared" si="111"/>
        <v>15.104</v>
      </c>
      <c r="H219" s="213">
        <f t="shared" si="112"/>
        <v>9938.432</v>
      </c>
      <c r="I219" s="211">
        <v>3</v>
      </c>
      <c r="J219" s="213">
        <f t="shared" si="113"/>
        <v>5527.2</v>
      </c>
      <c r="K219" s="213">
        <f t="shared" si="105"/>
        <v>1579.2</v>
      </c>
      <c r="L219" s="211"/>
      <c r="M219" s="213">
        <f t="shared" si="114"/>
        <v>1316</v>
      </c>
      <c r="N219" s="212">
        <f>F219*12.2</f>
        <v>8027.6</v>
      </c>
      <c r="O219" s="213">
        <f t="shared" si="115"/>
        <v>3948</v>
      </c>
      <c r="P219" s="213">
        <v>0</v>
      </c>
      <c r="Q219" s="213">
        <f t="shared" si="116"/>
        <v>1910.832</v>
      </c>
      <c r="R219" s="213">
        <v>0</v>
      </c>
      <c r="S219" s="213">
        <v>0</v>
      </c>
      <c r="T219" s="212">
        <v>0</v>
      </c>
      <c r="U219" s="211">
        <v>1</v>
      </c>
      <c r="V219" s="213"/>
      <c r="W219" s="212">
        <f>1.2*F219*2</f>
        <v>1579.2</v>
      </c>
      <c r="X219" s="212">
        <v>0</v>
      </c>
      <c r="Y219" s="213">
        <v>0</v>
      </c>
      <c r="Z219" s="213">
        <v>0</v>
      </c>
      <c r="AA219" s="212"/>
      <c r="AB219" s="254"/>
      <c r="AC219" s="212"/>
      <c r="AD219" s="255"/>
      <c r="AE219" s="212">
        <f t="shared" si="106"/>
        <v>331.632</v>
      </c>
      <c r="AF219" s="212">
        <v>0</v>
      </c>
      <c r="AG219" s="212">
        <f t="shared" si="107"/>
        <v>0</v>
      </c>
      <c r="AH219" s="212">
        <v>0</v>
      </c>
      <c r="AI219" s="212">
        <v>0</v>
      </c>
      <c r="AJ219" s="212">
        <v>0</v>
      </c>
      <c r="AK219" s="213">
        <f t="shared" si="108"/>
        <v>1316</v>
      </c>
      <c r="AL219" s="210">
        <v>0</v>
      </c>
      <c r="AM219" s="256"/>
      <c r="AN219" s="256"/>
      <c r="AO219" s="213">
        <f t="shared" si="109"/>
        <v>1.316</v>
      </c>
      <c r="AP219" s="213"/>
      <c r="AQ219" s="213">
        <f t="shared" si="110"/>
        <v>0.658</v>
      </c>
      <c r="AR219" s="213"/>
      <c r="AS219" s="213">
        <f t="shared" si="117"/>
        <v>1.316</v>
      </c>
      <c r="AT219" s="211">
        <v>0</v>
      </c>
      <c r="AU219" s="211"/>
      <c r="AV219" s="238"/>
      <c r="AW219" s="213"/>
      <c r="AX219" s="213"/>
      <c r="AY219" s="238"/>
      <c r="AZ219" s="238"/>
      <c r="BA219" s="213"/>
      <c r="BB219" s="238"/>
      <c r="BC219" s="238"/>
      <c r="BD219" s="213"/>
      <c r="BE219" s="213"/>
      <c r="BF219" s="213"/>
      <c r="BG219" s="213"/>
      <c r="BH219" s="213"/>
      <c r="BI219" s="213"/>
      <c r="BJ219" s="211"/>
      <c r="BP219" s="241"/>
    </row>
    <row r="220" s="190" customFormat="1" ht="15" customHeight="1" spans="1:68">
      <c r="A220" s="210">
        <v>215</v>
      </c>
      <c r="B220" s="211"/>
      <c r="C220" s="210" t="s">
        <v>170</v>
      </c>
      <c r="D220" s="210" t="s">
        <v>248</v>
      </c>
      <c r="E220" s="210" t="s">
        <v>285</v>
      </c>
      <c r="F220" s="210">
        <v>2600</v>
      </c>
      <c r="G220" s="213">
        <f t="shared" si="111"/>
        <v>121.027410038462</v>
      </c>
      <c r="H220" s="213">
        <f t="shared" si="112"/>
        <v>314671.2661</v>
      </c>
      <c r="I220" s="211">
        <v>2</v>
      </c>
      <c r="J220" s="213">
        <f t="shared" si="113"/>
        <v>29692.23</v>
      </c>
      <c r="K220" s="213">
        <f t="shared" si="105"/>
        <v>14092.23</v>
      </c>
      <c r="L220" s="211"/>
      <c r="M220" s="213">
        <f t="shared" si="114"/>
        <v>5200</v>
      </c>
      <c r="N220" s="212">
        <v>52160.55</v>
      </c>
      <c r="O220" s="213">
        <f t="shared" si="115"/>
        <v>15600</v>
      </c>
      <c r="P220" s="213">
        <v>0</v>
      </c>
      <c r="Q220" s="213">
        <f t="shared" si="116"/>
        <v>16170.6861</v>
      </c>
      <c r="R220" s="213">
        <v>0</v>
      </c>
      <c r="S220" s="213">
        <v>0</v>
      </c>
      <c r="T220" s="212">
        <v>0</v>
      </c>
      <c r="U220" s="211">
        <v>0</v>
      </c>
      <c r="V220" s="213"/>
      <c r="W220" s="212">
        <v>12664.63</v>
      </c>
      <c r="X220" s="212">
        <v>713.8</v>
      </c>
      <c r="Y220" s="238">
        <f>X220*2</f>
        <v>1427.6</v>
      </c>
      <c r="Z220" s="213">
        <v>733.88</v>
      </c>
      <c r="AA220" s="212"/>
      <c r="AB220" s="254"/>
      <c r="AC220" s="212"/>
      <c r="AD220" s="255"/>
      <c r="AE220" s="212">
        <f t="shared" si="106"/>
        <v>2078.4561</v>
      </c>
      <c r="AF220" s="212">
        <v>0</v>
      </c>
      <c r="AG220" s="212">
        <f t="shared" si="107"/>
        <v>244872.27</v>
      </c>
      <c r="AH220" s="212">
        <v>163578.98</v>
      </c>
      <c r="AI220" s="212">
        <v>0</v>
      </c>
      <c r="AJ220" s="212">
        <v>81293.29</v>
      </c>
      <c r="AK220" s="213">
        <f t="shared" si="108"/>
        <v>5200</v>
      </c>
      <c r="AL220" s="210">
        <v>0</v>
      </c>
      <c r="AM220" s="256"/>
      <c r="AN220" s="256"/>
      <c r="AO220" s="213">
        <f t="shared" si="109"/>
        <v>10.4</v>
      </c>
      <c r="AP220" s="213"/>
      <c r="AQ220" s="213">
        <f t="shared" si="110"/>
        <v>5.2</v>
      </c>
      <c r="AR220" s="213"/>
      <c r="AS220" s="213">
        <f t="shared" si="117"/>
        <v>0</v>
      </c>
      <c r="AT220" s="211">
        <v>0</v>
      </c>
      <c r="AU220" s="211"/>
      <c r="AV220" s="238"/>
      <c r="AW220" s="213"/>
      <c r="AX220" s="213"/>
      <c r="AY220" s="238"/>
      <c r="AZ220" s="238"/>
      <c r="BA220" s="213"/>
      <c r="BB220" s="238"/>
      <c r="BC220" s="238"/>
      <c r="BD220" s="213"/>
      <c r="BE220" s="213"/>
      <c r="BF220" s="213"/>
      <c r="BG220" s="213"/>
      <c r="BH220" s="213"/>
      <c r="BI220" s="213"/>
      <c r="BJ220" s="211"/>
      <c r="BP220" s="241"/>
    </row>
    <row r="221" s="190" customFormat="1" ht="15" customHeight="1" spans="1:68">
      <c r="A221" s="210">
        <v>216</v>
      </c>
      <c r="B221" s="211"/>
      <c r="C221" s="210" t="s">
        <v>286</v>
      </c>
      <c r="D221" s="210" t="s">
        <v>80</v>
      </c>
      <c r="E221" s="210" t="s">
        <v>114</v>
      </c>
      <c r="F221" s="210">
        <v>571</v>
      </c>
      <c r="G221" s="213">
        <f t="shared" si="111"/>
        <v>15.248</v>
      </c>
      <c r="H221" s="213">
        <f t="shared" si="112"/>
        <v>8706.608</v>
      </c>
      <c r="I221" s="211">
        <v>3</v>
      </c>
      <c r="J221" s="213">
        <f t="shared" si="113"/>
        <v>6166.8</v>
      </c>
      <c r="K221" s="213">
        <f t="shared" si="105"/>
        <v>2740.8</v>
      </c>
      <c r="L221" s="211"/>
      <c r="M221" s="213">
        <f t="shared" si="114"/>
        <v>1142</v>
      </c>
      <c r="N221" s="212">
        <f>F221*9.8</f>
        <v>5595.8</v>
      </c>
      <c r="O221" s="213">
        <f t="shared" si="115"/>
        <v>3426</v>
      </c>
      <c r="P221" s="213">
        <v>0</v>
      </c>
      <c r="Q221" s="213">
        <f t="shared" si="116"/>
        <v>3110.808</v>
      </c>
      <c r="R221" s="213">
        <v>0</v>
      </c>
      <c r="S221" s="213">
        <v>0</v>
      </c>
      <c r="T221" s="212">
        <v>0</v>
      </c>
      <c r="U221" s="211">
        <v>1</v>
      </c>
      <c r="V221" s="213"/>
      <c r="W221" s="212">
        <f>2.4*F221*2</f>
        <v>2740.8</v>
      </c>
      <c r="X221" s="212">
        <v>0</v>
      </c>
      <c r="Y221" s="213">
        <v>0</v>
      </c>
      <c r="Z221" s="213">
        <v>0</v>
      </c>
      <c r="AA221" s="212"/>
      <c r="AB221" s="254"/>
      <c r="AC221" s="212"/>
      <c r="AD221" s="255"/>
      <c r="AE221" s="212">
        <f t="shared" si="106"/>
        <v>370.008</v>
      </c>
      <c r="AF221" s="212">
        <v>0</v>
      </c>
      <c r="AG221" s="212">
        <f t="shared" si="107"/>
        <v>0</v>
      </c>
      <c r="AH221" s="212">
        <v>0</v>
      </c>
      <c r="AI221" s="212">
        <v>0</v>
      </c>
      <c r="AJ221" s="212">
        <v>0</v>
      </c>
      <c r="AK221" s="213">
        <f t="shared" si="108"/>
        <v>1142</v>
      </c>
      <c r="AL221" s="210">
        <v>0</v>
      </c>
      <c r="AM221" s="256"/>
      <c r="AN221" s="256"/>
      <c r="AO221" s="213">
        <f t="shared" si="109"/>
        <v>1.142</v>
      </c>
      <c r="AP221" s="213"/>
      <c r="AQ221" s="213">
        <f t="shared" si="110"/>
        <v>0.571</v>
      </c>
      <c r="AR221" s="213"/>
      <c r="AS221" s="213">
        <f t="shared" si="117"/>
        <v>1.142</v>
      </c>
      <c r="AT221" s="211">
        <v>0</v>
      </c>
      <c r="AU221" s="211"/>
      <c r="AV221" s="238"/>
      <c r="AW221" s="213"/>
      <c r="AX221" s="213"/>
      <c r="AY221" s="238"/>
      <c r="AZ221" s="238"/>
      <c r="BA221" s="213"/>
      <c r="BB221" s="238"/>
      <c r="BC221" s="238"/>
      <c r="BD221" s="213"/>
      <c r="BE221" s="213"/>
      <c r="BF221" s="213"/>
      <c r="BG221" s="213"/>
      <c r="BH221" s="213"/>
      <c r="BI221" s="213"/>
      <c r="BJ221" s="211"/>
      <c r="BP221" s="241"/>
    </row>
    <row r="222" s="189" customFormat="1" ht="15" customHeight="1" spans="1:68">
      <c r="A222" s="206"/>
      <c r="B222" s="253" t="s">
        <v>287</v>
      </c>
      <c r="C222" s="253"/>
      <c r="D222" s="253"/>
      <c r="E222" s="253"/>
      <c r="F222" s="209">
        <f t="shared" ref="F222:AK222" si="118">SUM(F6:F221)</f>
        <v>87805.4800000001</v>
      </c>
      <c r="G222" s="209">
        <f t="shared" si="118"/>
        <v>5596.27049038451</v>
      </c>
      <c r="H222" s="209">
        <f t="shared" si="118"/>
        <v>2803448.45140503</v>
      </c>
      <c r="I222" s="209"/>
      <c r="J222" s="209">
        <f t="shared" si="118"/>
        <v>876729.457068</v>
      </c>
      <c r="K222" s="209">
        <f t="shared" si="118"/>
        <v>268198.340037</v>
      </c>
      <c r="L222" s="209">
        <f t="shared" si="118"/>
        <v>238</v>
      </c>
      <c r="M222" s="209">
        <f t="shared" si="118"/>
        <v>179942.62</v>
      </c>
      <c r="N222" s="209">
        <f t="shared" si="118"/>
        <v>1242629.485929</v>
      </c>
      <c r="O222" s="209">
        <f t="shared" si="118"/>
        <v>539827.86</v>
      </c>
      <c r="P222" s="209">
        <f t="shared" si="118"/>
        <v>0</v>
      </c>
      <c r="Q222" s="209">
        <f t="shared" si="118"/>
        <v>324968.79939003</v>
      </c>
      <c r="R222" s="209">
        <f t="shared" si="118"/>
        <v>126</v>
      </c>
      <c r="S222" s="209">
        <f t="shared" si="118"/>
        <v>5137.770006</v>
      </c>
      <c r="T222" s="209">
        <f t="shared" si="118"/>
        <v>73841.027037</v>
      </c>
      <c r="U222" s="209">
        <f t="shared" si="118"/>
        <v>47</v>
      </c>
      <c r="V222" s="209">
        <f t="shared" si="118"/>
        <v>0</v>
      </c>
      <c r="W222" s="209">
        <f t="shared" si="118"/>
        <v>249056.251091</v>
      </c>
      <c r="X222" s="209">
        <f t="shared" si="118"/>
        <v>7002.15947</v>
      </c>
      <c r="Y222" s="209">
        <f t="shared" si="118"/>
        <v>14004.31894</v>
      </c>
      <c r="Z222" s="209">
        <f t="shared" si="118"/>
        <v>30387.367947</v>
      </c>
      <c r="AA222" s="209">
        <f t="shared" si="118"/>
        <v>2472.676401</v>
      </c>
      <c r="AB222" s="209">
        <f t="shared" si="118"/>
        <v>15608.415731</v>
      </c>
      <c r="AC222" s="209">
        <f t="shared" si="118"/>
        <v>486.194514</v>
      </c>
      <c r="AD222" s="209">
        <f t="shared" si="118"/>
        <v>11086.201301</v>
      </c>
      <c r="AE222" s="209">
        <f t="shared" si="118"/>
        <v>56770.45935303</v>
      </c>
      <c r="AF222" s="209">
        <f t="shared" si="118"/>
        <v>15492.692233</v>
      </c>
      <c r="AG222" s="209">
        <f t="shared" si="118"/>
        <v>1090879.480928</v>
      </c>
      <c r="AH222" s="209">
        <f t="shared" si="118"/>
        <v>344230.842778</v>
      </c>
      <c r="AI222" s="209">
        <f t="shared" si="118"/>
        <v>10977.841606</v>
      </c>
      <c r="AJ222" s="209">
        <f t="shared" si="118"/>
        <v>735670.796544</v>
      </c>
      <c r="AK222" s="209">
        <f t="shared" si="118"/>
        <v>175610.96</v>
      </c>
      <c r="AL222" s="209">
        <f>SUM(AL6:AL221)</f>
        <v>0</v>
      </c>
      <c r="AM222" s="209">
        <f>SUM(AM6:AM221)</f>
        <v>0</v>
      </c>
      <c r="AN222" s="209">
        <f>SUM(AN6:AN221)</f>
        <v>0</v>
      </c>
      <c r="AO222" s="209">
        <f>SUM(AO6:AO221)</f>
        <v>244.3459</v>
      </c>
      <c r="AP222" s="209">
        <f>SUM(AP6:AP221)</f>
        <v>7.10918437499999</v>
      </c>
      <c r="AQ222" s="209">
        <f>SUM(AQ6:AQ221)</f>
        <v>122.17295</v>
      </c>
      <c r="AR222" s="209">
        <f>SUM(AR6:AR221)</f>
        <v>2.369728125</v>
      </c>
      <c r="AS222" s="209">
        <f>SUM(AS6:AS221)</f>
        <v>60.94758</v>
      </c>
      <c r="AT222" s="209">
        <f>SUM(AT6:AT221)</f>
        <v>122</v>
      </c>
      <c r="AU222" s="209">
        <f>SUM(AU6:AU221)</f>
        <v>0</v>
      </c>
      <c r="AV222" s="209">
        <f>SUM(AV6:AV221)</f>
        <v>0</v>
      </c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  <c r="BJ222" s="253"/>
      <c r="BP222" s="240"/>
    </row>
    <row r="245" spans="70:70">
      <c r="BR245" s="257"/>
    </row>
  </sheetData>
  <autoFilter xmlns:etc="http://www.wps.cn/officeDocument/2017/etCustomData" ref="A5:BW222" etc:filterBottomFollowUsedRange="0">
    <sortState ref="A5:BW222">
      <sortCondition ref="C5" sortBy="cellColor" dxfId="0"/>
    </sortState>
    <extLst/>
  </autoFilter>
  <mergeCells count="67">
    <mergeCell ref="A1:BJ1"/>
    <mergeCell ref="K2:AJ2"/>
    <mergeCell ref="L3:P3"/>
    <mergeCell ref="R3:U3"/>
    <mergeCell ref="V3:W3"/>
    <mergeCell ref="X3:Y3"/>
    <mergeCell ref="AE3:AF3"/>
    <mergeCell ref="AH3:AJ3"/>
    <mergeCell ref="N4:P4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3:K5"/>
    <mergeCell ref="L4:L5"/>
    <mergeCell ref="M4:M5"/>
    <mergeCell ref="Q3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3:AG5"/>
    <mergeCell ref="AH4:AH5"/>
    <mergeCell ref="AI4:AI5"/>
    <mergeCell ref="AJ4:AJ5"/>
    <mergeCell ref="AK2:AK5"/>
    <mergeCell ref="AM2:AM5"/>
    <mergeCell ref="AN2:AN5"/>
    <mergeCell ref="AO2:AO5"/>
    <mergeCell ref="AP2:AP5"/>
    <mergeCell ref="AQ2:AQ5"/>
    <mergeCell ref="AR2:AR5"/>
    <mergeCell ref="AS2:AS5"/>
    <mergeCell ref="AT2:AT5"/>
    <mergeCell ref="AU2:AU5"/>
    <mergeCell ref="AV2:AV5"/>
    <mergeCell ref="AW2:AW5"/>
    <mergeCell ref="AX2:AX5"/>
    <mergeCell ref="AY2:AY5"/>
    <mergeCell ref="AZ2:AZ5"/>
    <mergeCell ref="BA2:BA5"/>
    <mergeCell ref="BB2:BB5"/>
    <mergeCell ref="BC2:BC5"/>
    <mergeCell ref="BD2:BD5"/>
    <mergeCell ref="BE2:BE5"/>
    <mergeCell ref="BF2:BF5"/>
    <mergeCell ref="BG2:BG5"/>
    <mergeCell ref="BH2:BH5"/>
    <mergeCell ref="BI2:BI5"/>
    <mergeCell ref="BJ2:BJ5"/>
  </mergeCells>
  <pageMargins left="0.275659983552347" right="0.275659983552347" top="0.2402477377043" bottom="0.42980740389486" header="0.19997499120517" footer="0.315238382872634"/>
  <pageSetup paperSize="9" scale="2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24" sqref="D24"/>
    </sheetView>
  </sheetViews>
  <sheetFormatPr defaultColWidth="9" defaultRowHeight="14.4" outlineLevelCol="5"/>
  <cols>
    <col min="1" max="2" width="9" style="1"/>
    <col min="3" max="3" width="15.3796296296296" style="1" customWidth="1"/>
    <col min="4" max="4" width="21.7592592592593" style="1" customWidth="1"/>
    <col min="5" max="5" width="16" style="1" customWidth="1"/>
    <col min="6" max="6" width="13.5" style="1" customWidth="1"/>
    <col min="7" max="16384" width="9" style="1"/>
  </cols>
  <sheetData>
    <row r="1" ht="22.5" customHeight="1" spans="1:6">
      <c r="A1" s="2" t="s">
        <v>673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spans="1:6">
      <c r="A3" s="3">
        <v>1</v>
      </c>
      <c r="B3" s="3" t="s">
        <v>676</v>
      </c>
      <c r="C3" s="3" t="s">
        <v>677</v>
      </c>
      <c r="D3" s="3" t="s">
        <v>678</v>
      </c>
      <c r="E3" s="6">
        <f>2280*12</f>
        <v>27360</v>
      </c>
      <c r="F3" s="3"/>
    </row>
    <row r="4" spans="1:6">
      <c r="A4" s="3">
        <v>2</v>
      </c>
      <c r="B4" s="3"/>
      <c r="C4" s="3" t="s">
        <v>679</v>
      </c>
      <c r="D4" s="3"/>
      <c r="E4" s="6"/>
      <c r="F4" s="46" t="s">
        <v>680</v>
      </c>
    </row>
    <row r="5" ht="27" customHeight="1" spans="1:6">
      <c r="A5" s="3">
        <v>3</v>
      </c>
      <c r="B5" s="3"/>
      <c r="C5" s="8" t="s">
        <v>573</v>
      </c>
      <c r="D5" s="3" t="s">
        <v>681</v>
      </c>
      <c r="E5" s="6">
        <f>2280/21.75*11*3</f>
        <v>3459.31034482759</v>
      </c>
      <c r="F5" s="3" t="s">
        <v>682</v>
      </c>
    </row>
    <row r="6" ht="27" customHeight="1" spans="1:6">
      <c r="A6" s="3">
        <v>4</v>
      </c>
      <c r="B6" s="3"/>
      <c r="C6" s="9"/>
      <c r="D6" s="3" t="s">
        <v>683</v>
      </c>
      <c r="E6" s="6">
        <f>2280/21.75*104</f>
        <v>10902.0689655172</v>
      </c>
      <c r="F6" s="3"/>
    </row>
    <row r="7" spans="1:6">
      <c r="A7" s="3">
        <v>5</v>
      </c>
      <c r="B7" s="3"/>
      <c r="C7" s="3" t="s">
        <v>684</v>
      </c>
      <c r="D7" s="3" t="s">
        <v>685</v>
      </c>
      <c r="E7" s="6">
        <v>500</v>
      </c>
      <c r="F7" s="3"/>
    </row>
    <row r="8" spans="1:6">
      <c r="A8" s="3">
        <v>6</v>
      </c>
      <c r="B8" s="3"/>
      <c r="C8" s="3" t="s">
        <v>577</v>
      </c>
      <c r="D8" s="3" t="s">
        <v>686</v>
      </c>
      <c r="E8" s="6">
        <v>1200</v>
      </c>
      <c r="F8" s="3"/>
    </row>
    <row r="9" spans="1:6">
      <c r="A9" s="3">
        <v>7</v>
      </c>
      <c r="B9" s="3"/>
      <c r="C9" s="3" t="s">
        <v>687</v>
      </c>
      <c r="D9" s="3" t="s">
        <v>688</v>
      </c>
      <c r="E9" s="6">
        <v>600</v>
      </c>
      <c r="F9" s="3"/>
    </row>
    <row r="10" spans="1:6">
      <c r="A10" s="3">
        <v>8</v>
      </c>
      <c r="B10" s="3"/>
      <c r="C10" s="3" t="s">
        <v>689</v>
      </c>
      <c r="D10" s="3" t="s">
        <v>690</v>
      </c>
      <c r="E10" s="6">
        <f>8*365</f>
        <v>2920</v>
      </c>
      <c r="F10" s="3"/>
    </row>
    <row r="11" spans="1:6">
      <c r="A11" s="3">
        <v>9</v>
      </c>
      <c r="B11" s="3"/>
      <c r="C11" s="3" t="s">
        <v>691</v>
      </c>
      <c r="D11" s="3" t="s">
        <v>692</v>
      </c>
      <c r="E11" s="6">
        <f>50*12</f>
        <v>600</v>
      </c>
      <c r="F11" s="3"/>
    </row>
    <row r="12" spans="1:6">
      <c r="A12" s="3">
        <v>10</v>
      </c>
      <c r="B12" s="3"/>
      <c r="C12" s="3" t="s">
        <v>693</v>
      </c>
      <c r="D12" s="3" t="s">
        <v>694</v>
      </c>
      <c r="E12" s="6">
        <v>400</v>
      </c>
      <c r="F12" s="3"/>
    </row>
    <row r="13" ht="14.25" customHeight="1" spans="1:6">
      <c r="A13" s="3">
        <v>11</v>
      </c>
      <c r="B13" s="3" t="s">
        <v>695</v>
      </c>
      <c r="C13" s="10" t="s">
        <v>581</v>
      </c>
      <c r="D13" s="3" t="s">
        <v>696</v>
      </c>
      <c r="E13" s="6">
        <f>3800/3*0</f>
        <v>0</v>
      </c>
      <c r="F13" s="12" t="s">
        <v>697</v>
      </c>
    </row>
    <row r="14" spans="1:6">
      <c r="A14" s="3">
        <v>12</v>
      </c>
      <c r="B14" s="3"/>
      <c r="C14" s="10" t="s">
        <v>698</v>
      </c>
      <c r="D14" s="3" t="s">
        <v>699</v>
      </c>
      <c r="E14" s="6">
        <v>500</v>
      </c>
      <c r="F14" s="3"/>
    </row>
    <row r="15" spans="1:6">
      <c r="A15" s="3">
        <v>13</v>
      </c>
      <c r="B15" s="3"/>
      <c r="C15" s="10" t="s">
        <v>700</v>
      </c>
      <c r="D15" s="1" t="s">
        <v>701</v>
      </c>
      <c r="E15" s="6">
        <f>12*50</f>
        <v>600</v>
      </c>
      <c r="F15" s="3" t="s">
        <v>702</v>
      </c>
    </row>
    <row r="16" ht="27" customHeight="1" spans="1:6">
      <c r="A16" s="3">
        <v>14</v>
      </c>
      <c r="B16" s="3"/>
      <c r="C16" s="13" t="s">
        <v>703</v>
      </c>
      <c r="D16" s="3" t="s">
        <v>704</v>
      </c>
      <c r="E16" s="6">
        <f>600/2</f>
        <v>300</v>
      </c>
      <c r="F16" s="12" t="s">
        <v>705</v>
      </c>
    </row>
    <row r="17" ht="27" customHeight="1" spans="1:6">
      <c r="A17" s="3">
        <v>15</v>
      </c>
      <c r="B17" s="3" t="s">
        <v>706</v>
      </c>
      <c r="C17" s="3"/>
      <c r="D17" s="15">
        <v>0.05</v>
      </c>
      <c r="E17" s="6">
        <f>SUM(E3:E16)*0.05</f>
        <v>2467.06896551724</v>
      </c>
      <c r="F17" s="3" t="s">
        <v>707</v>
      </c>
    </row>
    <row r="18" spans="1:6">
      <c r="A18" s="3">
        <v>16</v>
      </c>
      <c r="B18" s="3" t="s">
        <v>708</v>
      </c>
      <c r="C18" s="3"/>
      <c r="D18" s="15">
        <v>0.06</v>
      </c>
      <c r="E18" s="6">
        <f>SUM(E3:E17)*0.06</f>
        <v>3108.50689655172</v>
      </c>
      <c r="F18" s="3"/>
    </row>
    <row r="19" spans="1:6">
      <c r="A19" s="3">
        <v>17</v>
      </c>
      <c r="B19" s="3" t="s">
        <v>287</v>
      </c>
      <c r="C19" s="3"/>
      <c r="D19" s="3"/>
      <c r="E19" s="6">
        <f>SUM(E3:E18)</f>
        <v>54916.9551724138</v>
      </c>
      <c r="F19" s="3" t="s">
        <v>709</v>
      </c>
    </row>
  </sheetData>
  <mergeCells count="8">
    <mergeCell ref="A1:F1"/>
    <mergeCell ref="B2:C2"/>
    <mergeCell ref="B17:C17"/>
    <mergeCell ref="B18:C18"/>
    <mergeCell ref="B19:D19"/>
    <mergeCell ref="B3:B12"/>
    <mergeCell ref="B13:B16"/>
    <mergeCell ref="C5:C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4" sqref="E14"/>
    </sheetView>
  </sheetViews>
  <sheetFormatPr defaultColWidth="9" defaultRowHeight="14.4" outlineLevelCol="5"/>
  <cols>
    <col min="1" max="1" width="9" style="1"/>
    <col min="2" max="2" width="11.8796296296296" style="1" customWidth="1"/>
    <col min="3" max="3" width="14.2592592592593" style="1" customWidth="1"/>
    <col min="4" max="4" width="20.7592592592593" style="1" customWidth="1"/>
    <col min="5" max="5" width="17.6296296296296" style="1" customWidth="1"/>
    <col min="6" max="6" width="14.8796296296296" style="1" customWidth="1"/>
    <col min="7" max="16384" width="9" style="1"/>
  </cols>
  <sheetData>
    <row r="1" ht="22.5" customHeight="1" spans="1:6">
      <c r="A1" s="2" t="s">
        <v>710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spans="1:6">
      <c r="A3" s="3">
        <v>1</v>
      </c>
      <c r="B3" s="3" t="s">
        <v>676</v>
      </c>
      <c r="C3" s="3" t="s">
        <v>677</v>
      </c>
      <c r="D3" s="3" t="s">
        <v>711</v>
      </c>
      <c r="E3" s="6">
        <f>2280*12</f>
        <v>27360</v>
      </c>
      <c r="F3" s="3"/>
    </row>
    <row r="4" spans="1:6">
      <c r="A4" s="3">
        <v>2</v>
      </c>
      <c r="B4" s="3"/>
      <c r="C4" s="3" t="s">
        <v>679</v>
      </c>
      <c r="D4" s="3"/>
      <c r="E4" s="6"/>
      <c r="F4" s="46" t="s">
        <v>680</v>
      </c>
    </row>
    <row r="5" ht="27" customHeight="1" spans="1:6">
      <c r="A5" s="3">
        <v>3</v>
      </c>
      <c r="B5" s="3"/>
      <c r="C5" s="8" t="s">
        <v>573</v>
      </c>
      <c r="D5" s="3" t="s">
        <v>712</v>
      </c>
      <c r="E5" s="6">
        <f>2280/21.75*11*3</f>
        <v>3459.31034482759</v>
      </c>
      <c r="F5" s="3" t="s">
        <v>682</v>
      </c>
    </row>
    <row r="6" ht="27" customHeight="1" spans="1:6">
      <c r="A6" s="3">
        <v>4</v>
      </c>
      <c r="B6" s="3"/>
      <c r="C6" s="9"/>
      <c r="D6" s="3" t="s">
        <v>713</v>
      </c>
      <c r="E6" s="6">
        <v>0</v>
      </c>
      <c r="F6" s="3" t="s">
        <v>714</v>
      </c>
    </row>
    <row r="7" spans="1:6">
      <c r="A7" s="3">
        <v>5</v>
      </c>
      <c r="B7" s="3"/>
      <c r="C7" s="3" t="s">
        <v>684</v>
      </c>
      <c r="D7" s="3" t="s">
        <v>685</v>
      </c>
      <c r="E7" s="6">
        <v>500</v>
      </c>
      <c r="F7" s="3"/>
    </row>
    <row r="8" spans="1:6">
      <c r="A8" s="3">
        <v>6</v>
      </c>
      <c r="B8" s="3"/>
      <c r="C8" s="3" t="s">
        <v>577</v>
      </c>
      <c r="D8" s="3" t="s">
        <v>686</v>
      </c>
      <c r="E8" s="6">
        <v>1200</v>
      </c>
      <c r="F8" s="3"/>
    </row>
    <row r="9" spans="1:6">
      <c r="A9" s="3">
        <v>7</v>
      </c>
      <c r="B9" s="3"/>
      <c r="C9" s="3" t="s">
        <v>687</v>
      </c>
      <c r="D9" s="3" t="s">
        <v>688</v>
      </c>
      <c r="E9" s="6">
        <v>600</v>
      </c>
      <c r="F9" s="3"/>
    </row>
    <row r="10" spans="1:6">
      <c r="A10" s="3">
        <v>8</v>
      </c>
      <c r="B10" s="3"/>
      <c r="C10" s="3" t="s">
        <v>689</v>
      </c>
      <c r="D10" s="3" t="s">
        <v>690</v>
      </c>
      <c r="E10" s="6">
        <f>8*365</f>
        <v>2920</v>
      </c>
      <c r="F10" s="3"/>
    </row>
    <row r="11" spans="1:6">
      <c r="A11" s="3">
        <v>9</v>
      </c>
      <c r="B11" s="3"/>
      <c r="C11" s="3" t="s">
        <v>691</v>
      </c>
      <c r="D11" s="3" t="s">
        <v>692</v>
      </c>
      <c r="E11" s="6">
        <f>50*12</f>
        <v>600</v>
      </c>
      <c r="F11" s="3"/>
    </row>
    <row r="12" spans="1:6">
      <c r="A12" s="3">
        <v>10</v>
      </c>
      <c r="B12" s="3"/>
      <c r="C12" s="3" t="s">
        <v>693</v>
      </c>
      <c r="D12" s="3" t="s">
        <v>694</v>
      </c>
      <c r="E12" s="6">
        <v>400</v>
      </c>
      <c r="F12" s="3"/>
    </row>
    <row r="13" spans="1:6">
      <c r="A13" s="3"/>
      <c r="B13" s="47" t="s">
        <v>695</v>
      </c>
      <c r="C13" s="10" t="s">
        <v>581</v>
      </c>
      <c r="D13" s="3" t="s">
        <v>715</v>
      </c>
      <c r="E13" s="6">
        <f>1500/3*0</f>
        <v>0</v>
      </c>
      <c r="F13" s="3" t="s">
        <v>716</v>
      </c>
    </row>
    <row r="14" spans="1:6">
      <c r="A14" s="3"/>
      <c r="B14" s="48"/>
      <c r="C14" s="10" t="s">
        <v>698</v>
      </c>
      <c r="D14" s="3" t="s">
        <v>699</v>
      </c>
      <c r="E14" s="6">
        <v>100</v>
      </c>
      <c r="F14" s="3"/>
    </row>
    <row r="15" ht="40.5" customHeight="1" spans="1:6">
      <c r="A15" s="3">
        <v>11</v>
      </c>
      <c r="B15" s="48"/>
      <c r="C15" s="10" t="s">
        <v>700</v>
      </c>
      <c r="D15" s="1" t="s">
        <v>717</v>
      </c>
      <c r="E15" s="6">
        <f>12*100</f>
        <v>1200</v>
      </c>
      <c r="F15" s="3" t="s">
        <v>718</v>
      </c>
    </row>
    <row r="16" ht="27" customHeight="1" spans="1:6">
      <c r="A16" s="3">
        <v>12</v>
      </c>
      <c r="B16" s="49"/>
      <c r="C16" s="13" t="s">
        <v>703</v>
      </c>
      <c r="D16" s="3" t="s">
        <v>704</v>
      </c>
      <c r="E16" s="6">
        <f>600/2</f>
        <v>300</v>
      </c>
      <c r="F16" s="12" t="s">
        <v>705</v>
      </c>
    </row>
    <row r="17" ht="27" customHeight="1" spans="1:6">
      <c r="A17" s="3">
        <v>13</v>
      </c>
      <c r="B17" s="3" t="s">
        <v>706</v>
      </c>
      <c r="C17" s="3"/>
      <c r="D17" s="15">
        <v>0.05</v>
      </c>
      <c r="E17" s="6">
        <f>SUM(E3:E16)*0.05</f>
        <v>1931.96551724138</v>
      </c>
      <c r="F17" s="3" t="s">
        <v>707</v>
      </c>
    </row>
    <row r="18" spans="1:6">
      <c r="A18" s="3">
        <v>14</v>
      </c>
      <c r="B18" s="3" t="s">
        <v>708</v>
      </c>
      <c r="C18" s="3"/>
      <c r="D18" s="15">
        <v>0.06</v>
      </c>
      <c r="E18" s="6">
        <f>SUM(E3:E17)*0.06</f>
        <v>2434.27655172414</v>
      </c>
      <c r="F18" s="3"/>
    </row>
    <row r="19" spans="1:6">
      <c r="A19" s="3">
        <v>15</v>
      </c>
      <c r="B19" s="3" t="s">
        <v>287</v>
      </c>
      <c r="C19" s="3"/>
      <c r="D19" s="3"/>
      <c r="E19" s="6">
        <f>SUM(E3:E18)</f>
        <v>43005.5524137931</v>
      </c>
      <c r="F19" s="3" t="s">
        <v>709</v>
      </c>
    </row>
  </sheetData>
  <mergeCells count="8">
    <mergeCell ref="A1:F1"/>
    <mergeCell ref="B2:C2"/>
    <mergeCell ref="B17:C17"/>
    <mergeCell ref="B18:C18"/>
    <mergeCell ref="B19:D19"/>
    <mergeCell ref="B3:B12"/>
    <mergeCell ref="B13:B16"/>
    <mergeCell ref="C5:C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4" workbookViewId="0">
      <selection activeCell="D8" sqref="D8"/>
    </sheetView>
  </sheetViews>
  <sheetFormatPr defaultColWidth="8.62962962962963" defaultRowHeight="14.4"/>
  <cols>
    <col min="1" max="1" width="5.12962962962963" style="1" customWidth="1"/>
    <col min="2" max="2" width="7.25925925925926" style="1" customWidth="1"/>
    <col min="3" max="3" width="8.37962962962963" style="1" customWidth="1"/>
    <col min="4" max="4" width="26" style="1" customWidth="1"/>
    <col min="5" max="5" width="20.8796296296296" style="1" customWidth="1"/>
    <col min="6" max="6" width="19.3796296296296" style="1" customWidth="1"/>
    <col min="7" max="7" width="7.5" style="1" customWidth="1"/>
    <col min="8" max="8" width="9" style="1" customWidth="1"/>
    <col min="9" max="9" width="28.3796296296296" style="1" customWidth="1"/>
    <col min="10" max="10" width="25.5" style="1" customWidth="1"/>
    <col min="11" max="31" width="9" style="1" customWidth="1"/>
    <col min="32" max="255" width="8.62962962962963" style="1"/>
    <col min="256" max="256" width="5.12962962962963" style="1" customWidth="1"/>
    <col min="257" max="257" width="7.25925925925926" style="1" customWidth="1"/>
    <col min="258" max="258" width="8.37962962962963" style="1" customWidth="1"/>
    <col min="259" max="259" width="26" style="1" customWidth="1"/>
    <col min="260" max="260" width="33.2592592592593" style="1" customWidth="1"/>
    <col min="261" max="261" width="20.8796296296296" style="1" customWidth="1"/>
    <col min="262" max="262" width="19.3796296296296" style="1" customWidth="1"/>
    <col min="263" max="263" width="7.5" style="1" customWidth="1"/>
    <col min="264" max="287" width="9" style="1" customWidth="1"/>
    <col min="288" max="511" width="8.62962962962963" style="1"/>
    <col min="512" max="512" width="5.12962962962963" style="1" customWidth="1"/>
    <col min="513" max="513" width="7.25925925925926" style="1" customWidth="1"/>
    <col min="514" max="514" width="8.37962962962963" style="1" customWidth="1"/>
    <col min="515" max="515" width="26" style="1" customWidth="1"/>
    <col min="516" max="516" width="33.2592592592593" style="1" customWidth="1"/>
    <col min="517" max="517" width="20.8796296296296" style="1" customWidth="1"/>
    <col min="518" max="518" width="19.3796296296296" style="1" customWidth="1"/>
    <col min="519" max="519" width="7.5" style="1" customWidth="1"/>
    <col min="520" max="543" width="9" style="1" customWidth="1"/>
    <col min="544" max="767" width="8.62962962962963" style="1"/>
    <col min="768" max="768" width="5.12962962962963" style="1" customWidth="1"/>
    <col min="769" max="769" width="7.25925925925926" style="1" customWidth="1"/>
    <col min="770" max="770" width="8.37962962962963" style="1" customWidth="1"/>
    <col min="771" max="771" width="26" style="1" customWidth="1"/>
    <col min="772" max="772" width="33.2592592592593" style="1" customWidth="1"/>
    <col min="773" max="773" width="20.8796296296296" style="1" customWidth="1"/>
    <col min="774" max="774" width="19.3796296296296" style="1" customWidth="1"/>
    <col min="775" max="775" width="7.5" style="1" customWidth="1"/>
    <col min="776" max="799" width="9" style="1" customWidth="1"/>
    <col min="800" max="1023" width="8.62962962962963" style="1"/>
    <col min="1024" max="1024" width="5.12962962962963" style="1" customWidth="1"/>
    <col min="1025" max="1025" width="7.25925925925926" style="1" customWidth="1"/>
    <col min="1026" max="1026" width="8.37962962962963" style="1" customWidth="1"/>
    <col min="1027" max="1027" width="26" style="1" customWidth="1"/>
    <col min="1028" max="1028" width="33.2592592592593" style="1" customWidth="1"/>
    <col min="1029" max="1029" width="20.8796296296296" style="1" customWidth="1"/>
    <col min="1030" max="1030" width="19.3796296296296" style="1" customWidth="1"/>
    <col min="1031" max="1031" width="7.5" style="1" customWidth="1"/>
    <col min="1032" max="1055" width="9" style="1" customWidth="1"/>
    <col min="1056" max="1279" width="8.62962962962963" style="1"/>
    <col min="1280" max="1280" width="5.12962962962963" style="1" customWidth="1"/>
    <col min="1281" max="1281" width="7.25925925925926" style="1" customWidth="1"/>
    <col min="1282" max="1282" width="8.37962962962963" style="1" customWidth="1"/>
    <col min="1283" max="1283" width="26" style="1" customWidth="1"/>
    <col min="1284" max="1284" width="33.2592592592593" style="1" customWidth="1"/>
    <col min="1285" max="1285" width="20.8796296296296" style="1" customWidth="1"/>
    <col min="1286" max="1286" width="19.3796296296296" style="1" customWidth="1"/>
    <col min="1287" max="1287" width="7.5" style="1" customWidth="1"/>
    <col min="1288" max="1311" width="9" style="1" customWidth="1"/>
    <col min="1312" max="1535" width="8.62962962962963" style="1"/>
    <col min="1536" max="1536" width="5.12962962962963" style="1" customWidth="1"/>
    <col min="1537" max="1537" width="7.25925925925926" style="1" customWidth="1"/>
    <col min="1538" max="1538" width="8.37962962962963" style="1" customWidth="1"/>
    <col min="1539" max="1539" width="26" style="1" customWidth="1"/>
    <col min="1540" max="1540" width="33.2592592592593" style="1" customWidth="1"/>
    <col min="1541" max="1541" width="20.8796296296296" style="1" customWidth="1"/>
    <col min="1542" max="1542" width="19.3796296296296" style="1" customWidth="1"/>
    <col min="1543" max="1543" width="7.5" style="1" customWidth="1"/>
    <col min="1544" max="1567" width="9" style="1" customWidth="1"/>
    <col min="1568" max="1791" width="8.62962962962963" style="1"/>
    <col min="1792" max="1792" width="5.12962962962963" style="1" customWidth="1"/>
    <col min="1793" max="1793" width="7.25925925925926" style="1" customWidth="1"/>
    <col min="1794" max="1794" width="8.37962962962963" style="1" customWidth="1"/>
    <col min="1795" max="1795" width="26" style="1" customWidth="1"/>
    <col min="1796" max="1796" width="33.2592592592593" style="1" customWidth="1"/>
    <col min="1797" max="1797" width="20.8796296296296" style="1" customWidth="1"/>
    <col min="1798" max="1798" width="19.3796296296296" style="1" customWidth="1"/>
    <col min="1799" max="1799" width="7.5" style="1" customWidth="1"/>
    <col min="1800" max="1823" width="9" style="1" customWidth="1"/>
    <col min="1824" max="2047" width="8.62962962962963" style="1"/>
    <col min="2048" max="2048" width="5.12962962962963" style="1" customWidth="1"/>
    <col min="2049" max="2049" width="7.25925925925926" style="1" customWidth="1"/>
    <col min="2050" max="2050" width="8.37962962962963" style="1" customWidth="1"/>
    <col min="2051" max="2051" width="26" style="1" customWidth="1"/>
    <col min="2052" max="2052" width="33.2592592592593" style="1" customWidth="1"/>
    <col min="2053" max="2053" width="20.8796296296296" style="1" customWidth="1"/>
    <col min="2054" max="2054" width="19.3796296296296" style="1" customWidth="1"/>
    <col min="2055" max="2055" width="7.5" style="1" customWidth="1"/>
    <col min="2056" max="2079" width="9" style="1" customWidth="1"/>
    <col min="2080" max="2303" width="8.62962962962963" style="1"/>
    <col min="2304" max="2304" width="5.12962962962963" style="1" customWidth="1"/>
    <col min="2305" max="2305" width="7.25925925925926" style="1" customWidth="1"/>
    <col min="2306" max="2306" width="8.37962962962963" style="1" customWidth="1"/>
    <col min="2307" max="2307" width="26" style="1" customWidth="1"/>
    <col min="2308" max="2308" width="33.2592592592593" style="1" customWidth="1"/>
    <col min="2309" max="2309" width="20.8796296296296" style="1" customWidth="1"/>
    <col min="2310" max="2310" width="19.3796296296296" style="1" customWidth="1"/>
    <col min="2311" max="2311" width="7.5" style="1" customWidth="1"/>
    <col min="2312" max="2335" width="9" style="1" customWidth="1"/>
    <col min="2336" max="2559" width="8.62962962962963" style="1"/>
    <col min="2560" max="2560" width="5.12962962962963" style="1" customWidth="1"/>
    <col min="2561" max="2561" width="7.25925925925926" style="1" customWidth="1"/>
    <col min="2562" max="2562" width="8.37962962962963" style="1" customWidth="1"/>
    <col min="2563" max="2563" width="26" style="1" customWidth="1"/>
    <col min="2564" max="2564" width="33.2592592592593" style="1" customWidth="1"/>
    <col min="2565" max="2565" width="20.8796296296296" style="1" customWidth="1"/>
    <col min="2566" max="2566" width="19.3796296296296" style="1" customWidth="1"/>
    <col min="2567" max="2567" width="7.5" style="1" customWidth="1"/>
    <col min="2568" max="2591" width="9" style="1" customWidth="1"/>
    <col min="2592" max="2815" width="8.62962962962963" style="1"/>
    <col min="2816" max="2816" width="5.12962962962963" style="1" customWidth="1"/>
    <col min="2817" max="2817" width="7.25925925925926" style="1" customWidth="1"/>
    <col min="2818" max="2818" width="8.37962962962963" style="1" customWidth="1"/>
    <col min="2819" max="2819" width="26" style="1" customWidth="1"/>
    <col min="2820" max="2820" width="33.2592592592593" style="1" customWidth="1"/>
    <col min="2821" max="2821" width="20.8796296296296" style="1" customWidth="1"/>
    <col min="2822" max="2822" width="19.3796296296296" style="1" customWidth="1"/>
    <col min="2823" max="2823" width="7.5" style="1" customWidth="1"/>
    <col min="2824" max="2847" width="9" style="1" customWidth="1"/>
    <col min="2848" max="3071" width="8.62962962962963" style="1"/>
    <col min="3072" max="3072" width="5.12962962962963" style="1" customWidth="1"/>
    <col min="3073" max="3073" width="7.25925925925926" style="1" customWidth="1"/>
    <col min="3074" max="3074" width="8.37962962962963" style="1" customWidth="1"/>
    <col min="3075" max="3075" width="26" style="1" customWidth="1"/>
    <col min="3076" max="3076" width="33.2592592592593" style="1" customWidth="1"/>
    <col min="3077" max="3077" width="20.8796296296296" style="1" customWidth="1"/>
    <col min="3078" max="3078" width="19.3796296296296" style="1" customWidth="1"/>
    <col min="3079" max="3079" width="7.5" style="1" customWidth="1"/>
    <col min="3080" max="3103" width="9" style="1" customWidth="1"/>
    <col min="3104" max="3327" width="8.62962962962963" style="1"/>
    <col min="3328" max="3328" width="5.12962962962963" style="1" customWidth="1"/>
    <col min="3329" max="3329" width="7.25925925925926" style="1" customWidth="1"/>
    <col min="3330" max="3330" width="8.37962962962963" style="1" customWidth="1"/>
    <col min="3331" max="3331" width="26" style="1" customWidth="1"/>
    <col min="3332" max="3332" width="33.2592592592593" style="1" customWidth="1"/>
    <col min="3333" max="3333" width="20.8796296296296" style="1" customWidth="1"/>
    <col min="3334" max="3334" width="19.3796296296296" style="1" customWidth="1"/>
    <col min="3335" max="3335" width="7.5" style="1" customWidth="1"/>
    <col min="3336" max="3359" width="9" style="1" customWidth="1"/>
    <col min="3360" max="3583" width="8.62962962962963" style="1"/>
    <col min="3584" max="3584" width="5.12962962962963" style="1" customWidth="1"/>
    <col min="3585" max="3585" width="7.25925925925926" style="1" customWidth="1"/>
    <col min="3586" max="3586" width="8.37962962962963" style="1" customWidth="1"/>
    <col min="3587" max="3587" width="26" style="1" customWidth="1"/>
    <col min="3588" max="3588" width="33.2592592592593" style="1" customWidth="1"/>
    <col min="3589" max="3589" width="20.8796296296296" style="1" customWidth="1"/>
    <col min="3590" max="3590" width="19.3796296296296" style="1" customWidth="1"/>
    <col min="3591" max="3591" width="7.5" style="1" customWidth="1"/>
    <col min="3592" max="3615" width="9" style="1" customWidth="1"/>
    <col min="3616" max="3839" width="8.62962962962963" style="1"/>
    <col min="3840" max="3840" width="5.12962962962963" style="1" customWidth="1"/>
    <col min="3841" max="3841" width="7.25925925925926" style="1" customWidth="1"/>
    <col min="3842" max="3842" width="8.37962962962963" style="1" customWidth="1"/>
    <col min="3843" max="3843" width="26" style="1" customWidth="1"/>
    <col min="3844" max="3844" width="33.2592592592593" style="1" customWidth="1"/>
    <col min="3845" max="3845" width="20.8796296296296" style="1" customWidth="1"/>
    <col min="3846" max="3846" width="19.3796296296296" style="1" customWidth="1"/>
    <col min="3847" max="3847" width="7.5" style="1" customWidth="1"/>
    <col min="3848" max="3871" width="9" style="1" customWidth="1"/>
    <col min="3872" max="4095" width="8.62962962962963" style="1"/>
    <col min="4096" max="4096" width="5.12962962962963" style="1" customWidth="1"/>
    <col min="4097" max="4097" width="7.25925925925926" style="1" customWidth="1"/>
    <col min="4098" max="4098" width="8.37962962962963" style="1" customWidth="1"/>
    <col min="4099" max="4099" width="26" style="1" customWidth="1"/>
    <col min="4100" max="4100" width="33.2592592592593" style="1" customWidth="1"/>
    <col min="4101" max="4101" width="20.8796296296296" style="1" customWidth="1"/>
    <col min="4102" max="4102" width="19.3796296296296" style="1" customWidth="1"/>
    <col min="4103" max="4103" width="7.5" style="1" customWidth="1"/>
    <col min="4104" max="4127" width="9" style="1" customWidth="1"/>
    <col min="4128" max="4351" width="8.62962962962963" style="1"/>
    <col min="4352" max="4352" width="5.12962962962963" style="1" customWidth="1"/>
    <col min="4353" max="4353" width="7.25925925925926" style="1" customWidth="1"/>
    <col min="4354" max="4354" width="8.37962962962963" style="1" customWidth="1"/>
    <col min="4355" max="4355" width="26" style="1" customWidth="1"/>
    <col min="4356" max="4356" width="33.2592592592593" style="1" customWidth="1"/>
    <col min="4357" max="4357" width="20.8796296296296" style="1" customWidth="1"/>
    <col min="4358" max="4358" width="19.3796296296296" style="1" customWidth="1"/>
    <col min="4359" max="4359" width="7.5" style="1" customWidth="1"/>
    <col min="4360" max="4383" width="9" style="1" customWidth="1"/>
    <col min="4384" max="4607" width="8.62962962962963" style="1"/>
    <col min="4608" max="4608" width="5.12962962962963" style="1" customWidth="1"/>
    <col min="4609" max="4609" width="7.25925925925926" style="1" customWidth="1"/>
    <col min="4610" max="4610" width="8.37962962962963" style="1" customWidth="1"/>
    <col min="4611" max="4611" width="26" style="1" customWidth="1"/>
    <col min="4612" max="4612" width="33.2592592592593" style="1" customWidth="1"/>
    <col min="4613" max="4613" width="20.8796296296296" style="1" customWidth="1"/>
    <col min="4614" max="4614" width="19.3796296296296" style="1" customWidth="1"/>
    <col min="4615" max="4615" width="7.5" style="1" customWidth="1"/>
    <col min="4616" max="4639" width="9" style="1" customWidth="1"/>
    <col min="4640" max="4863" width="8.62962962962963" style="1"/>
    <col min="4864" max="4864" width="5.12962962962963" style="1" customWidth="1"/>
    <col min="4865" max="4865" width="7.25925925925926" style="1" customWidth="1"/>
    <col min="4866" max="4866" width="8.37962962962963" style="1" customWidth="1"/>
    <col min="4867" max="4867" width="26" style="1" customWidth="1"/>
    <col min="4868" max="4868" width="33.2592592592593" style="1" customWidth="1"/>
    <col min="4869" max="4869" width="20.8796296296296" style="1" customWidth="1"/>
    <col min="4870" max="4870" width="19.3796296296296" style="1" customWidth="1"/>
    <col min="4871" max="4871" width="7.5" style="1" customWidth="1"/>
    <col min="4872" max="4895" width="9" style="1" customWidth="1"/>
    <col min="4896" max="5119" width="8.62962962962963" style="1"/>
    <col min="5120" max="5120" width="5.12962962962963" style="1" customWidth="1"/>
    <col min="5121" max="5121" width="7.25925925925926" style="1" customWidth="1"/>
    <col min="5122" max="5122" width="8.37962962962963" style="1" customWidth="1"/>
    <col min="5123" max="5123" width="26" style="1" customWidth="1"/>
    <col min="5124" max="5124" width="33.2592592592593" style="1" customWidth="1"/>
    <col min="5125" max="5125" width="20.8796296296296" style="1" customWidth="1"/>
    <col min="5126" max="5126" width="19.3796296296296" style="1" customWidth="1"/>
    <col min="5127" max="5127" width="7.5" style="1" customWidth="1"/>
    <col min="5128" max="5151" width="9" style="1" customWidth="1"/>
    <col min="5152" max="5375" width="8.62962962962963" style="1"/>
    <col min="5376" max="5376" width="5.12962962962963" style="1" customWidth="1"/>
    <col min="5377" max="5377" width="7.25925925925926" style="1" customWidth="1"/>
    <col min="5378" max="5378" width="8.37962962962963" style="1" customWidth="1"/>
    <col min="5379" max="5379" width="26" style="1" customWidth="1"/>
    <col min="5380" max="5380" width="33.2592592592593" style="1" customWidth="1"/>
    <col min="5381" max="5381" width="20.8796296296296" style="1" customWidth="1"/>
    <col min="5382" max="5382" width="19.3796296296296" style="1" customWidth="1"/>
    <col min="5383" max="5383" width="7.5" style="1" customWidth="1"/>
    <col min="5384" max="5407" width="9" style="1" customWidth="1"/>
    <col min="5408" max="5631" width="8.62962962962963" style="1"/>
    <col min="5632" max="5632" width="5.12962962962963" style="1" customWidth="1"/>
    <col min="5633" max="5633" width="7.25925925925926" style="1" customWidth="1"/>
    <col min="5634" max="5634" width="8.37962962962963" style="1" customWidth="1"/>
    <col min="5635" max="5635" width="26" style="1" customWidth="1"/>
    <col min="5636" max="5636" width="33.2592592592593" style="1" customWidth="1"/>
    <col min="5637" max="5637" width="20.8796296296296" style="1" customWidth="1"/>
    <col min="5638" max="5638" width="19.3796296296296" style="1" customWidth="1"/>
    <col min="5639" max="5639" width="7.5" style="1" customWidth="1"/>
    <col min="5640" max="5663" width="9" style="1" customWidth="1"/>
    <col min="5664" max="5887" width="8.62962962962963" style="1"/>
    <col min="5888" max="5888" width="5.12962962962963" style="1" customWidth="1"/>
    <col min="5889" max="5889" width="7.25925925925926" style="1" customWidth="1"/>
    <col min="5890" max="5890" width="8.37962962962963" style="1" customWidth="1"/>
    <col min="5891" max="5891" width="26" style="1" customWidth="1"/>
    <col min="5892" max="5892" width="33.2592592592593" style="1" customWidth="1"/>
    <col min="5893" max="5893" width="20.8796296296296" style="1" customWidth="1"/>
    <col min="5894" max="5894" width="19.3796296296296" style="1" customWidth="1"/>
    <col min="5895" max="5895" width="7.5" style="1" customWidth="1"/>
    <col min="5896" max="5919" width="9" style="1" customWidth="1"/>
    <col min="5920" max="6143" width="8.62962962962963" style="1"/>
    <col min="6144" max="6144" width="5.12962962962963" style="1" customWidth="1"/>
    <col min="6145" max="6145" width="7.25925925925926" style="1" customWidth="1"/>
    <col min="6146" max="6146" width="8.37962962962963" style="1" customWidth="1"/>
    <col min="6147" max="6147" width="26" style="1" customWidth="1"/>
    <col min="6148" max="6148" width="33.2592592592593" style="1" customWidth="1"/>
    <col min="6149" max="6149" width="20.8796296296296" style="1" customWidth="1"/>
    <col min="6150" max="6150" width="19.3796296296296" style="1" customWidth="1"/>
    <col min="6151" max="6151" width="7.5" style="1" customWidth="1"/>
    <col min="6152" max="6175" width="9" style="1" customWidth="1"/>
    <col min="6176" max="6399" width="8.62962962962963" style="1"/>
    <col min="6400" max="6400" width="5.12962962962963" style="1" customWidth="1"/>
    <col min="6401" max="6401" width="7.25925925925926" style="1" customWidth="1"/>
    <col min="6402" max="6402" width="8.37962962962963" style="1" customWidth="1"/>
    <col min="6403" max="6403" width="26" style="1" customWidth="1"/>
    <col min="6404" max="6404" width="33.2592592592593" style="1" customWidth="1"/>
    <col min="6405" max="6405" width="20.8796296296296" style="1" customWidth="1"/>
    <col min="6406" max="6406" width="19.3796296296296" style="1" customWidth="1"/>
    <col min="6407" max="6407" width="7.5" style="1" customWidth="1"/>
    <col min="6408" max="6431" width="9" style="1" customWidth="1"/>
    <col min="6432" max="6655" width="8.62962962962963" style="1"/>
    <col min="6656" max="6656" width="5.12962962962963" style="1" customWidth="1"/>
    <col min="6657" max="6657" width="7.25925925925926" style="1" customWidth="1"/>
    <col min="6658" max="6658" width="8.37962962962963" style="1" customWidth="1"/>
    <col min="6659" max="6659" width="26" style="1" customWidth="1"/>
    <col min="6660" max="6660" width="33.2592592592593" style="1" customWidth="1"/>
    <col min="6661" max="6661" width="20.8796296296296" style="1" customWidth="1"/>
    <col min="6662" max="6662" width="19.3796296296296" style="1" customWidth="1"/>
    <col min="6663" max="6663" width="7.5" style="1" customWidth="1"/>
    <col min="6664" max="6687" width="9" style="1" customWidth="1"/>
    <col min="6688" max="6911" width="8.62962962962963" style="1"/>
    <col min="6912" max="6912" width="5.12962962962963" style="1" customWidth="1"/>
    <col min="6913" max="6913" width="7.25925925925926" style="1" customWidth="1"/>
    <col min="6914" max="6914" width="8.37962962962963" style="1" customWidth="1"/>
    <col min="6915" max="6915" width="26" style="1" customWidth="1"/>
    <col min="6916" max="6916" width="33.2592592592593" style="1" customWidth="1"/>
    <col min="6917" max="6917" width="20.8796296296296" style="1" customWidth="1"/>
    <col min="6918" max="6918" width="19.3796296296296" style="1" customWidth="1"/>
    <col min="6919" max="6919" width="7.5" style="1" customWidth="1"/>
    <col min="6920" max="6943" width="9" style="1" customWidth="1"/>
    <col min="6944" max="7167" width="8.62962962962963" style="1"/>
    <col min="7168" max="7168" width="5.12962962962963" style="1" customWidth="1"/>
    <col min="7169" max="7169" width="7.25925925925926" style="1" customWidth="1"/>
    <col min="7170" max="7170" width="8.37962962962963" style="1" customWidth="1"/>
    <col min="7171" max="7171" width="26" style="1" customWidth="1"/>
    <col min="7172" max="7172" width="33.2592592592593" style="1" customWidth="1"/>
    <col min="7173" max="7173" width="20.8796296296296" style="1" customWidth="1"/>
    <col min="7174" max="7174" width="19.3796296296296" style="1" customWidth="1"/>
    <col min="7175" max="7175" width="7.5" style="1" customWidth="1"/>
    <col min="7176" max="7199" width="9" style="1" customWidth="1"/>
    <col min="7200" max="7423" width="8.62962962962963" style="1"/>
    <col min="7424" max="7424" width="5.12962962962963" style="1" customWidth="1"/>
    <col min="7425" max="7425" width="7.25925925925926" style="1" customWidth="1"/>
    <col min="7426" max="7426" width="8.37962962962963" style="1" customWidth="1"/>
    <col min="7427" max="7427" width="26" style="1" customWidth="1"/>
    <col min="7428" max="7428" width="33.2592592592593" style="1" customWidth="1"/>
    <col min="7429" max="7429" width="20.8796296296296" style="1" customWidth="1"/>
    <col min="7430" max="7430" width="19.3796296296296" style="1" customWidth="1"/>
    <col min="7431" max="7431" width="7.5" style="1" customWidth="1"/>
    <col min="7432" max="7455" width="9" style="1" customWidth="1"/>
    <col min="7456" max="7679" width="8.62962962962963" style="1"/>
    <col min="7680" max="7680" width="5.12962962962963" style="1" customWidth="1"/>
    <col min="7681" max="7681" width="7.25925925925926" style="1" customWidth="1"/>
    <col min="7682" max="7682" width="8.37962962962963" style="1" customWidth="1"/>
    <col min="7683" max="7683" width="26" style="1" customWidth="1"/>
    <col min="7684" max="7684" width="33.2592592592593" style="1" customWidth="1"/>
    <col min="7685" max="7685" width="20.8796296296296" style="1" customWidth="1"/>
    <col min="7686" max="7686" width="19.3796296296296" style="1" customWidth="1"/>
    <col min="7687" max="7687" width="7.5" style="1" customWidth="1"/>
    <col min="7688" max="7711" width="9" style="1" customWidth="1"/>
    <col min="7712" max="7935" width="8.62962962962963" style="1"/>
    <col min="7936" max="7936" width="5.12962962962963" style="1" customWidth="1"/>
    <col min="7937" max="7937" width="7.25925925925926" style="1" customWidth="1"/>
    <col min="7938" max="7938" width="8.37962962962963" style="1" customWidth="1"/>
    <col min="7939" max="7939" width="26" style="1" customWidth="1"/>
    <col min="7940" max="7940" width="33.2592592592593" style="1" customWidth="1"/>
    <col min="7941" max="7941" width="20.8796296296296" style="1" customWidth="1"/>
    <col min="7942" max="7942" width="19.3796296296296" style="1" customWidth="1"/>
    <col min="7943" max="7943" width="7.5" style="1" customWidth="1"/>
    <col min="7944" max="7967" width="9" style="1" customWidth="1"/>
    <col min="7968" max="8191" width="8.62962962962963" style="1"/>
    <col min="8192" max="8192" width="5.12962962962963" style="1" customWidth="1"/>
    <col min="8193" max="8193" width="7.25925925925926" style="1" customWidth="1"/>
    <col min="8194" max="8194" width="8.37962962962963" style="1" customWidth="1"/>
    <col min="8195" max="8195" width="26" style="1" customWidth="1"/>
    <col min="8196" max="8196" width="33.2592592592593" style="1" customWidth="1"/>
    <col min="8197" max="8197" width="20.8796296296296" style="1" customWidth="1"/>
    <col min="8198" max="8198" width="19.3796296296296" style="1" customWidth="1"/>
    <col min="8199" max="8199" width="7.5" style="1" customWidth="1"/>
    <col min="8200" max="8223" width="9" style="1" customWidth="1"/>
    <col min="8224" max="8447" width="8.62962962962963" style="1"/>
    <col min="8448" max="8448" width="5.12962962962963" style="1" customWidth="1"/>
    <col min="8449" max="8449" width="7.25925925925926" style="1" customWidth="1"/>
    <col min="8450" max="8450" width="8.37962962962963" style="1" customWidth="1"/>
    <col min="8451" max="8451" width="26" style="1" customWidth="1"/>
    <col min="8452" max="8452" width="33.2592592592593" style="1" customWidth="1"/>
    <col min="8453" max="8453" width="20.8796296296296" style="1" customWidth="1"/>
    <col min="8454" max="8454" width="19.3796296296296" style="1" customWidth="1"/>
    <col min="8455" max="8455" width="7.5" style="1" customWidth="1"/>
    <col min="8456" max="8479" width="9" style="1" customWidth="1"/>
    <col min="8480" max="8703" width="8.62962962962963" style="1"/>
    <col min="8704" max="8704" width="5.12962962962963" style="1" customWidth="1"/>
    <col min="8705" max="8705" width="7.25925925925926" style="1" customWidth="1"/>
    <col min="8706" max="8706" width="8.37962962962963" style="1" customWidth="1"/>
    <col min="8707" max="8707" width="26" style="1" customWidth="1"/>
    <col min="8708" max="8708" width="33.2592592592593" style="1" customWidth="1"/>
    <col min="8709" max="8709" width="20.8796296296296" style="1" customWidth="1"/>
    <col min="8710" max="8710" width="19.3796296296296" style="1" customWidth="1"/>
    <col min="8711" max="8711" width="7.5" style="1" customWidth="1"/>
    <col min="8712" max="8735" width="9" style="1" customWidth="1"/>
    <col min="8736" max="8959" width="8.62962962962963" style="1"/>
    <col min="8960" max="8960" width="5.12962962962963" style="1" customWidth="1"/>
    <col min="8961" max="8961" width="7.25925925925926" style="1" customWidth="1"/>
    <col min="8962" max="8962" width="8.37962962962963" style="1" customWidth="1"/>
    <col min="8963" max="8963" width="26" style="1" customWidth="1"/>
    <col min="8964" max="8964" width="33.2592592592593" style="1" customWidth="1"/>
    <col min="8965" max="8965" width="20.8796296296296" style="1" customWidth="1"/>
    <col min="8966" max="8966" width="19.3796296296296" style="1" customWidth="1"/>
    <col min="8967" max="8967" width="7.5" style="1" customWidth="1"/>
    <col min="8968" max="8991" width="9" style="1" customWidth="1"/>
    <col min="8992" max="9215" width="8.62962962962963" style="1"/>
    <col min="9216" max="9216" width="5.12962962962963" style="1" customWidth="1"/>
    <col min="9217" max="9217" width="7.25925925925926" style="1" customWidth="1"/>
    <col min="9218" max="9218" width="8.37962962962963" style="1" customWidth="1"/>
    <col min="9219" max="9219" width="26" style="1" customWidth="1"/>
    <col min="9220" max="9220" width="33.2592592592593" style="1" customWidth="1"/>
    <col min="9221" max="9221" width="20.8796296296296" style="1" customWidth="1"/>
    <col min="9222" max="9222" width="19.3796296296296" style="1" customWidth="1"/>
    <col min="9223" max="9223" width="7.5" style="1" customWidth="1"/>
    <col min="9224" max="9247" width="9" style="1" customWidth="1"/>
    <col min="9248" max="9471" width="8.62962962962963" style="1"/>
    <col min="9472" max="9472" width="5.12962962962963" style="1" customWidth="1"/>
    <col min="9473" max="9473" width="7.25925925925926" style="1" customWidth="1"/>
    <col min="9474" max="9474" width="8.37962962962963" style="1" customWidth="1"/>
    <col min="9475" max="9475" width="26" style="1" customWidth="1"/>
    <col min="9476" max="9476" width="33.2592592592593" style="1" customWidth="1"/>
    <col min="9477" max="9477" width="20.8796296296296" style="1" customWidth="1"/>
    <col min="9478" max="9478" width="19.3796296296296" style="1" customWidth="1"/>
    <col min="9479" max="9479" width="7.5" style="1" customWidth="1"/>
    <col min="9480" max="9503" width="9" style="1" customWidth="1"/>
    <col min="9504" max="9727" width="8.62962962962963" style="1"/>
    <col min="9728" max="9728" width="5.12962962962963" style="1" customWidth="1"/>
    <col min="9729" max="9729" width="7.25925925925926" style="1" customWidth="1"/>
    <col min="9730" max="9730" width="8.37962962962963" style="1" customWidth="1"/>
    <col min="9731" max="9731" width="26" style="1" customWidth="1"/>
    <col min="9732" max="9732" width="33.2592592592593" style="1" customWidth="1"/>
    <col min="9733" max="9733" width="20.8796296296296" style="1" customWidth="1"/>
    <col min="9734" max="9734" width="19.3796296296296" style="1" customWidth="1"/>
    <col min="9735" max="9735" width="7.5" style="1" customWidth="1"/>
    <col min="9736" max="9759" width="9" style="1" customWidth="1"/>
    <col min="9760" max="9983" width="8.62962962962963" style="1"/>
    <col min="9984" max="9984" width="5.12962962962963" style="1" customWidth="1"/>
    <col min="9985" max="9985" width="7.25925925925926" style="1" customWidth="1"/>
    <col min="9986" max="9986" width="8.37962962962963" style="1" customWidth="1"/>
    <col min="9987" max="9987" width="26" style="1" customWidth="1"/>
    <col min="9988" max="9988" width="33.2592592592593" style="1" customWidth="1"/>
    <col min="9989" max="9989" width="20.8796296296296" style="1" customWidth="1"/>
    <col min="9990" max="9990" width="19.3796296296296" style="1" customWidth="1"/>
    <col min="9991" max="9991" width="7.5" style="1" customWidth="1"/>
    <col min="9992" max="10015" width="9" style="1" customWidth="1"/>
    <col min="10016" max="10239" width="8.62962962962963" style="1"/>
    <col min="10240" max="10240" width="5.12962962962963" style="1" customWidth="1"/>
    <col min="10241" max="10241" width="7.25925925925926" style="1" customWidth="1"/>
    <col min="10242" max="10242" width="8.37962962962963" style="1" customWidth="1"/>
    <col min="10243" max="10243" width="26" style="1" customWidth="1"/>
    <col min="10244" max="10244" width="33.2592592592593" style="1" customWidth="1"/>
    <col min="10245" max="10245" width="20.8796296296296" style="1" customWidth="1"/>
    <col min="10246" max="10246" width="19.3796296296296" style="1" customWidth="1"/>
    <col min="10247" max="10247" width="7.5" style="1" customWidth="1"/>
    <col min="10248" max="10271" width="9" style="1" customWidth="1"/>
    <col min="10272" max="10495" width="8.62962962962963" style="1"/>
    <col min="10496" max="10496" width="5.12962962962963" style="1" customWidth="1"/>
    <col min="10497" max="10497" width="7.25925925925926" style="1" customWidth="1"/>
    <col min="10498" max="10498" width="8.37962962962963" style="1" customWidth="1"/>
    <col min="10499" max="10499" width="26" style="1" customWidth="1"/>
    <col min="10500" max="10500" width="33.2592592592593" style="1" customWidth="1"/>
    <col min="10501" max="10501" width="20.8796296296296" style="1" customWidth="1"/>
    <col min="10502" max="10502" width="19.3796296296296" style="1" customWidth="1"/>
    <col min="10503" max="10503" width="7.5" style="1" customWidth="1"/>
    <col min="10504" max="10527" width="9" style="1" customWidth="1"/>
    <col min="10528" max="10751" width="8.62962962962963" style="1"/>
    <col min="10752" max="10752" width="5.12962962962963" style="1" customWidth="1"/>
    <col min="10753" max="10753" width="7.25925925925926" style="1" customWidth="1"/>
    <col min="10754" max="10754" width="8.37962962962963" style="1" customWidth="1"/>
    <col min="10755" max="10755" width="26" style="1" customWidth="1"/>
    <col min="10756" max="10756" width="33.2592592592593" style="1" customWidth="1"/>
    <col min="10757" max="10757" width="20.8796296296296" style="1" customWidth="1"/>
    <col min="10758" max="10758" width="19.3796296296296" style="1" customWidth="1"/>
    <col min="10759" max="10759" width="7.5" style="1" customWidth="1"/>
    <col min="10760" max="10783" width="9" style="1" customWidth="1"/>
    <col min="10784" max="11007" width="8.62962962962963" style="1"/>
    <col min="11008" max="11008" width="5.12962962962963" style="1" customWidth="1"/>
    <col min="11009" max="11009" width="7.25925925925926" style="1" customWidth="1"/>
    <col min="11010" max="11010" width="8.37962962962963" style="1" customWidth="1"/>
    <col min="11011" max="11011" width="26" style="1" customWidth="1"/>
    <col min="11012" max="11012" width="33.2592592592593" style="1" customWidth="1"/>
    <col min="11013" max="11013" width="20.8796296296296" style="1" customWidth="1"/>
    <col min="11014" max="11014" width="19.3796296296296" style="1" customWidth="1"/>
    <col min="11015" max="11015" width="7.5" style="1" customWidth="1"/>
    <col min="11016" max="11039" width="9" style="1" customWidth="1"/>
    <col min="11040" max="11263" width="8.62962962962963" style="1"/>
    <col min="11264" max="11264" width="5.12962962962963" style="1" customWidth="1"/>
    <col min="11265" max="11265" width="7.25925925925926" style="1" customWidth="1"/>
    <col min="11266" max="11266" width="8.37962962962963" style="1" customWidth="1"/>
    <col min="11267" max="11267" width="26" style="1" customWidth="1"/>
    <col min="11268" max="11268" width="33.2592592592593" style="1" customWidth="1"/>
    <col min="11269" max="11269" width="20.8796296296296" style="1" customWidth="1"/>
    <col min="11270" max="11270" width="19.3796296296296" style="1" customWidth="1"/>
    <col min="11271" max="11271" width="7.5" style="1" customWidth="1"/>
    <col min="11272" max="11295" width="9" style="1" customWidth="1"/>
    <col min="11296" max="11519" width="8.62962962962963" style="1"/>
    <col min="11520" max="11520" width="5.12962962962963" style="1" customWidth="1"/>
    <col min="11521" max="11521" width="7.25925925925926" style="1" customWidth="1"/>
    <col min="11522" max="11522" width="8.37962962962963" style="1" customWidth="1"/>
    <col min="11523" max="11523" width="26" style="1" customWidth="1"/>
    <col min="11524" max="11524" width="33.2592592592593" style="1" customWidth="1"/>
    <col min="11525" max="11525" width="20.8796296296296" style="1" customWidth="1"/>
    <col min="11526" max="11526" width="19.3796296296296" style="1" customWidth="1"/>
    <col min="11527" max="11527" width="7.5" style="1" customWidth="1"/>
    <col min="11528" max="11551" width="9" style="1" customWidth="1"/>
    <col min="11552" max="11775" width="8.62962962962963" style="1"/>
    <col min="11776" max="11776" width="5.12962962962963" style="1" customWidth="1"/>
    <col min="11777" max="11777" width="7.25925925925926" style="1" customWidth="1"/>
    <col min="11778" max="11778" width="8.37962962962963" style="1" customWidth="1"/>
    <col min="11779" max="11779" width="26" style="1" customWidth="1"/>
    <col min="11780" max="11780" width="33.2592592592593" style="1" customWidth="1"/>
    <col min="11781" max="11781" width="20.8796296296296" style="1" customWidth="1"/>
    <col min="11782" max="11782" width="19.3796296296296" style="1" customWidth="1"/>
    <col min="11783" max="11783" width="7.5" style="1" customWidth="1"/>
    <col min="11784" max="11807" width="9" style="1" customWidth="1"/>
    <col min="11808" max="12031" width="8.62962962962963" style="1"/>
    <col min="12032" max="12032" width="5.12962962962963" style="1" customWidth="1"/>
    <col min="12033" max="12033" width="7.25925925925926" style="1" customWidth="1"/>
    <col min="12034" max="12034" width="8.37962962962963" style="1" customWidth="1"/>
    <col min="12035" max="12035" width="26" style="1" customWidth="1"/>
    <col min="12036" max="12036" width="33.2592592592593" style="1" customWidth="1"/>
    <col min="12037" max="12037" width="20.8796296296296" style="1" customWidth="1"/>
    <col min="12038" max="12038" width="19.3796296296296" style="1" customWidth="1"/>
    <col min="12039" max="12039" width="7.5" style="1" customWidth="1"/>
    <col min="12040" max="12063" width="9" style="1" customWidth="1"/>
    <col min="12064" max="12287" width="8.62962962962963" style="1"/>
    <col min="12288" max="12288" width="5.12962962962963" style="1" customWidth="1"/>
    <col min="12289" max="12289" width="7.25925925925926" style="1" customWidth="1"/>
    <col min="12290" max="12290" width="8.37962962962963" style="1" customWidth="1"/>
    <col min="12291" max="12291" width="26" style="1" customWidth="1"/>
    <col min="12292" max="12292" width="33.2592592592593" style="1" customWidth="1"/>
    <col min="12293" max="12293" width="20.8796296296296" style="1" customWidth="1"/>
    <col min="12294" max="12294" width="19.3796296296296" style="1" customWidth="1"/>
    <col min="12295" max="12295" width="7.5" style="1" customWidth="1"/>
    <col min="12296" max="12319" width="9" style="1" customWidth="1"/>
    <col min="12320" max="12543" width="8.62962962962963" style="1"/>
    <col min="12544" max="12544" width="5.12962962962963" style="1" customWidth="1"/>
    <col min="12545" max="12545" width="7.25925925925926" style="1" customWidth="1"/>
    <col min="12546" max="12546" width="8.37962962962963" style="1" customWidth="1"/>
    <col min="12547" max="12547" width="26" style="1" customWidth="1"/>
    <col min="12548" max="12548" width="33.2592592592593" style="1" customWidth="1"/>
    <col min="12549" max="12549" width="20.8796296296296" style="1" customWidth="1"/>
    <col min="12550" max="12550" width="19.3796296296296" style="1" customWidth="1"/>
    <col min="12551" max="12551" width="7.5" style="1" customWidth="1"/>
    <col min="12552" max="12575" width="9" style="1" customWidth="1"/>
    <col min="12576" max="12799" width="8.62962962962963" style="1"/>
    <col min="12800" max="12800" width="5.12962962962963" style="1" customWidth="1"/>
    <col min="12801" max="12801" width="7.25925925925926" style="1" customWidth="1"/>
    <col min="12802" max="12802" width="8.37962962962963" style="1" customWidth="1"/>
    <col min="12803" max="12803" width="26" style="1" customWidth="1"/>
    <col min="12804" max="12804" width="33.2592592592593" style="1" customWidth="1"/>
    <col min="12805" max="12805" width="20.8796296296296" style="1" customWidth="1"/>
    <col min="12806" max="12806" width="19.3796296296296" style="1" customWidth="1"/>
    <col min="12807" max="12807" width="7.5" style="1" customWidth="1"/>
    <col min="12808" max="12831" width="9" style="1" customWidth="1"/>
    <col min="12832" max="13055" width="8.62962962962963" style="1"/>
    <col min="13056" max="13056" width="5.12962962962963" style="1" customWidth="1"/>
    <col min="13057" max="13057" width="7.25925925925926" style="1" customWidth="1"/>
    <col min="13058" max="13058" width="8.37962962962963" style="1" customWidth="1"/>
    <col min="13059" max="13059" width="26" style="1" customWidth="1"/>
    <col min="13060" max="13060" width="33.2592592592593" style="1" customWidth="1"/>
    <col min="13061" max="13061" width="20.8796296296296" style="1" customWidth="1"/>
    <col min="13062" max="13062" width="19.3796296296296" style="1" customWidth="1"/>
    <col min="13063" max="13063" width="7.5" style="1" customWidth="1"/>
    <col min="13064" max="13087" width="9" style="1" customWidth="1"/>
    <col min="13088" max="13311" width="8.62962962962963" style="1"/>
    <col min="13312" max="13312" width="5.12962962962963" style="1" customWidth="1"/>
    <col min="13313" max="13313" width="7.25925925925926" style="1" customWidth="1"/>
    <col min="13314" max="13314" width="8.37962962962963" style="1" customWidth="1"/>
    <col min="13315" max="13315" width="26" style="1" customWidth="1"/>
    <col min="13316" max="13316" width="33.2592592592593" style="1" customWidth="1"/>
    <col min="13317" max="13317" width="20.8796296296296" style="1" customWidth="1"/>
    <col min="13318" max="13318" width="19.3796296296296" style="1" customWidth="1"/>
    <col min="13319" max="13319" width="7.5" style="1" customWidth="1"/>
    <col min="13320" max="13343" width="9" style="1" customWidth="1"/>
    <col min="13344" max="13567" width="8.62962962962963" style="1"/>
    <col min="13568" max="13568" width="5.12962962962963" style="1" customWidth="1"/>
    <col min="13569" max="13569" width="7.25925925925926" style="1" customWidth="1"/>
    <col min="13570" max="13570" width="8.37962962962963" style="1" customWidth="1"/>
    <col min="13571" max="13571" width="26" style="1" customWidth="1"/>
    <col min="13572" max="13572" width="33.2592592592593" style="1" customWidth="1"/>
    <col min="13573" max="13573" width="20.8796296296296" style="1" customWidth="1"/>
    <col min="13574" max="13574" width="19.3796296296296" style="1" customWidth="1"/>
    <col min="13575" max="13575" width="7.5" style="1" customWidth="1"/>
    <col min="13576" max="13599" width="9" style="1" customWidth="1"/>
    <col min="13600" max="13823" width="8.62962962962963" style="1"/>
    <col min="13824" max="13824" width="5.12962962962963" style="1" customWidth="1"/>
    <col min="13825" max="13825" width="7.25925925925926" style="1" customWidth="1"/>
    <col min="13826" max="13826" width="8.37962962962963" style="1" customWidth="1"/>
    <col min="13827" max="13827" width="26" style="1" customWidth="1"/>
    <col min="13828" max="13828" width="33.2592592592593" style="1" customWidth="1"/>
    <col min="13829" max="13829" width="20.8796296296296" style="1" customWidth="1"/>
    <col min="13830" max="13830" width="19.3796296296296" style="1" customWidth="1"/>
    <col min="13831" max="13831" width="7.5" style="1" customWidth="1"/>
    <col min="13832" max="13855" width="9" style="1" customWidth="1"/>
    <col min="13856" max="14079" width="8.62962962962963" style="1"/>
    <col min="14080" max="14080" width="5.12962962962963" style="1" customWidth="1"/>
    <col min="14081" max="14081" width="7.25925925925926" style="1" customWidth="1"/>
    <col min="14082" max="14082" width="8.37962962962963" style="1" customWidth="1"/>
    <col min="14083" max="14083" width="26" style="1" customWidth="1"/>
    <col min="14084" max="14084" width="33.2592592592593" style="1" customWidth="1"/>
    <col min="14085" max="14085" width="20.8796296296296" style="1" customWidth="1"/>
    <col min="14086" max="14086" width="19.3796296296296" style="1" customWidth="1"/>
    <col min="14087" max="14087" width="7.5" style="1" customWidth="1"/>
    <col min="14088" max="14111" width="9" style="1" customWidth="1"/>
    <col min="14112" max="14335" width="8.62962962962963" style="1"/>
    <col min="14336" max="14336" width="5.12962962962963" style="1" customWidth="1"/>
    <col min="14337" max="14337" width="7.25925925925926" style="1" customWidth="1"/>
    <col min="14338" max="14338" width="8.37962962962963" style="1" customWidth="1"/>
    <col min="14339" max="14339" width="26" style="1" customWidth="1"/>
    <col min="14340" max="14340" width="33.2592592592593" style="1" customWidth="1"/>
    <col min="14341" max="14341" width="20.8796296296296" style="1" customWidth="1"/>
    <col min="14342" max="14342" width="19.3796296296296" style="1" customWidth="1"/>
    <col min="14343" max="14343" width="7.5" style="1" customWidth="1"/>
    <col min="14344" max="14367" width="9" style="1" customWidth="1"/>
    <col min="14368" max="14591" width="8.62962962962963" style="1"/>
    <col min="14592" max="14592" width="5.12962962962963" style="1" customWidth="1"/>
    <col min="14593" max="14593" width="7.25925925925926" style="1" customWidth="1"/>
    <col min="14594" max="14594" width="8.37962962962963" style="1" customWidth="1"/>
    <col min="14595" max="14595" width="26" style="1" customWidth="1"/>
    <col min="14596" max="14596" width="33.2592592592593" style="1" customWidth="1"/>
    <col min="14597" max="14597" width="20.8796296296296" style="1" customWidth="1"/>
    <col min="14598" max="14598" width="19.3796296296296" style="1" customWidth="1"/>
    <col min="14599" max="14599" width="7.5" style="1" customWidth="1"/>
    <col min="14600" max="14623" width="9" style="1" customWidth="1"/>
    <col min="14624" max="14847" width="8.62962962962963" style="1"/>
    <col min="14848" max="14848" width="5.12962962962963" style="1" customWidth="1"/>
    <col min="14849" max="14849" width="7.25925925925926" style="1" customWidth="1"/>
    <col min="14850" max="14850" width="8.37962962962963" style="1" customWidth="1"/>
    <col min="14851" max="14851" width="26" style="1" customWidth="1"/>
    <col min="14852" max="14852" width="33.2592592592593" style="1" customWidth="1"/>
    <col min="14853" max="14853" width="20.8796296296296" style="1" customWidth="1"/>
    <col min="14854" max="14854" width="19.3796296296296" style="1" customWidth="1"/>
    <col min="14855" max="14855" width="7.5" style="1" customWidth="1"/>
    <col min="14856" max="14879" width="9" style="1" customWidth="1"/>
    <col min="14880" max="15103" width="8.62962962962963" style="1"/>
    <col min="15104" max="15104" width="5.12962962962963" style="1" customWidth="1"/>
    <col min="15105" max="15105" width="7.25925925925926" style="1" customWidth="1"/>
    <col min="15106" max="15106" width="8.37962962962963" style="1" customWidth="1"/>
    <col min="15107" max="15107" width="26" style="1" customWidth="1"/>
    <col min="15108" max="15108" width="33.2592592592593" style="1" customWidth="1"/>
    <col min="15109" max="15109" width="20.8796296296296" style="1" customWidth="1"/>
    <col min="15110" max="15110" width="19.3796296296296" style="1" customWidth="1"/>
    <col min="15111" max="15111" width="7.5" style="1" customWidth="1"/>
    <col min="15112" max="15135" width="9" style="1" customWidth="1"/>
    <col min="15136" max="15359" width="8.62962962962963" style="1"/>
    <col min="15360" max="15360" width="5.12962962962963" style="1" customWidth="1"/>
    <col min="15361" max="15361" width="7.25925925925926" style="1" customWidth="1"/>
    <col min="15362" max="15362" width="8.37962962962963" style="1" customWidth="1"/>
    <col min="15363" max="15363" width="26" style="1" customWidth="1"/>
    <col min="15364" max="15364" width="33.2592592592593" style="1" customWidth="1"/>
    <col min="15365" max="15365" width="20.8796296296296" style="1" customWidth="1"/>
    <col min="15366" max="15366" width="19.3796296296296" style="1" customWidth="1"/>
    <col min="15367" max="15367" width="7.5" style="1" customWidth="1"/>
    <col min="15368" max="15391" width="9" style="1" customWidth="1"/>
    <col min="15392" max="15615" width="8.62962962962963" style="1"/>
    <col min="15616" max="15616" width="5.12962962962963" style="1" customWidth="1"/>
    <col min="15617" max="15617" width="7.25925925925926" style="1" customWidth="1"/>
    <col min="15618" max="15618" width="8.37962962962963" style="1" customWidth="1"/>
    <col min="15619" max="15619" width="26" style="1" customWidth="1"/>
    <col min="15620" max="15620" width="33.2592592592593" style="1" customWidth="1"/>
    <col min="15621" max="15621" width="20.8796296296296" style="1" customWidth="1"/>
    <col min="15622" max="15622" width="19.3796296296296" style="1" customWidth="1"/>
    <col min="15623" max="15623" width="7.5" style="1" customWidth="1"/>
    <col min="15624" max="15647" width="9" style="1" customWidth="1"/>
    <col min="15648" max="15871" width="8.62962962962963" style="1"/>
    <col min="15872" max="15872" width="5.12962962962963" style="1" customWidth="1"/>
    <col min="15873" max="15873" width="7.25925925925926" style="1" customWidth="1"/>
    <col min="15874" max="15874" width="8.37962962962963" style="1" customWidth="1"/>
    <col min="15875" max="15875" width="26" style="1" customWidth="1"/>
    <col min="15876" max="15876" width="33.2592592592593" style="1" customWidth="1"/>
    <col min="15877" max="15877" width="20.8796296296296" style="1" customWidth="1"/>
    <col min="15878" max="15878" width="19.3796296296296" style="1" customWidth="1"/>
    <col min="15879" max="15879" width="7.5" style="1" customWidth="1"/>
    <col min="15880" max="15903" width="9" style="1" customWidth="1"/>
    <col min="15904" max="16127" width="8.62962962962963" style="1"/>
    <col min="16128" max="16128" width="5.12962962962963" style="1" customWidth="1"/>
    <col min="16129" max="16129" width="7.25925925925926" style="1" customWidth="1"/>
    <col min="16130" max="16130" width="8.37962962962963" style="1" customWidth="1"/>
    <col min="16131" max="16131" width="26" style="1" customWidth="1"/>
    <col min="16132" max="16132" width="33.2592592592593" style="1" customWidth="1"/>
    <col min="16133" max="16133" width="20.8796296296296" style="1" customWidth="1"/>
    <col min="16134" max="16134" width="19.3796296296296" style="1" customWidth="1"/>
    <col min="16135" max="16135" width="7.5" style="1" customWidth="1"/>
    <col min="16136" max="16159" width="9" style="1" customWidth="1"/>
    <col min="16160" max="16384" width="8.62962962962963" style="1"/>
  </cols>
  <sheetData>
    <row r="1" ht="23.25" customHeight="1" spans="1:7">
      <c r="A1" s="2" t="s">
        <v>719</v>
      </c>
      <c r="B1" s="2"/>
      <c r="C1" s="2"/>
      <c r="D1" s="2"/>
      <c r="E1" s="2"/>
      <c r="F1" s="2"/>
      <c r="G1" s="2"/>
    </row>
    <row r="2" ht="19.5" customHeight="1" spans="1:7">
      <c r="A2" s="8" t="s">
        <v>1</v>
      </c>
      <c r="B2" s="24" t="s">
        <v>720</v>
      </c>
      <c r="C2" s="25"/>
      <c r="D2" s="26" t="s">
        <v>721</v>
      </c>
      <c r="E2" s="27" t="s">
        <v>722</v>
      </c>
      <c r="F2" s="28" t="s">
        <v>723</v>
      </c>
      <c r="G2" s="29" t="s">
        <v>36</v>
      </c>
    </row>
    <row r="3" ht="81" customHeight="1" spans="1:7">
      <c r="A3" s="3">
        <v>1</v>
      </c>
      <c r="B3" s="8" t="s">
        <v>38</v>
      </c>
      <c r="C3" s="24" t="s">
        <v>724</v>
      </c>
      <c r="D3" s="30" t="s">
        <v>725</v>
      </c>
      <c r="E3" s="32" t="s">
        <v>726</v>
      </c>
      <c r="F3" s="33" t="s">
        <v>727</v>
      </c>
      <c r="G3" s="34"/>
    </row>
    <row r="4" ht="112.5" customHeight="1" spans="1:7">
      <c r="A4" s="3">
        <v>2</v>
      </c>
      <c r="B4" s="35"/>
      <c r="C4" s="24" t="s">
        <v>728</v>
      </c>
      <c r="D4" s="30" t="s">
        <v>729</v>
      </c>
      <c r="E4" s="36"/>
      <c r="F4" s="33" t="s">
        <v>730</v>
      </c>
      <c r="G4" s="34"/>
    </row>
    <row r="5" ht="105.75" customHeight="1" spans="1:7">
      <c r="A5" s="3">
        <v>3</v>
      </c>
      <c r="B5" s="35"/>
      <c r="C5" s="24" t="s">
        <v>731</v>
      </c>
      <c r="D5" s="30" t="s">
        <v>732</v>
      </c>
      <c r="E5" s="32" t="s">
        <v>733</v>
      </c>
      <c r="F5" s="37" t="s">
        <v>734</v>
      </c>
      <c r="G5" s="34"/>
    </row>
    <row r="6" ht="105.75" customHeight="1" spans="1:7">
      <c r="A6" s="3">
        <v>4</v>
      </c>
      <c r="B6" s="9"/>
      <c r="C6" s="24" t="s">
        <v>735</v>
      </c>
      <c r="D6" s="31" t="s">
        <v>736</v>
      </c>
      <c r="E6" s="36"/>
      <c r="F6" s="33" t="s">
        <v>737</v>
      </c>
      <c r="G6" s="34"/>
    </row>
    <row r="7" ht="40.5" customHeight="1" spans="1:7">
      <c r="A7" s="3">
        <v>5</v>
      </c>
      <c r="B7" s="3" t="s">
        <v>40</v>
      </c>
      <c r="C7" s="24" t="s">
        <v>724</v>
      </c>
      <c r="D7" s="30" t="s">
        <v>738</v>
      </c>
      <c r="E7" s="38" t="s">
        <v>739</v>
      </c>
      <c r="F7" s="39" t="s">
        <v>740</v>
      </c>
      <c r="G7" s="34"/>
    </row>
    <row r="8" ht="78" customHeight="1" spans="1:10">
      <c r="A8" s="3">
        <v>6</v>
      </c>
      <c r="B8" s="8" t="s">
        <v>741</v>
      </c>
      <c r="C8" s="24" t="s">
        <v>742</v>
      </c>
      <c r="D8" s="30" t="s">
        <v>743</v>
      </c>
      <c r="E8" s="41"/>
      <c r="F8" s="42"/>
      <c r="G8" s="34"/>
      <c r="I8" s="1" t="s">
        <v>744</v>
      </c>
      <c r="J8" s="1" t="s">
        <v>745</v>
      </c>
    </row>
    <row r="9" ht="79.5" customHeight="1" spans="1:7">
      <c r="A9" s="3"/>
      <c r="B9" s="35"/>
      <c r="C9" s="24" t="s">
        <v>746</v>
      </c>
      <c r="D9" s="30" t="s">
        <v>747</v>
      </c>
      <c r="E9" s="41"/>
      <c r="F9" s="42"/>
      <c r="G9" s="34"/>
    </row>
    <row r="10" ht="40.5" customHeight="1" spans="1:7">
      <c r="A10" s="3">
        <v>7</v>
      </c>
      <c r="B10" s="9"/>
      <c r="C10" s="24" t="s">
        <v>748</v>
      </c>
      <c r="D10" s="30" t="s">
        <v>749</v>
      </c>
      <c r="E10" s="43"/>
      <c r="F10" s="44"/>
      <c r="G10" s="34"/>
    </row>
    <row r="11" spans="1:7">
      <c r="A11" s="45"/>
      <c r="B11" s="45"/>
      <c r="C11" s="45"/>
      <c r="D11" s="45"/>
      <c r="E11" s="45"/>
      <c r="F11" s="45"/>
      <c r="G11" s="45"/>
    </row>
  </sheetData>
  <mergeCells count="9">
    <mergeCell ref="A1:G1"/>
    <mergeCell ref="B2:C2"/>
    <mergeCell ref="A11:G11"/>
    <mergeCell ref="B3:B6"/>
    <mergeCell ref="B8:B10"/>
    <mergeCell ref="E3:E4"/>
    <mergeCell ref="E5:E6"/>
    <mergeCell ref="E7:E10"/>
    <mergeCell ref="F7:F10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8" sqref="D8"/>
    </sheetView>
  </sheetViews>
  <sheetFormatPr defaultColWidth="8.62962962962963" defaultRowHeight="14.4" outlineLevelCol="7"/>
  <cols>
    <col min="1" max="1" width="5.12962962962963" style="1" customWidth="1"/>
    <col min="2" max="2" width="7.25925925925926" style="1" customWidth="1"/>
    <col min="3" max="3" width="8.37962962962963" style="1" customWidth="1"/>
    <col min="4" max="4" width="26" style="1" customWidth="1"/>
    <col min="5" max="5" width="33.2592592592593" style="1" customWidth="1"/>
    <col min="6" max="6" width="20.8796296296296" style="1" customWidth="1"/>
    <col min="7" max="7" width="19.3796296296296" style="1" customWidth="1"/>
    <col min="8" max="8" width="7.5" style="1" customWidth="1"/>
    <col min="9" max="32" width="9" style="1" customWidth="1"/>
    <col min="33" max="256" width="8.62962962962963" style="1"/>
    <col min="257" max="257" width="5.12962962962963" style="1" customWidth="1"/>
    <col min="258" max="258" width="7.25925925925926" style="1" customWidth="1"/>
    <col min="259" max="259" width="8.37962962962963" style="1" customWidth="1"/>
    <col min="260" max="260" width="26" style="1" customWidth="1"/>
    <col min="261" max="261" width="33.2592592592593" style="1" customWidth="1"/>
    <col min="262" max="262" width="20.8796296296296" style="1" customWidth="1"/>
    <col min="263" max="263" width="19.3796296296296" style="1" customWidth="1"/>
    <col min="264" max="264" width="7.5" style="1" customWidth="1"/>
    <col min="265" max="288" width="9" style="1" customWidth="1"/>
    <col min="289" max="512" width="8.62962962962963" style="1"/>
    <col min="513" max="513" width="5.12962962962963" style="1" customWidth="1"/>
    <col min="514" max="514" width="7.25925925925926" style="1" customWidth="1"/>
    <col min="515" max="515" width="8.37962962962963" style="1" customWidth="1"/>
    <col min="516" max="516" width="26" style="1" customWidth="1"/>
    <col min="517" max="517" width="33.2592592592593" style="1" customWidth="1"/>
    <col min="518" max="518" width="20.8796296296296" style="1" customWidth="1"/>
    <col min="519" max="519" width="19.3796296296296" style="1" customWidth="1"/>
    <col min="520" max="520" width="7.5" style="1" customWidth="1"/>
    <col min="521" max="544" width="9" style="1" customWidth="1"/>
    <col min="545" max="768" width="8.62962962962963" style="1"/>
    <col min="769" max="769" width="5.12962962962963" style="1" customWidth="1"/>
    <col min="770" max="770" width="7.25925925925926" style="1" customWidth="1"/>
    <col min="771" max="771" width="8.37962962962963" style="1" customWidth="1"/>
    <col min="772" max="772" width="26" style="1" customWidth="1"/>
    <col min="773" max="773" width="33.2592592592593" style="1" customWidth="1"/>
    <col min="774" max="774" width="20.8796296296296" style="1" customWidth="1"/>
    <col min="775" max="775" width="19.3796296296296" style="1" customWidth="1"/>
    <col min="776" max="776" width="7.5" style="1" customWidth="1"/>
    <col min="777" max="800" width="9" style="1" customWidth="1"/>
    <col min="801" max="1024" width="8.62962962962963" style="1"/>
    <col min="1025" max="1025" width="5.12962962962963" style="1" customWidth="1"/>
    <col min="1026" max="1026" width="7.25925925925926" style="1" customWidth="1"/>
    <col min="1027" max="1027" width="8.37962962962963" style="1" customWidth="1"/>
    <col min="1028" max="1028" width="26" style="1" customWidth="1"/>
    <col min="1029" max="1029" width="33.2592592592593" style="1" customWidth="1"/>
    <col min="1030" max="1030" width="20.8796296296296" style="1" customWidth="1"/>
    <col min="1031" max="1031" width="19.3796296296296" style="1" customWidth="1"/>
    <col min="1032" max="1032" width="7.5" style="1" customWidth="1"/>
    <col min="1033" max="1056" width="9" style="1" customWidth="1"/>
    <col min="1057" max="1280" width="8.62962962962963" style="1"/>
    <col min="1281" max="1281" width="5.12962962962963" style="1" customWidth="1"/>
    <col min="1282" max="1282" width="7.25925925925926" style="1" customWidth="1"/>
    <col min="1283" max="1283" width="8.37962962962963" style="1" customWidth="1"/>
    <col min="1284" max="1284" width="26" style="1" customWidth="1"/>
    <col min="1285" max="1285" width="33.2592592592593" style="1" customWidth="1"/>
    <col min="1286" max="1286" width="20.8796296296296" style="1" customWidth="1"/>
    <col min="1287" max="1287" width="19.3796296296296" style="1" customWidth="1"/>
    <col min="1288" max="1288" width="7.5" style="1" customWidth="1"/>
    <col min="1289" max="1312" width="9" style="1" customWidth="1"/>
    <col min="1313" max="1536" width="8.62962962962963" style="1"/>
    <col min="1537" max="1537" width="5.12962962962963" style="1" customWidth="1"/>
    <col min="1538" max="1538" width="7.25925925925926" style="1" customWidth="1"/>
    <col min="1539" max="1539" width="8.37962962962963" style="1" customWidth="1"/>
    <col min="1540" max="1540" width="26" style="1" customWidth="1"/>
    <col min="1541" max="1541" width="33.2592592592593" style="1" customWidth="1"/>
    <col min="1542" max="1542" width="20.8796296296296" style="1" customWidth="1"/>
    <col min="1543" max="1543" width="19.3796296296296" style="1" customWidth="1"/>
    <col min="1544" max="1544" width="7.5" style="1" customWidth="1"/>
    <col min="1545" max="1568" width="9" style="1" customWidth="1"/>
    <col min="1569" max="1792" width="8.62962962962963" style="1"/>
    <col min="1793" max="1793" width="5.12962962962963" style="1" customWidth="1"/>
    <col min="1794" max="1794" width="7.25925925925926" style="1" customWidth="1"/>
    <col min="1795" max="1795" width="8.37962962962963" style="1" customWidth="1"/>
    <col min="1796" max="1796" width="26" style="1" customWidth="1"/>
    <col min="1797" max="1797" width="33.2592592592593" style="1" customWidth="1"/>
    <col min="1798" max="1798" width="20.8796296296296" style="1" customWidth="1"/>
    <col min="1799" max="1799" width="19.3796296296296" style="1" customWidth="1"/>
    <col min="1800" max="1800" width="7.5" style="1" customWidth="1"/>
    <col min="1801" max="1824" width="9" style="1" customWidth="1"/>
    <col min="1825" max="2048" width="8.62962962962963" style="1"/>
    <col min="2049" max="2049" width="5.12962962962963" style="1" customWidth="1"/>
    <col min="2050" max="2050" width="7.25925925925926" style="1" customWidth="1"/>
    <col min="2051" max="2051" width="8.37962962962963" style="1" customWidth="1"/>
    <col min="2052" max="2052" width="26" style="1" customWidth="1"/>
    <col min="2053" max="2053" width="33.2592592592593" style="1" customWidth="1"/>
    <col min="2054" max="2054" width="20.8796296296296" style="1" customWidth="1"/>
    <col min="2055" max="2055" width="19.3796296296296" style="1" customWidth="1"/>
    <col min="2056" max="2056" width="7.5" style="1" customWidth="1"/>
    <col min="2057" max="2080" width="9" style="1" customWidth="1"/>
    <col min="2081" max="2304" width="8.62962962962963" style="1"/>
    <col min="2305" max="2305" width="5.12962962962963" style="1" customWidth="1"/>
    <col min="2306" max="2306" width="7.25925925925926" style="1" customWidth="1"/>
    <col min="2307" max="2307" width="8.37962962962963" style="1" customWidth="1"/>
    <col min="2308" max="2308" width="26" style="1" customWidth="1"/>
    <col min="2309" max="2309" width="33.2592592592593" style="1" customWidth="1"/>
    <col min="2310" max="2310" width="20.8796296296296" style="1" customWidth="1"/>
    <col min="2311" max="2311" width="19.3796296296296" style="1" customWidth="1"/>
    <col min="2312" max="2312" width="7.5" style="1" customWidth="1"/>
    <col min="2313" max="2336" width="9" style="1" customWidth="1"/>
    <col min="2337" max="2560" width="8.62962962962963" style="1"/>
    <col min="2561" max="2561" width="5.12962962962963" style="1" customWidth="1"/>
    <col min="2562" max="2562" width="7.25925925925926" style="1" customWidth="1"/>
    <col min="2563" max="2563" width="8.37962962962963" style="1" customWidth="1"/>
    <col min="2564" max="2564" width="26" style="1" customWidth="1"/>
    <col min="2565" max="2565" width="33.2592592592593" style="1" customWidth="1"/>
    <col min="2566" max="2566" width="20.8796296296296" style="1" customWidth="1"/>
    <col min="2567" max="2567" width="19.3796296296296" style="1" customWidth="1"/>
    <col min="2568" max="2568" width="7.5" style="1" customWidth="1"/>
    <col min="2569" max="2592" width="9" style="1" customWidth="1"/>
    <col min="2593" max="2816" width="8.62962962962963" style="1"/>
    <col min="2817" max="2817" width="5.12962962962963" style="1" customWidth="1"/>
    <col min="2818" max="2818" width="7.25925925925926" style="1" customWidth="1"/>
    <col min="2819" max="2819" width="8.37962962962963" style="1" customWidth="1"/>
    <col min="2820" max="2820" width="26" style="1" customWidth="1"/>
    <col min="2821" max="2821" width="33.2592592592593" style="1" customWidth="1"/>
    <col min="2822" max="2822" width="20.8796296296296" style="1" customWidth="1"/>
    <col min="2823" max="2823" width="19.3796296296296" style="1" customWidth="1"/>
    <col min="2824" max="2824" width="7.5" style="1" customWidth="1"/>
    <col min="2825" max="2848" width="9" style="1" customWidth="1"/>
    <col min="2849" max="3072" width="8.62962962962963" style="1"/>
    <col min="3073" max="3073" width="5.12962962962963" style="1" customWidth="1"/>
    <col min="3074" max="3074" width="7.25925925925926" style="1" customWidth="1"/>
    <col min="3075" max="3075" width="8.37962962962963" style="1" customWidth="1"/>
    <col min="3076" max="3076" width="26" style="1" customWidth="1"/>
    <col min="3077" max="3077" width="33.2592592592593" style="1" customWidth="1"/>
    <col min="3078" max="3078" width="20.8796296296296" style="1" customWidth="1"/>
    <col min="3079" max="3079" width="19.3796296296296" style="1" customWidth="1"/>
    <col min="3080" max="3080" width="7.5" style="1" customWidth="1"/>
    <col min="3081" max="3104" width="9" style="1" customWidth="1"/>
    <col min="3105" max="3328" width="8.62962962962963" style="1"/>
    <col min="3329" max="3329" width="5.12962962962963" style="1" customWidth="1"/>
    <col min="3330" max="3330" width="7.25925925925926" style="1" customWidth="1"/>
    <col min="3331" max="3331" width="8.37962962962963" style="1" customWidth="1"/>
    <col min="3332" max="3332" width="26" style="1" customWidth="1"/>
    <col min="3333" max="3333" width="33.2592592592593" style="1" customWidth="1"/>
    <col min="3334" max="3334" width="20.8796296296296" style="1" customWidth="1"/>
    <col min="3335" max="3335" width="19.3796296296296" style="1" customWidth="1"/>
    <col min="3336" max="3336" width="7.5" style="1" customWidth="1"/>
    <col min="3337" max="3360" width="9" style="1" customWidth="1"/>
    <col min="3361" max="3584" width="8.62962962962963" style="1"/>
    <col min="3585" max="3585" width="5.12962962962963" style="1" customWidth="1"/>
    <col min="3586" max="3586" width="7.25925925925926" style="1" customWidth="1"/>
    <col min="3587" max="3587" width="8.37962962962963" style="1" customWidth="1"/>
    <col min="3588" max="3588" width="26" style="1" customWidth="1"/>
    <col min="3589" max="3589" width="33.2592592592593" style="1" customWidth="1"/>
    <col min="3590" max="3590" width="20.8796296296296" style="1" customWidth="1"/>
    <col min="3591" max="3591" width="19.3796296296296" style="1" customWidth="1"/>
    <col min="3592" max="3592" width="7.5" style="1" customWidth="1"/>
    <col min="3593" max="3616" width="9" style="1" customWidth="1"/>
    <col min="3617" max="3840" width="8.62962962962963" style="1"/>
    <col min="3841" max="3841" width="5.12962962962963" style="1" customWidth="1"/>
    <col min="3842" max="3842" width="7.25925925925926" style="1" customWidth="1"/>
    <col min="3843" max="3843" width="8.37962962962963" style="1" customWidth="1"/>
    <col min="3844" max="3844" width="26" style="1" customWidth="1"/>
    <col min="3845" max="3845" width="33.2592592592593" style="1" customWidth="1"/>
    <col min="3846" max="3846" width="20.8796296296296" style="1" customWidth="1"/>
    <col min="3847" max="3847" width="19.3796296296296" style="1" customWidth="1"/>
    <col min="3848" max="3848" width="7.5" style="1" customWidth="1"/>
    <col min="3849" max="3872" width="9" style="1" customWidth="1"/>
    <col min="3873" max="4096" width="8.62962962962963" style="1"/>
    <col min="4097" max="4097" width="5.12962962962963" style="1" customWidth="1"/>
    <col min="4098" max="4098" width="7.25925925925926" style="1" customWidth="1"/>
    <col min="4099" max="4099" width="8.37962962962963" style="1" customWidth="1"/>
    <col min="4100" max="4100" width="26" style="1" customWidth="1"/>
    <col min="4101" max="4101" width="33.2592592592593" style="1" customWidth="1"/>
    <col min="4102" max="4102" width="20.8796296296296" style="1" customWidth="1"/>
    <col min="4103" max="4103" width="19.3796296296296" style="1" customWidth="1"/>
    <col min="4104" max="4104" width="7.5" style="1" customWidth="1"/>
    <col min="4105" max="4128" width="9" style="1" customWidth="1"/>
    <col min="4129" max="4352" width="8.62962962962963" style="1"/>
    <col min="4353" max="4353" width="5.12962962962963" style="1" customWidth="1"/>
    <col min="4354" max="4354" width="7.25925925925926" style="1" customWidth="1"/>
    <col min="4355" max="4355" width="8.37962962962963" style="1" customWidth="1"/>
    <col min="4356" max="4356" width="26" style="1" customWidth="1"/>
    <col min="4357" max="4357" width="33.2592592592593" style="1" customWidth="1"/>
    <col min="4358" max="4358" width="20.8796296296296" style="1" customWidth="1"/>
    <col min="4359" max="4359" width="19.3796296296296" style="1" customWidth="1"/>
    <col min="4360" max="4360" width="7.5" style="1" customWidth="1"/>
    <col min="4361" max="4384" width="9" style="1" customWidth="1"/>
    <col min="4385" max="4608" width="8.62962962962963" style="1"/>
    <col min="4609" max="4609" width="5.12962962962963" style="1" customWidth="1"/>
    <col min="4610" max="4610" width="7.25925925925926" style="1" customWidth="1"/>
    <col min="4611" max="4611" width="8.37962962962963" style="1" customWidth="1"/>
    <col min="4612" max="4612" width="26" style="1" customWidth="1"/>
    <col min="4613" max="4613" width="33.2592592592593" style="1" customWidth="1"/>
    <col min="4614" max="4614" width="20.8796296296296" style="1" customWidth="1"/>
    <col min="4615" max="4615" width="19.3796296296296" style="1" customWidth="1"/>
    <col min="4616" max="4616" width="7.5" style="1" customWidth="1"/>
    <col min="4617" max="4640" width="9" style="1" customWidth="1"/>
    <col min="4641" max="4864" width="8.62962962962963" style="1"/>
    <col min="4865" max="4865" width="5.12962962962963" style="1" customWidth="1"/>
    <col min="4866" max="4866" width="7.25925925925926" style="1" customWidth="1"/>
    <col min="4867" max="4867" width="8.37962962962963" style="1" customWidth="1"/>
    <col min="4868" max="4868" width="26" style="1" customWidth="1"/>
    <col min="4869" max="4869" width="33.2592592592593" style="1" customWidth="1"/>
    <col min="4870" max="4870" width="20.8796296296296" style="1" customWidth="1"/>
    <col min="4871" max="4871" width="19.3796296296296" style="1" customWidth="1"/>
    <col min="4872" max="4872" width="7.5" style="1" customWidth="1"/>
    <col min="4873" max="4896" width="9" style="1" customWidth="1"/>
    <col min="4897" max="5120" width="8.62962962962963" style="1"/>
    <col min="5121" max="5121" width="5.12962962962963" style="1" customWidth="1"/>
    <col min="5122" max="5122" width="7.25925925925926" style="1" customWidth="1"/>
    <col min="5123" max="5123" width="8.37962962962963" style="1" customWidth="1"/>
    <col min="5124" max="5124" width="26" style="1" customWidth="1"/>
    <col min="5125" max="5125" width="33.2592592592593" style="1" customWidth="1"/>
    <col min="5126" max="5126" width="20.8796296296296" style="1" customWidth="1"/>
    <col min="5127" max="5127" width="19.3796296296296" style="1" customWidth="1"/>
    <col min="5128" max="5128" width="7.5" style="1" customWidth="1"/>
    <col min="5129" max="5152" width="9" style="1" customWidth="1"/>
    <col min="5153" max="5376" width="8.62962962962963" style="1"/>
    <col min="5377" max="5377" width="5.12962962962963" style="1" customWidth="1"/>
    <col min="5378" max="5378" width="7.25925925925926" style="1" customWidth="1"/>
    <col min="5379" max="5379" width="8.37962962962963" style="1" customWidth="1"/>
    <col min="5380" max="5380" width="26" style="1" customWidth="1"/>
    <col min="5381" max="5381" width="33.2592592592593" style="1" customWidth="1"/>
    <col min="5382" max="5382" width="20.8796296296296" style="1" customWidth="1"/>
    <col min="5383" max="5383" width="19.3796296296296" style="1" customWidth="1"/>
    <col min="5384" max="5384" width="7.5" style="1" customWidth="1"/>
    <col min="5385" max="5408" width="9" style="1" customWidth="1"/>
    <col min="5409" max="5632" width="8.62962962962963" style="1"/>
    <col min="5633" max="5633" width="5.12962962962963" style="1" customWidth="1"/>
    <col min="5634" max="5634" width="7.25925925925926" style="1" customWidth="1"/>
    <col min="5635" max="5635" width="8.37962962962963" style="1" customWidth="1"/>
    <col min="5636" max="5636" width="26" style="1" customWidth="1"/>
    <col min="5637" max="5637" width="33.2592592592593" style="1" customWidth="1"/>
    <col min="5638" max="5638" width="20.8796296296296" style="1" customWidth="1"/>
    <col min="5639" max="5639" width="19.3796296296296" style="1" customWidth="1"/>
    <col min="5640" max="5640" width="7.5" style="1" customWidth="1"/>
    <col min="5641" max="5664" width="9" style="1" customWidth="1"/>
    <col min="5665" max="5888" width="8.62962962962963" style="1"/>
    <col min="5889" max="5889" width="5.12962962962963" style="1" customWidth="1"/>
    <col min="5890" max="5890" width="7.25925925925926" style="1" customWidth="1"/>
    <col min="5891" max="5891" width="8.37962962962963" style="1" customWidth="1"/>
    <col min="5892" max="5892" width="26" style="1" customWidth="1"/>
    <col min="5893" max="5893" width="33.2592592592593" style="1" customWidth="1"/>
    <col min="5894" max="5894" width="20.8796296296296" style="1" customWidth="1"/>
    <col min="5895" max="5895" width="19.3796296296296" style="1" customWidth="1"/>
    <col min="5896" max="5896" width="7.5" style="1" customWidth="1"/>
    <col min="5897" max="5920" width="9" style="1" customWidth="1"/>
    <col min="5921" max="6144" width="8.62962962962963" style="1"/>
    <col min="6145" max="6145" width="5.12962962962963" style="1" customWidth="1"/>
    <col min="6146" max="6146" width="7.25925925925926" style="1" customWidth="1"/>
    <col min="6147" max="6147" width="8.37962962962963" style="1" customWidth="1"/>
    <col min="6148" max="6148" width="26" style="1" customWidth="1"/>
    <col min="6149" max="6149" width="33.2592592592593" style="1" customWidth="1"/>
    <col min="6150" max="6150" width="20.8796296296296" style="1" customWidth="1"/>
    <col min="6151" max="6151" width="19.3796296296296" style="1" customWidth="1"/>
    <col min="6152" max="6152" width="7.5" style="1" customWidth="1"/>
    <col min="6153" max="6176" width="9" style="1" customWidth="1"/>
    <col min="6177" max="6400" width="8.62962962962963" style="1"/>
    <col min="6401" max="6401" width="5.12962962962963" style="1" customWidth="1"/>
    <col min="6402" max="6402" width="7.25925925925926" style="1" customWidth="1"/>
    <col min="6403" max="6403" width="8.37962962962963" style="1" customWidth="1"/>
    <col min="6404" max="6404" width="26" style="1" customWidth="1"/>
    <col min="6405" max="6405" width="33.2592592592593" style="1" customWidth="1"/>
    <col min="6406" max="6406" width="20.8796296296296" style="1" customWidth="1"/>
    <col min="6407" max="6407" width="19.3796296296296" style="1" customWidth="1"/>
    <col min="6408" max="6408" width="7.5" style="1" customWidth="1"/>
    <col min="6409" max="6432" width="9" style="1" customWidth="1"/>
    <col min="6433" max="6656" width="8.62962962962963" style="1"/>
    <col min="6657" max="6657" width="5.12962962962963" style="1" customWidth="1"/>
    <col min="6658" max="6658" width="7.25925925925926" style="1" customWidth="1"/>
    <col min="6659" max="6659" width="8.37962962962963" style="1" customWidth="1"/>
    <col min="6660" max="6660" width="26" style="1" customWidth="1"/>
    <col min="6661" max="6661" width="33.2592592592593" style="1" customWidth="1"/>
    <col min="6662" max="6662" width="20.8796296296296" style="1" customWidth="1"/>
    <col min="6663" max="6663" width="19.3796296296296" style="1" customWidth="1"/>
    <col min="6664" max="6664" width="7.5" style="1" customWidth="1"/>
    <col min="6665" max="6688" width="9" style="1" customWidth="1"/>
    <col min="6689" max="6912" width="8.62962962962963" style="1"/>
    <col min="6913" max="6913" width="5.12962962962963" style="1" customWidth="1"/>
    <col min="6914" max="6914" width="7.25925925925926" style="1" customWidth="1"/>
    <col min="6915" max="6915" width="8.37962962962963" style="1" customWidth="1"/>
    <col min="6916" max="6916" width="26" style="1" customWidth="1"/>
    <col min="6917" max="6917" width="33.2592592592593" style="1" customWidth="1"/>
    <col min="6918" max="6918" width="20.8796296296296" style="1" customWidth="1"/>
    <col min="6919" max="6919" width="19.3796296296296" style="1" customWidth="1"/>
    <col min="6920" max="6920" width="7.5" style="1" customWidth="1"/>
    <col min="6921" max="6944" width="9" style="1" customWidth="1"/>
    <col min="6945" max="7168" width="8.62962962962963" style="1"/>
    <col min="7169" max="7169" width="5.12962962962963" style="1" customWidth="1"/>
    <col min="7170" max="7170" width="7.25925925925926" style="1" customWidth="1"/>
    <col min="7171" max="7171" width="8.37962962962963" style="1" customWidth="1"/>
    <col min="7172" max="7172" width="26" style="1" customWidth="1"/>
    <col min="7173" max="7173" width="33.2592592592593" style="1" customWidth="1"/>
    <col min="7174" max="7174" width="20.8796296296296" style="1" customWidth="1"/>
    <col min="7175" max="7175" width="19.3796296296296" style="1" customWidth="1"/>
    <col min="7176" max="7176" width="7.5" style="1" customWidth="1"/>
    <col min="7177" max="7200" width="9" style="1" customWidth="1"/>
    <col min="7201" max="7424" width="8.62962962962963" style="1"/>
    <col min="7425" max="7425" width="5.12962962962963" style="1" customWidth="1"/>
    <col min="7426" max="7426" width="7.25925925925926" style="1" customWidth="1"/>
    <col min="7427" max="7427" width="8.37962962962963" style="1" customWidth="1"/>
    <col min="7428" max="7428" width="26" style="1" customWidth="1"/>
    <col min="7429" max="7429" width="33.2592592592593" style="1" customWidth="1"/>
    <col min="7430" max="7430" width="20.8796296296296" style="1" customWidth="1"/>
    <col min="7431" max="7431" width="19.3796296296296" style="1" customWidth="1"/>
    <col min="7432" max="7432" width="7.5" style="1" customWidth="1"/>
    <col min="7433" max="7456" width="9" style="1" customWidth="1"/>
    <col min="7457" max="7680" width="8.62962962962963" style="1"/>
    <col min="7681" max="7681" width="5.12962962962963" style="1" customWidth="1"/>
    <col min="7682" max="7682" width="7.25925925925926" style="1" customWidth="1"/>
    <col min="7683" max="7683" width="8.37962962962963" style="1" customWidth="1"/>
    <col min="7684" max="7684" width="26" style="1" customWidth="1"/>
    <col min="7685" max="7685" width="33.2592592592593" style="1" customWidth="1"/>
    <col min="7686" max="7686" width="20.8796296296296" style="1" customWidth="1"/>
    <col min="7687" max="7687" width="19.3796296296296" style="1" customWidth="1"/>
    <col min="7688" max="7688" width="7.5" style="1" customWidth="1"/>
    <col min="7689" max="7712" width="9" style="1" customWidth="1"/>
    <col min="7713" max="7936" width="8.62962962962963" style="1"/>
    <col min="7937" max="7937" width="5.12962962962963" style="1" customWidth="1"/>
    <col min="7938" max="7938" width="7.25925925925926" style="1" customWidth="1"/>
    <col min="7939" max="7939" width="8.37962962962963" style="1" customWidth="1"/>
    <col min="7940" max="7940" width="26" style="1" customWidth="1"/>
    <col min="7941" max="7941" width="33.2592592592593" style="1" customWidth="1"/>
    <col min="7942" max="7942" width="20.8796296296296" style="1" customWidth="1"/>
    <col min="7943" max="7943" width="19.3796296296296" style="1" customWidth="1"/>
    <col min="7944" max="7944" width="7.5" style="1" customWidth="1"/>
    <col min="7945" max="7968" width="9" style="1" customWidth="1"/>
    <col min="7969" max="8192" width="8.62962962962963" style="1"/>
    <col min="8193" max="8193" width="5.12962962962963" style="1" customWidth="1"/>
    <col min="8194" max="8194" width="7.25925925925926" style="1" customWidth="1"/>
    <col min="8195" max="8195" width="8.37962962962963" style="1" customWidth="1"/>
    <col min="8196" max="8196" width="26" style="1" customWidth="1"/>
    <col min="8197" max="8197" width="33.2592592592593" style="1" customWidth="1"/>
    <col min="8198" max="8198" width="20.8796296296296" style="1" customWidth="1"/>
    <col min="8199" max="8199" width="19.3796296296296" style="1" customWidth="1"/>
    <col min="8200" max="8200" width="7.5" style="1" customWidth="1"/>
    <col min="8201" max="8224" width="9" style="1" customWidth="1"/>
    <col min="8225" max="8448" width="8.62962962962963" style="1"/>
    <col min="8449" max="8449" width="5.12962962962963" style="1" customWidth="1"/>
    <col min="8450" max="8450" width="7.25925925925926" style="1" customWidth="1"/>
    <col min="8451" max="8451" width="8.37962962962963" style="1" customWidth="1"/>
    <col min="8452" max="8452" width="26" style="1" customWidth="1"/>
    <col min="8453" max="8453" width="33.2592592592593" style="1" customWidth="1"/>
    <col min="8454" max="8454" width="20.8796296296296" style="1" customWidth="1"/>
    <col min="8455" max="8455" width="19.3796296296296" style="1" customWidth="1"/>
    <col min="8456" max="8456" width="7.5" style="1" customWidth="1"/>
    <col min="8457" max="8480" width="9" style="1" customWidth="1"/>
    <col min="8481" max="8704" width="8.62962962962963" style="1"/>
    <col min="8705" max="8705" width="5.12962962962963" style="1" customWidth="1"/>
    <col min="8706" max="8706" width="7.25925925925926" style="1" customWidth="1"/>
    <col min="8707" max="8707" width="8.37962962962963" style="1" customWidth="1"/>
    <col min="8708" max="8708" width="26" style="1" customWidth="1"/>
    <col min="8709" max="8709" width="33.2592592592593" style="1" customWidth="1"/>
    <col min="8710" max="8710" width="20.8796296296296" style="1" customWidth="1"/>
    <col min="8711" max="8711" width="19.3796296296296" style="1" customWidth="1"/>
    <col min="8712" max="8712" width="7.5" style="1" customWidth="1"/>
    <col min="8713" max="8736" width="9" style="1" customWidth="1"/>
    <col min="8737" max="8960" width="8.62962962962963" style="1"/>
    <col min="8961" max="8961" width="5.12962962962963" style="1" customWidth="1"/>
    <col min="8962" max="8962" width="7.25925925925926" style="1" customWidth="1"/>
    <col min="8963" max="8963" width="8.37962962962963" style="1" customWidth="1"/>
    <col min="8964" max="8964" width="26" style="1" customWidth="1"/>
    <col min="8965" max="8965" width="33.2592592592593" style="1" customWidth="1"/>
    <col min="8966" max="8966" width="20.8796296296296" style="1" customWidth="1"/>
    <col min="8967" max="8967" width="19.3796296296296" style="1" customWidth="1"/>
    <col min="8968" max="8968" width="7.5" style="1" customWidth="1"/>
    <col min="8969" max="8992" width="9" style="1" customWidth="1"/>
    <col min="8993" max="9216" width="8.62962962962963" style="1"/>
    <col min="9217" max="9217" width="5.12962962962963" style="1" customWidth="1"/>
    <col min="9218" max="9218" width="7.25925925925926" style="1" customWidth="1"/>
    <col min="9219" max="9219" width="8.37962962962963" style="1" customWidth="1"/>
    <col min="9220" max="9220" width="26" style="1" customWidth="1"/>
    <col min="9221" max="9221" width="33.2592592592593" style="1" customWidth="1"/>
    <col min="9222" max="9222" width="20.8796296296296" style="1" customWidth="1"/>
    <col min="9223" max="9223" width="19.3796296296296" style="1" customWidth="1"/>
    <col min="9224" max="9224" width="7.5" style="1" customWidth="1"/>
    <col min="9225" max="9248" width="9" style="1" customWidth="1"/>
    <col min="9249" max="9472" width="8.62962962962963" style="1"/>
    <col min="9473" max="9473" width="5.12962962962963" style="1" customWidth="1"/>
    <col min="9474" max="9474" width="7.25925925925926" style="1" customWidth="1"/>
    <col min="9475" max="9475" width="8.37962962962963" style="1" customWidth="1"/>
    <col min="9476" max="9476" width="26" style="1" customWidth="1"/>
    <col min="9477" max="9477" width="33.2592592592593" style="1" customWidth="1"/>
    <col min="9478" max="9478" width="20.8796296296296" style="1" customWidth="1"/>
    <col min="9479" max="9479" width="19.3796296296296" style="1" customWidth="1"/>
    <col min="9480" max="9480" width="7.5" style="1" customWidth="1"/>
    <col min="9481" max="9504" width="9" style="1" customWidth="1"/>
    <col min="9505" max="9728" width="8.62962962962963" style="1"/>
    <col min="9729" max="9729" width="5.12962962962963" style="1" customWidth="1"/>
    <col min="9730" max="9730" width="7.25925925925926" style="1" customWidth="1"/>
    <col min="9731" max="9731" width="8.37962962962963" style="1" customWidth="1"/>
    <col min="9732" max="9732" width="26" style="1" customWidth="1"/>
    <col min="9733" max="9733" width="33.2592592592593" style="1" customWidth="1"/>
    <col min="9734" max="9734" width="20.8796296296296" style="1" customWidth="1"/>
    <col min="9735" max="9735" width="19.3796296296296" style="1" customWidth="1"/>
    <col min="9736" max="9736" width="7.5" style="1" customWidth="1"/>
    <col min="9737" max="9760" width="9" style="1" customWidth="1"/>
    <col min="9761" max="9984" width="8.62962962962963" style="1"/>
    <col min="9985" max="9985" width="5.12962962962963" style="1" customWidth="1"/>
    <col min="9986" max="9986" width="7.25925925925926" style="1" customWidth="1"/>
    <col min="9987" max="9987" width="8.37962962962963" style="1" customWidth="1"/>
    <col min="9988" max="9988" width="26" style="1" customWidth="1"/>
    <col min="9989" max="9989" width="33.2592592592593" style="1" customWidth="1"/>
    <col min="9990" max="9990" width="20.8796296296296" style="1" customWidth="1"/>
    <col min="9991" max="9991" width="19.3796296296296" style="1" customWidth="1"/>
    <col min="9992" max="9992" width="7.5" style="1" customWidth="1"/>
    <col min="9993" max="10016" width="9" style="1" customWidth="1"/>
    <col min="10017" max="10240" width="8.62962962962963" style="1"/>
    <col min="10241" max="10241" width="5.12962962962963" style="1" customWidth="1"/>
    <col min="10242" max="10242" width="7.25925925925926" style="1" customWidth="1"/>
    <col min="10243" max="10243" width="8.37962962962963" style="1" customWidth="1"/>
    <col min="10244" max="10244" width="26" style="1" customWidth="1"/>
    <col min="10245" max="10245" width="33.2592592592593" style="1" customWidth="1"/>
    <col min="10246" max="10246" width="20.8796296296296" style="1" customWidth="1"/>
    <col min="10247" max="10247" width="19.3796296296296" style="1" customWidth="1"/>
    <col min="10248" max="10248" width="7.5" style="1" customWidth="1"/>
    <col min="10249" max="10272" width="9" style="1" customWidth="1"/>
    <col min="10273" max="10496" width="8.62962962962963" style="1"/>
    <col min="10497" max="10497" width="5.12962962962963" style="1" customWidth="1"/>
    <col min="10498" max="10498" width="7.25925925925926" style="1" customWidth="1"/>
    <col min="10499" max="10499" width="8.37962962962963" style="1" customWidth="1"/>
    <col min="10500" max="10500" width="26" style="1" customWidth="1"/>
    <col min="10501" max="10501" width="33.2592592592593" style="1" customWidth="1"/>
    <col min="10502" max="10502" width="20.8796296296296" style="1" customWidth="1"/>
    <col min="10503" max="10503" width="19.3796296296296" style="1" customWidth="1"/>
    <col min="10504" max="10504" width="7.5" style="1" customWidth="1"/>
    <col min="10505" max="10528" width="9" style="1" customWidth="1"/>
    <col min="10529" max="10752" width="8.62962962962963" style="1"/>
    <col min="10753" max="10753" width="5.12962962962963" style="1" customWidth="1"/>
    <col min="10754" max="10754" width="7.25925925925926" style="1" customWidth="1"/>
    <col min="10755" max="10755" width="8.37962962962963" style="1" customWidth="1"/>
    <col min="10756" max="10756" width="26" style="1" customWidth="1"/>
    <col min="10757" max="10757" width="33.2592592592593" style="1" customWidth="1"/>
    <col min="10758" max="10758" width="20.8796296296296" style="1" customWidth="1"/>
    <col min="10759" max="10759" width="19.3796296296296" style="1" customWidth="1"/>
    <col min="10760" max="10760" width="7.5" style="1" customWidth="1"/>
    <col min="10761" max="10784" width="9" style="1" customWidth="1"/>
    <col min="10785" max="11008" width="8.62962962962963" style="1"/>
    <col min="11009" max="11009" width="5.12962962962963" style="1" customWidth="1"/>
    <col min="11010" max="11010" width="7.25925925925926" style="1" customWidth="1"/>
    <col min="11011" max="11011" width="8.37962962962963" style="1" customWidth="1"/>
    <col min="11012" max="11012" width="26" style="1" customWidth="1"/>
    <col min="11013" max="11013" width="33.2592592592593" style="1" customWidth="1"/>
    <col min="11014" max="11014" width="20.8796296296296" style="1" customWidth="1"/>
    <col min="11015" max="11015" width="19.3796296296296" style="1" customWidth="1"/>
    <col min="11016" max="11016" width="7.5" style="1" customWidth="1"/>
    <col min="11017" max="11040" width="9" style="1" customWidth="1"/>
    <col min="11041" max="11264" width="8.62962962962963" style="1"/>
    <col min="11265" max="11265" width="5.12962962962963" style="1" customWidth="1"/>
    <col min="11266" max="11266" width="7.25925925925926" style="1" customWidth="1"/>
    <col min="11267" max="11267" width="8.37962962962963" style="1" customWidth="1"/>
    <col min="11268" max="11268" width="26" style="1" customWidth="1"/>
    <col min="11269" max="11269" width="33.2592592592593" style="1" customWidth="1"/>
    <col min="11270" max="11270" width="20.8796296296296" style="1" customWidth="1"/>
    <col min="11271" max="11271" width="19.3796296296296" style="1" customWidth="1"/>
    <col min="11272" max="11272" width="7.5" style="1" customWidth="1"/>
    <col min="11273" max="11296" width="9" style="1" customWidth="1"/>
    <col min="11297" max="11520" width="8.62962962962963" style="1"/>
    <col min="11521" max="11521" width="5.12962962962963" style="1" customWidth="1"/>
    <col min="11522" max="11522" width="7.25925925925926" style="1" customWidth="1"/>
    <col min="11523" max="11523" width="8.37962962962963" style="1" customWidth="1"/>
    <col min="11524" max="11524" width="26" style="1" customWidth="1"/>
    <col min="11525" max="11525" width="33.2592592592593" style="1" customWidth="1"/>
    <col min="11526" max="11526" width="20.8796296296296" style="1" customWidth="1"/>
    <col min="11527" max="11527" width="19.3796296296296" style="1" customWidth="1"/>
    <col min="11528" max="11528" width="7.5" style="1" customWidth="1"/>
    <col min="11529" max="11552" width="9" style="1" customWidth="1"/>
    <col min="11553" max="11776" width="8.62962962962963" style="1"/>
    <col min="11777" max="11777" width="5.12962962962963" style="1" customWidth="1"/>
    <col min="11778" max="11778" width="7.25925925925926" style="1" customWidth="1"/>
    <col min="11779" max="11779" width="8.37962962962963" style="1" customWidth="1"/>
    <col min="11780" max="11780" width="26" style="1" customWidth="1"/>
    <col min="11781" max="11781" width="33.2592592592593" style="1" customWidth="1"/>
    <col min="11782" max="11782" width="20.8796296296296" style="1" customWidth="1"/>
    <col min="11783" max="11783" width="19.3796296296296" style="1" customWidth="1"/>
    <col min="11784" max="11784" width="7.5" style="1" customWidth="1"/>
    <col min="11785" max="11808" width="9" style="1" customWidth="1"/>
    <col min="11809" max="12032" width="8.62962962962963" style="1"/>
    <col min="12033" max="12033" width="5.12962962962963" style="1" customWidth="1"/>
    <col min="12034" max="12034" width="7.25925925925926" style="1" customWidth="1"/>
    <col min="12035" max="12035" width="8.37962962962963" style="1" customWidth="1"/>
    <col min="12036" max="12036" width="26" style="1" customWidth="1"/>
    <col min="12037" max="12037" width="33.2592592592593" style="1" customWidth="1"/>
    <col min="12038" max="12038" width="20.8796296296296" style="1" customWidth="1"/>
    <col min="12039" max="12039" width="19.3796296296296" style="1" customWidth="1"/>
    <col min="12040" max="12040" width="7.5" style="1" customWidth="1"/>
    <col min="12041" max="12064" width="9" style="1" customWidth="1"/>
    <col min="12065" max="12288" width="8.62962962962963" style="1"/>
    <col min="12289" max="12289" width="5.12962962962963" style="1" customWidth="1"/>
    <col min="12290" max="12290" width="7.25925925925926" style="1" customWidth="1"/>
    <col min="12291" max="12291" width="8.37962962962963" style="1" customWidth="1"/>
    <col min="12292" max="12292" width="26" style="1" customWidth="1"/>
    <col min="12293" max="12293" width="33.2592592592593" style="1" customWidth="1"/>
    <col min="12294" max="12294" width="20.8796296296296" style="1" customWidth="1"/>
    <col min="12295" max="12295" width="19.3796296296296" style="1" customWidth="1"/>
    <col min="12296" max="12296" width="7.5" style="1" customWidth="1"/>
    <col min="12297" max="12320" width="9" style="1" customWidth="1"/>
    <col min="12321" max="12544" width="8.62962962962963" style="1"/>
    <col min="12545" max="12545" width="5.12962962962963" style="1" customWidth="1"/>
    <col min="12546" max="12546" width="7.25925925925926" style="1" customWidth="1"/>
    <col min="12547" max="12547" width="8.37962962962963" style="1" customWidth="1"/>
    <col min="12548" max="12548" width="26" style="1" customWidth="1"/>
    <col min="12549" max="12549" width="33.2592592592593" style="1" customWidth="1"/>
    <col min="12550" max="12550" width="20.8796296296296" style="1" customWidth="1"/>
    <col min="12551" max="12551" width="19.3796296296296" style="1" customWidth="1"/>
    <col min="12552" max="12552" width="7.5" style="1" customWidth="1"/>
    <col min="12553" max="12576" width="9" style="1" customWidth="1"/>
    <col min="12577" max="12800" width="8.62962962962963" style="1"/>
    <col min="12801" max="12801" width="5.12962962962963" style="1" customWidth="1"/>
    <col min="12802" max="12802" width="7.25925925925926" style="1" customWidth="1"/>
    <col min="12803" max="12803" width="8.37962962962963" style="1" customWidth="1"/>
    <col min="12804" max="12804" width="26" style="1" customWidth="1"/>
    <col min="12805" max="12805" width="33.2592592592593" style="1" customWidth="1"/>
    <col min="12806" max="12806" width="20.8796296296296" style="1" customWidth="1"/>
    <col min="12807" max="12807" width="19.3796296296296" style="1" customWidth="1"/>
    <col min="12808" max="12808" width="7.5" style="1" customWidth="1"/>
    <col min="12809" max="12832" width="9" style="1" customWidth="1"/>
    <col min="12833" max="13056" width="8.62962962962963" style="1"/>
    <col min="13057" max="13057" width="5.12962962962963" style="1" customWidth="1"/>
    <col min="13058" max="13058" width="7.25925925925926" style="1" customWidth="1"/>
    <col min="13059" max="13059" width="8.37962962962963" style="1" customWidth="1"/>
    <col min="13060" max="13060" width="26" style="1" customWidth="1"/>
    <col min="13061" max="13061" width="33.2592592592593" style="1" customWidth="1"/>
    <col min="13062" max="13062" width="20.8796296296296" style="1" customWidth="1"/>
    <col min="13063" max="13063" width="19.3796296296296" style="1" customWidth="1"/>
    <col min="13064" max="13064" width="7.5" style="1" customWidth="1"/>
    <col min="13065" max="13088" width="9" style="1" customWidth="1"/>
    <col min="13089" max="13312" width="8.62962962962963" style="1"/>
    <col min="13313" max="13313" width="5.12962962962963" style="1" customWidth="1"/>
    <col min="13314" max="13314" width="7.25925925925926" style="1" customWidth="1"/>
    <col min="13315" max="13315" width="8.37962962962963" style="1" customWidth="1"/>
    <col min="13316" max="13316" width="26" style="1" customWidth="1"/>
    <col min="13317" max="13317" width="33.2592592592593" style="1" customWidth="1"/>
    <col min="13318" max="13318" width="20.8796296296296" style="1" customWidth="1"/>
    <col min="13319" max="13319" width="19.3796296296296" style="1" customWidth="1"/>
    <col min="13320" max="13320" width="7.5" style="1" customWidth="1"/>
    <col min="13321" max="13344" width="9" style="1" customWidth="1"/>
    <col min="13345" max="13568" width="8.62962962962963" style="1"/>
    <col min="13569" max="13569" width="5.12962962962963" style="1" customWidth="1"/>
    <col min="13570" max="13570" width="7.25925925925926" style="1" customWidth="1"/>
    <col min="13571" max="13571" width="8.37962962962963" style="1" customWidth="1"/>
    <col min="13572" max="13572" width="26" style="1" customWidth="1"/>
    <col min="13573" max="13573" width="33.2592592592593" style="1" customWidth="1"/>
    <col min="13574" max="13574" width="20.8796296296296" style="1" customWidth="1"/>
    <col min="13575" max="13575" width="19.3796296296296" style="1" customWidth="1"/>
    <col min="13576" max="13576" width="7.5" style="1" customWidth="1"/>
    <col min="13577" max="13600" width="9" style="1" customWidth="1"/>
    <col min="13601" max="13824" width="8.62962962962963" style="1"/>
    <col min="13825" max="13825" width="5.12962962962963" style="1" customWidth="1"/>
    <col min="13826" max="13826" width="7.25925925925926" style="1" customWidth="1"/>
    <col min="13827" max="13827" width="8.37962962962963" style="1" customWidth="1"/>
    <col min="13828" max="13828" width="26" style="1" customWidth="1"/>
    <col min="13829" max="13829" width="33.2592592592593" style="1" customWidth="1"/>
    <col min="13830" max="13830" width="20.8796296296296" style="1" customWidth="1"/>
    <col min="13831" max="13831" width="19.3796296296296" style="1" customWidth="1"/>
    <col min="13832" max="13832" width="7.5" style="1" customWidth="1"/>
    <col min="13833" max="13856" width="9" style="1" customWidth="1"/>
    <col min="13857" max="14080" width="8.62962962962963" style="1"/>
    <col min="14081" max="14081" width="5.12962962962963" style="1" customWidth="1"/>
    <col min="14082" max="14082" width="7.25925925925926" style="1" customWidth="1"/>
    <col min="14083" max="14083" width="8.37962962962963" style="1" customWidth="1"/>
    <col min="14084" max="14084" width="26" style="1" customWidth="1"/>
    <col min="14085" max="14085" width="33.2592592592593" style="1" customWidth="1"/>
    <col min="14086" max="14086" width="20.8796296296296" style="1" customWidth="1"/>
    <col min="14087" max="14087" width="19.3796296296296" style="1" customWidth="1"/>
    <col min="14088" max="14088" width="7.5" style="1" customWidth="1"/>
    <col min="14089" max="14112" width="9" style="1" customWidth="1"/>
    <col min="14113" max="14336" width="8.62962962962963" style="1"/>
    <col min="14337" max="14337" width="5.12962962962963" style="1" customWidth="1"/>
    <col min="14338" max="14338" width="7.25925925925926" style="1" customWidth="1"/>
    <col min="14339" max="14339" width="8.37962962962963" style="1" customWidth="1"/>
    <col min="14340" max="14340" width="26" style="1" customWidth="1"/>
    <col min="14341" max="14341" width="33.2592592592593" style="1" customWidth="1"/>
    <col min="14342" max="14342" width="20.8796296296296" style="1" customWidth="1"/>
    <col min="14343" max="14343" width="19.3796296296296" style="1" customWidth="1"/>
    <col min="14344" max="14344" width="7.5" style="1" customWidth="1"/>
    <col min="14345" max="14368" width="9" style="1" customWidth="1"/>
    <col min="14369" max="14592" width="8.62962962962963" style="1"/>
    <col min="14593" max="14593" width="5.12962962962963" style="1" customWidth="1"/>
    <col min="14594" max="14594" width="7.25925925925926" style="1" customWidth="1"/>
    <col min="14595" max="14595" width="8.37962962962963" style="1" customWidth="1"/>
    <col min="14596" max="14596" width="26" style="1" customWidth="1"/>
    <col min="14597" max="14597" width="33.2592592592593" style="1" customWidth="1"/>
    <col min="14598" max="14598" width="20.8796296296296" style="1" customWidth="1"/>
    <col min="14599" max="14599" width="19.3796296296296" style="1" customWidth="1"/>
    <col min="14600" max="14600" width="7.5" style="1" customWidth="1"/>
    <col min="14601" max="14624" width="9" style="1" customWidth="1"/>
    <col min="14625" max="14848" width="8.62962962962963" style="1"/>
    <col min="14849" max="14849" width="5.12962962962963" style="1" customWidth="1"/>
    <col min="14850" max="14850" width="7.25925925925926" style="1" customWidth="1"/>
    <col min="14851" max="14851" width="8.37962962962963" style="1" customWidth="1"/>
    <col min="14852" max="14852" width="26" style="1" customWidth="1"/>
    <col min="14853" max="14853" width="33.2592592592593" style="1" customWidth="1"/>
    <col min="14854" max="14854" width="20.8796296296296" style="1" customWidth="1"/>
    <col min="14855" max="14855" width="19.3796296296296" style="1" customWidth="1"/>
    <col min="14856" max="14856" width="7.5" style="1" customWidth="1"/>
    <col min="14857" max="14880" width="9" style="1" customWidth="1"/>
    <col min="14881" max="15104" width="8.62962962962963" style="1"/>
    <col min="15105" max="15105" width="5.12962962962963" style="1" customWidth="1"/>
    <col min="15106" max="15106" width="7.25925925925926" style="1" customWidth="1"/>
    <col min="15107" max="15107" width="8.37962962962963" style="1" customWidth="1"/>
    <col min="15108" max="15108" width="26" style="1" customWidth="1"/>
    <col min="15109" max="15109" width="33.2592592592593" style="1" customWidth="1"/>
    <col min="15110" max="15110" width="20.8796296296296" style="1" customWidth="1"/>
    <col min="15111" max="15111" width="19.3796296296296" style="1" customWidth="1"/>
    <col min="15112" max="15112" width="7.5" style="1" customWidth="1"/>
    <col min="15113" max="15136" width="9" style="1" customWidth="1"/>
    <col min="15137" max="15360" width="8.62962962962963" style="1"/>
    <col min="15361" max="15361" width="5.12962962962963" style="1" customWidth="1"/>
    <col min="15362" max="15362" width="7.25925925925926" style="1" customWidth="1"/>
    <col min="15363" max="15363" width="8.37962962962963" style="1" customWidth="1"/>
    <col min="15364" max="15364" width="26" style="1" customWidth="1"/>
    <col min="15365" max="15365" width="33.2592592592593" style="1" customWidth="1"/>
    <col min="15366" max="15366" width="20.8796296296296" style="1" customWidth="1"/>
    <col min="15367" max="15367" width="19.3796296296296" style="1" customWidth="1"/>
    <col min="15368" max="15368" width="7.5" style="1" customWidth="1"/>
    <col min="15369" max="15392" width="9" style="1" customWidth="1"/>
    <col min="15393" max="15616" width="8.62962962962963" style="1"/>
    <col min="15617" max="15617" width="5.12962962962963" style="1" customWidth="1"/>
    <col min="15618" max="15618" width="7.25925925925926" style="1" customWidth="1"/>
    <col min="15619" max="15619" width="8.37962962962963" style="1" customWidth="1"/>
    <col min="15620" max="15620" width="26" style="1" customWidth="1"/>
    <col min="15621" max="15621" width="33.2592592592593" style="1" customWidth="1"/>
    <col min="15622" max="15622" width="20.8796296296296" style="1" customWidth="1"/>
    <col min="15623" max="15623" width="19.3796296296296" style="1" customWidth="1"/>
    <col min="15624" max="15624" width="7.5" style="1" customWidth="1"/>
    <col min="15625" max="15648" width="9" style="1" customWidth="1"/>
    <col min="15649" max="15872" width="8.62962962962963" style="1"/>
    <col min="15873" max="15873" width="5.12962962962963" style="1" customWidth="1"/>
    <col min="15874" max="15874" width="7.25925925925926" style="1" customWidth="1"/>
    <col min="15875" max="15875" width="8.37962962962963" style="1" customWidth="1"/>
    <col min="15876" max="15876" width="26" style="1" customWidth="1"/>
    <col min="15877" max="15877" width="33.2592592592593" style="1" customWidth="1"/>
    <col min="15878" max="15878" width="20.8796296296296" style="1" customWidth="1"/>
    <col min="15879" max="15879" width="19.3796296296296" style="1" customWidth="1"/>
    <col min="15880" max="15880" width="7.5" style="1" customWidth="1"/>
    <col min="15881" max="15904" width="9" style="1" customWidth="1"/>
    <col min="15905" max="16128" width="8.62962962962963" style="1"/>
    <col min="16129" max="16129" width="5.12962962962963" style="1" customWidth="1"/>
    <col min="16130" max="16130" width="7.25925925925926" style="1" customWidth="1"/>
    <col min="16131" max="16131" width="8.37962962962963" style="1" customWidth="1"/>
    <col min="16132" max="16132" width="26" style="1" customWidth="1"/>
    <col min="16133" max="16133" width="33.2592592592593" style="1" customWidth="1"/>
    <col min="16134" max="16134" width="20.8796296296296" style="1" customWidth="1"/>
    <col min="16135" max="16135" width="19.3796296296296" style="1" customWidth="1"/>
    <col min="16136" max="16136" width="7.5" style="1" customWidth="1"/>
    <col min="16137" max="16160" width="9" style="1" customWidth="1"/>
    <col min="16161" max="16384" width="8.62962962962963" style="1"/>
  </cols>
  <sheetData>
    <row r="1" ht="23.25" customHeight="1" spans="1:8">
      <c r="A1" s="2" t="s">
        <v>750</v>
      </c>
      <c r="B1" s="2"/>
      <c r="C1" s="2"/>
      <c r="D1" s="2"/>
      <c r="E1" s="2"/>
      <c r="F1" s="2"/>
      <c r="G1" s="2"/>
      <c r="H1" s="2"/>
    </row>
    <row r="2" spans="1:8">
      <c r="A2" s="8" t="s">
        <v>1</v>
      </c>
      <c r="B2" s="24" t="s">
        <v>720</v>
      </c>
      <c r="C2" s="25"/>
      <c r="D2" s="26" t="s">
        <v>751</v>
      </c>
      <c r="E2" s="26" t="s">
        <v>752</v>
      </c>
      <c r="F2" s="27" t="s">
        <v>722</v>
      </c>
      <c r="G2" s="28" t="s">
        <v>723</v>
      </c>
      <c r="H2" s="29" t="s">
        <v>36</v>
      </c>
    </row>
    <row r="3" ht="81" customHeight="1" spans="1:8">
      <c r="A3" s="3">
        <v>1</v>
      </c>
      <c r="B3" s="8" t="s">
        <v>38</v>
      </c>
      <c r="C3" s="24" t="s">
        <v>724</v>
      </c>
      <c r="D3" s="30" t="s">
        <v>753</v>
      </c>
      <c r="E3" s="31" t="s">
        <v>754</v>
      </c>
      <c r="F3" s="32" t="s">
        <v>726</v>
      </c>
      <c r="G3" s="33" t="s">
        <v>727</v>
      </c>
      <c r="H3" s="34"/>
    </row>
    <row r="4" ht="85.5" customHeight="1" spans="1:8">
      <c r="A4" s="3">
        <v>2</v>
      </c>
      <c r="B4" s="35"/>
      <c r="C4" s="24" t="s">
        <v>728</v>
      </c>
      <c r="D4" s="30" t="s">
        <v>755</v>
      </c>
      <c r="E4" s="31" t="s">
        <v>756</v>
      </c>
      <c r="F4" s="36"/>
      <c r="G4" s="33" t="s">
        <v>730</v>
      </c>
      <c r="H4" s="34"/>
    </row>
    <row r="5" ht="85.5" customHeight="1" spans="1:8">
      <c r="A5" s="3">
        <v>3</v>
      </c>
      <c r="B5" s="35"/>
      <c r="C5" s="24" t="s">
        <v>731</v>
      </c>
      <c r="D5" s="30" t="s">
        <v>755</v>
      </c>
      <c r="E5" s="30" t="s">
        <v>757</v>
      </c>
      <c r="F5" s="32" t="s">
        <v>733</v>
      </c>
      <c r="G5" s="37" t="s">
        <v>734</v>
      </c>
      <c r="H5" s="34"/>
    </row>
    <row r="6" ht="85.5" customHeight="1" spans="1:8">
      <c r="A6" s="3">
        <v>4</v>
      </c>
      <c r="B6" s="9"/>
      <c r="C6" s="24" t="s">
        <v>735</v>
      </c>
      <c r="D6" s="31" t="s">
        <v>758</v>
      </c>
      <c r="E6" s="30" t="s">
        <v>759</v>
      </c>
      <c r="F6" s="36"/>
      <c r="G6" s="33" t="s">
        <v>737</v>
      </c>
      <c r="H6" s="34"/>
    </row>
    <row r="7" ht="40.5" customHeight="1" spans="1:8">
      <c r="A7" s="3">
        <v>5</v>
      </c>
      <c r="B7" s="3" t="s">
        <v>40</v>
      </c>
      <c r="C7" s="24" t="s">
        <v>724</v>
      </c>
      <c r="D7" s="30" t="s">
        <v>760</v>
      </c>
      <c r="E7" s="30" t="s">
        <v>761</v>
      </c>
      <c r="F7" s="38" t="s">
        <v>739</v>
      </c>
      <c r="G7" s="39" t="s">
        <v>740</v>
      </c>
      <c r="H7" s="34"/>
    </row>
    <row r="8" ht="71.25" customHeight="1" spans="1:8">
      <c r="A8" s="3">
        <v>6</v>
      </c>
      <c r="B8" s="8" t="s">
        <v>741</v>
      </c>
      <c r="C8" s="24" t="s">
        <v>742</v>
      </c>
      <c r="D8" s="30" t="s">
        <v>762</v>
      </c>
      <c r="E8" s="40" t="s">
        <v>763</v>
      </c>
      <c r="F8" s="41"/>
      <c r="G8" s="42"/>
      <c r="H8" s="34"/>
    </row>
    <row r="9" ht="40.5" customHeight="1" spans="1:8">
      <c r="A9" s="3">
        <v>7</v>
      </c>
      <c r="B9" s="9"/>
      <c r="C9" s="24" t="s">
        <v>748</v>
      </c>
      <c r="D9" s="30" t="s">
        <v>749</v>
      </c>
      <c r="E9" s="30" t="s">
        <v>764</v>
      </c>
      <c r="F9" s="43"/>
      <c r="G9" s="44"/>
      <c r="H9" s="34"/>
    </row>
    <row r="10" spans="1:8">
      <c r="A10" s="45"/>
      <c r="B10" s="45"/>
      <c r="C10" s="45"/>
      <c r="D10" s="45"/>
      <c r="E10" s="45"/>
      <c r="F10" s="45"/>
      <c r="G10" s="45"/>
      <c r="H10" s="45"/>
    </row>
  </sheetData>
  <mergeCells count="9">
    <mergeCell ref="A1:H1"/>
    <mergeCell ref="B2:C2"/>
    <mergeCell ref="A10:H10"/>
    <mergeCell ref="B3:B6"/>
    <mergeCell ref="B8:B9"/>
    <mergeCell ref="F3:F4"/>
    <mergeCell ref="F5:F6"/>
    <mergeCell ref="F7:F9"/>
    <mergeCell ref="G7:G9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3" workbookViewId="0">
      <selection activeCell="K31" sqref="K31"/>
    </sheetView>
  </sheetViews>
  <sheetFormatPr defaultColWidth="12.2592592592593" defaultRowHeight="14.4" outlineLevelCol="5"/>
  <cols>
    <col min="1" max="16384" width="12.2592592592593" style="1"/>
  </cols>
  <sheetData>
    <row r="1" ht="22.2" spans="1:6">
      <c r="A1" s="2" t="s">
        <v>765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31.2" spans="1:6">
      <c r="A3" s="3">
        <v>1</v>
      </c>
      <c r="B3" s="3" t="s">
        <v>676</v>
      </c>
      <c r="C3" s="3" t="s">
        <v>677</v>
      </c>
      <c r="D3" s="12" t="s">
        <v>766</v>
      </c>
      <c r="E3" s="5">
        <f>(4000*0+3500)*12*1</f>
        <v>42000</v>
      </c>
      <c r="F3" s="3" t="s">
        <v>767</v>
      </c>
    </row>
    <row r="4" ht="72" spans="1:6">
      <c r="A4" s="3">
        <v>2</v>
      </c>
      <c r="B4" s="3"/>
      <c r="C4" s="3" t="s">
        <v>679</v>
      </c>
      <c r="D4" s="3" t="s">
        <v>768</v>
      </c>
      <c r="E4" s="6">
        <f>3800*0.255*12*1</f>
        <v>11628</v>
      </c>
      <c r="F4" s="3"/>
    </row>
    <row r="5" ht="57.6" spans="1:6">
      <c r="A5" s="3">
        <v>3</v>
      </c>
      <c r="B5" s="3"/>
      <c r="C5" s="8" t="s">
        <v>573</v>
      </c>
      <c r="D5" s="3" t="s">
        <v>769</v>
      </c>
      <c r="E5" s="6">
        <f>2280/21.75*11*3</f>
        <v>3459.31034482759</v>
      </c>
      <c r="F5" s="3" t="s">
        <v>682</v>
      </c>
    </row>
    <row r="6" ht="57.6" spans="1:6">
      <c r="A6" s="3">
        <v>4</v>
      </c>
      <c r="B6" s="3"/>
      <c r="C6" s="9"/>
      <c r="D6" s="3" t="s">
        <v>770</v>
      </c>
      <c r="E6" s="6">
        <f>2280/21.75*104*2</f>
        <v>21804.1379310345</v>
      </c>
      <c r="F6" s="3" t="s">
        <v>771</v>
      </c>
    </row>
    <row r="7" ht="28.8" spans="1:6">
      <c r="A7" s="3">
        <v>5</v>
      </c>
      <c r="B7" s="3"/>
      <c r="C7" s="3" t="s">
        <v>684</v>
      </c>
      <c r="D7" s="3" t="s">
        <v>772</v>
      </c>
      <c r="E7" s="6">
        <f>500*1</f>
        <v>500</v>
      </c>
      <c r="F7" s="3"/>
    </row>
    <row r="8" ht="28.8" spans="1:6">
      <c r="A8" s="3">
        <v>6</v>
      </c>
      <c r="B8" s="3"/>
      <c r="C8" s="3" t="s">
        <v>577</v>
      </c>
      <c r="D8" s="3" t="s">
        <v>773</v>
      </c>
      <c r="E8" s="6">
        <f>1200*1</f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774</v>
      </c>
      <c r="E9" s="6">
        <f>1000*1</f>
        <v>1000</v>
      </c>
      <c r="F9" s="3"/>
    </row>
    <row r="10" ht="28.8" spans="1:6">
      <c r="A10" s="3">
        <v>8</v>
      </c>
      <c r="B10" s="3"/>
      <c r="C10" s="3" t="s">
        <v>689</v>
      </c>
      <c r="D10" s="3" t="s">
        <v>775</v>
      </c>
      <c r="E10" s="6">
        <f>8*365*1</f>
        <v>2920</v>
      </c>
      <c r="F10" s="3"/>
    </row>
    <row r="11" ht="28.8" spans="1:6">
      <c r="A11" s="3">
        <v>9</v>
      </c>
      <c r="B11" s="3"/>
      <c r="C11" s="3" t="s">
        <v>691</v>
      </c>
      <c r="D11" s="3" t="s">
        <v>776</v>
      </c>
      <c r="E11" s="6">
        <f>50*12*1</f>
        <v>600</v>
      </c>
      <c r="F11" s="3"/>
    </row>
    <row r="12" ht="43.2" spans="1:6">
      <c r="A12" s="3">
        <v>10</v>
      </c>
      <c r="B12" s="3"/>
      <c r="C12" s="3" t="s">
        <v>693</v>
      </c>
      <c r="D12" s="3" t="s">
        <v>777</v>
      </c>
      <c r="E12" s="6">
        <f>400*1</f>
        <v>400</v>
      </c>
      <c r="F12" s="3"/>
    </row>
    <row r="13" ht="31.2" spans="1:6">
      <c r="A13" s="3">
        <v>11</v>
      </c>
      <c r="B13" s="3" t="s">
        <v>695</v>
      </c>
      <c r="C13" s="10" t="s">
        <v>581</v>
      </c>
      <c r="D13" s="11" t="s">
        <v>778</v>
      </c>
      <c r="E13" s="5">
        <f>(630000*0+560000)/10</f>
        <v>56000</v>
      </c>
      <c r="F13" s="3"/>
    </row>
    <row r="14" ht="43.2" spans="1:6">
      <c r="A14" s="3">
        <v>12</v>
      </c>
      <c r="B14" s="3"/>
      <c r="C14" s="10" t="s">
        <v>698</v>
      </c>
      <c r="D14" s="3" t="s">
        <v>779</v>
      </c>
      <c r="E14" s="6">
        <v>40000</v>
      </c>
      <c r="F14" s="3"/>
    </row>
    <row r="15" ht="62.4" spans="1:6">
      <c r="A15" s="3">
        <v>13</v>
      </c>
      <c r="B15" s="3"/>
      <c r="C15" s="10" t="s">
        <v>780</v>
      </c>
      <c r="D15" s="12" t="s">
        <v>781</v>
      </c>
      <c r="E15" s="5">
        <f>(1.2*90*0+1.2*50+0.35*40)*6.8*365</f>
        <v>183668</v>
      </c>
      <c r="F15" s="3" t="s">
        <v>782</v>
      </c>
    </row>
    <row r="16" ht="93.6" spans="1:6">
      <c r="A16" s="3">
        <v>14</v>
      </c>
      <c r="B16" s="3"/>
      <c r="C16" s="10" t="s">
        <v>783</v>
      </c>
      <c r="D16" s="12" t="s">
        <v>784</v>
      </c>
      <c r="E16" s="21">
        <f>0.9*4.5*50*1*365</f>
        <v>73912.5</v>
      </c>
      <c r="F16" s="3"/>
    </row>
    <row r="17" ht="28.8" spans="1:6">
      <c r="A17" s="3">
        <v>15</v>
      </c>
      <c r="B17" s="3"/>
      <c r="C17" s="10" t="s">
        <v>785</v>
      </c>
      <c r="D17" s="3" t="s">
        <v>786</v>
      </c>
      <c r="E17" s="6">
        <f>100*12</f>
        <v>1200</v>
      </c>
      <c r="F17" s="3"/>
    </row>
    <row r="18" ht="57.6" spans="1:6">
      <c r="A18" s="3">
        <v>16</v>
      </c>
      <c r="B18" s="3"/>
      <c r="C18" s="16" t="s">
        <v>703</v>
      </c>
      <c r="D18" s="3" t="s">
        <v>787</v>
      </c>
      <c r="E18" s="6">
        <f>2500/5</f>
        <v>500</v>
      </c>
      <c r="F18" s="3" t="s">
        <v>788</v>
      </c>
    </row>
    <row r="19" ht="43.2" spans="1:6">
      <c r="A19" s="3">
        <v>17</v>
      </c>
      <c r="B19" s="3"/>
      <c r="C19" s="18"/>
      <c r="D19" s="3" t="s">
        <v>789</v>
      </c>
      <c r="E19" s="6">
        <f>1800/5</f>
        <v>360</v>
      </c>
      <c r="F19" s="3" t="s">
        <v>788</v>
      </c>
    </row>
    <row r="20" ht="43.2" spans="1:6">
      <c r="A20" s="3">
        <v>18</v>
      </c>
      <c r="B20" s="3" t="s">
        <v>706</v>
      </c>
      <c r="C20" s="3"/>
      <c r="D20" s="15">
        <v>0.05</v>
      </c>
      <c r="E20" s="6">
        <f>SUM(E3:E19)*0.05</f>
        <v>22057.5974137931</v>
      </c>
      <c r="F20" s="3" t="s">
        <v>707</v>
      </c>
    </row>
    <row r="21" spans="1:6">
      <c r="A21" s="3">
        <v>19</v>
      </c>
      <c r="B21" s="3" t="s">
        <v>708</v>
      </c>
      <c r="C21" s="3"/>
      <c r="D21" s="15">
        <v>0.06</v>
      </c>
      <c r="E21" s="6">
        <f>SUM(E3:E20)*0.06</f>
        <v>27792.5727413793</v>
      </c>
      <c r="F21" s="3"/>
    </row>
    <row r="22" spans="1:6">
      <c r="A22" s="3">
        <v>20</v>
      </c>
      <c r="B22" s="3" t="s">
        <v>287</v>
      </c>
      <c r="C22" s="3"/>
      <c r="D22" s="3"/>
      <c r="E22" s="6">
        <f>SUM(E3:E21)</f>
        <v>491002.118431034</v>
      </c>
      <c r="F22" s="3" t="s">
        <v>790</v>
      </c>
    </row>
    <row r="23" spans="1:6">
      <c r="A23" s="22" t="s">
        <v>791</v>
      </c>
      <c r="B23" s="22"/>
      <c r="C23" s="22"/>
      <c r="D23" s="22"/>
      <c r="E23" s="22"/>
      <c r="F23" s="22"/>
    </row>
  </sheetData>
  <mergeCells count="10">
    <mergeCell ref="A1:F1"/>
    <mergeCell ref="B2:C2"/>
    <mergeCell ref="B20:C20"/>
    <mergeCell ref="B21:C21"/>
    <mergeCell ref="B22:D22"/>
    <mergeCell ref="A23:F23"/>
    <mergeCell ref="B3:B12"/>
    <mergeCell ref="B13:B19"/>
    <mergeCell ref="C5:C6"/>
    <mergeCell ref="C18:C19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6" workbookViewId="0">
      <selection activeCell="E21" sqref="E21"/>
    </sheetView>
  </sheetViews>
  <sheetFormatPr defaultColWidth="9" defaultRowHeight="14.4" outlineLevelCol="5"/>
  <cols>
    <col min="1" max="4" width="9" style="1"/>
    <col min="5" max="5" width="12.2592592592593" style="1" customWidth="1"/>
    <col min="6" max="16384" width="9" style="1"/>
  </cols>
  <sheetData>
    <row r="1" ht="22.2" spans="1:6">
      <c r="A1" s="2" t="s">
        <v>792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43.2" spans="1:6">
      <c r="A3" s="3">
        <v>1</v>
      </c>
      <c r="B3" s="3" t="s">
        <v>676</v>
      </c>
      <c r="C3" s="3" t="s">
        <v>677</v>
      </c>
      <c r="D3" s="12" t="s">
        <v>793</v>
      </c>
      <c r="E3" s="5">
        <f>(4000*0+3500)*12</f>
        <v>42000</v>
      </c>
      <c r="F3" s="3" t="s">
        <v>767</v>
      </c>
    </row>
    <row r="4" ht="72" spans="1:6">
      <c r="A4" s="3">
        <v>2</v>
      </c>
      <c r="B4" s="3"/>
      <c r="C4" s="3" t="s">
        <v>679</v>
      </c>
      <c r="D4" s="3" t="s">
        <v>768</v>
      </c>
      <c r="E4" s="6">
        <f>3800*0.255*12*1</f>
        <v>11628</v>
      </c>
      <c r="F4" s="3"/>
    </row>
    <row r="5" ht="86.4" spans="1:6">
      <c r="A5" s="3">
        <v>3</v>
      </c>
      <c r="B5" s="3"/>
      <c r="C5" s="8" t="s">
        <v>573</v>
      </c>
      <c r="D5" s="3" t="s">
        <v>769</v>
      </c>
      <c r="E5" s="6">
        <f>2280/21.75*11*3*1</f>
        <v>3459.31034482759</v>
      </c>
      <c r="F5" s="3" t="s">
        <v>682</v>
      </c>
    </row>
    <row r="6" ht="93.6" spans="1:6">
      <c r="A6" s="3">
        <v>4</v>
      </c>
      <c r="B6" s="3"/>
      <c r="C6" s="9"/>
      <c r="D6" s="19" t="s">
        <v>770</v>
      </c>
      <c r="E6" s="20">
        <f>2280/21.75*104*2</f>
        <v>21804.1379310345</v>
      </c>
      <c r="F6" s="3" t="s">
        <v>771</v>
      </c>
    </row>
    <row r="7" ht="28.8" spans="1:6">
      <c r="A7" s="3">
        <v>5</v>
      </c>
      <c r="B7" s="3"/>
      <c r="C7" s="3" t="s">
        <v>684</v>
      </c>
      <c r="D7" s="3" t="s">
        <v>772</v>
      </c>
      <c r="E7" s="6">
        <f>500*1</f>
        <v>500</v>
      </c>
      <c r="F7" s="3"/>
    </row>
    <row r="8" ht="28.8" spans="1:6">
      <c r="A8" s="3">
        <v>6</v>
      </c>
      <c r="B8" s="3"/>
      <c r="C8" s="3" t="s">
        <v>577</v>
      </c>
      <c r="D8" s="3" t="s">
        <v>773</v>
      </c>
      <c r="E8" s="6">
        <f>1200*1</f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774</v>
      </c>
      <c r="E9" s="6">
        <f>1000*1</f>
        <v>1000</v>
      </c>
      <c r="F9" s="3"/>
    </row>
    <row r="10" ht="28.8" spans="1:6">
      <c r="A10" s="3">
        <v>8</v>
      </c>
      <c r="B10" s="3"/>
      <c r="C10" s="3" t="s">
        <v>689</v>
      </c>
      <c r="D10" s="3" t="s">
        <v>775</v>
      </c>
      <c r="E10" s="6">
        <f>8*365*1</f>
        <v>2920</v>
      </c>
      <c r="F10" s="3"/>
    </row>
    <row r="11" ht="28.8" spans="1:6">
      <c r="A11" s="3">
        <v>9</v>
      </c>
      <c r="B11" s="3"/>
      <c r="C11" s="3" t="s">
        <v>691</v>
      </c>
      <c r="D11" s="3" t="s">
        <v>776</v>
      </c>
      <c r="E11" s="6">
        <f>50*12*1</f>
        <v>600</v>
      </c>
      <c r="F11" s="3"/>
    </row>
    <row r="12" ht="43.2" spans="1:6">
      <c r="A12" s="3">
        <v>10</v>
      </c>
      <c r="B12" s="3"/>
      <c r="C12" s="3" t="s">
        <v>693</v>
      </c>
      <c r="D12" s="3" t="s">
        <v>777</v>
      </c>
      <c r="E12" s="6">
        <f>400*1</f>
        <v>400</v>
      </c>
      <c r="F12" s="3"/>
    </row>
    <row r="13" ht="31.2" spans="1:6">
      <c r="A13" s="3">
        <v>11</v>
      </c>
      <c r="B13" s="3" t="s">
        <v>695</v>
      </c>
      <c r="C13" s="10" t="s">
        <v>581</v>
      </c>
      <c r="D13" s="11" t="s">
        <v>794</v>
      </c>
      <c r="E13" s="5">
        <f>(620000*0+450000)/10</f>
        <v>45000</v>
      </c>
      <c r="F13" s="3"/>
    </row>
    <row r="14" ht="57.6" spans="1:6">
      <c r="A14" s="3">
        <v>12</v>
      </c>
      <c r="B14" s="3"/>
      <c r="C14" s="10" t="s">
        <v>698</v>
      </c>
      <c r="D14" s="3" t="s">
        <v>779</v>
      </c>
      <c r="E14" s="6">
        <v>45000</v>
      </c>
      <c r="F14" s="3"/>
    </row>
    <row r="15" ht="93.6" spans="1:6">
      <c r="A15" s="3">
        <v>13</v>
      </c>
      <c r="B15" s="3"/>
      <c r="C15" s="10" t="s">
        <v>780</v>
      </c>
      <c r="D15" s="12" t="s">
        <v>795</v>
      </c>
      <c r="E15" s="5">
        <f>(1*80*0+0.67*50+0.35*30)*6.8*365</f>
        <v>109208</v>
      </c>
      <c r="F15" s="3" t="s">
        <v>796</v>
      </c>
    </row>
    <row r="16" ht="124.8" spans="1:6">
      <c r="A16" s="3">
        <v>14</v>
      </c>
      <c r="B16" s="3"/>
      <c r="C16" s="10" t="s">
        <v>783</v>
      </c>
      <c r="D16" s="12" t="s">
        <v>797</v>
      </c>
      <c r="E16" s="23">
        <f>1.05*4.5*50*1*365</f>
        <v>86231.25</v>
      </c>
      <c r="F16" s="3"/>
    </row>
    <row r="17" ht="43.2" spans="1:6">
      <c r="A17" s="3">
        <v>15</v>
      </c>
      <c r="B17" s="3"/>
      <c r="C17" s="10" t="s">
        <v>785</v>
      </c>
      <c r="D17" s="3" t="s">
        <v>786</v>
      </c>
      <c r="E17" s="6">
        <f>100*12</f>
        <v>1200</v>
      </c>
      <c r="F17" s="3"/>
    </row>
    <row r="18" ht="72" spans="1:6">
      <c r="A18" s="3">
        <v>16</v>
      </c>
      <c r="B18" s="3"/>
      <c r="C18" s="16" t="s">
        <v>703</v>
      </c>
      <c r="D18" s="3" t="s">
        <v>787</v>
      </c>
      <c r="E18" s="6">
        <f>2500/5</f>
        <v>500</v>
      </c>
      <c r="F18" s="3" t="s">
        <v>788</v>
      </c>
    </row>
    <row r="19" ht="57.6" spans="1:6">
      <c r="A19" s="3">
        <v>17</v>
      </c>
      <c r="B19" s="3"/>
      <c r="C19" s="18"/>
      <c r="D19" s="3" t="s">
        <v>789</v>
      </c>
      <c r="E19" s="6">
        <f>1800/5</f>
        <v>360</v>
      </c>
      <c r="F19" s="3" t="s">
        <v>788</v>
      </c>
    </row>
    <row r="20" ht="43.2" spans="1:6">
      <c r="A20" s="3">
        <v>18</v>
      </c>
      <c r="B20" s="3" t="s">
        <v>706</v>
      </c>
      <c r="C20" s="3"/>
      <c r="D20" s="15">
        <v>0.05</v>
      </c>
      <c r="E20" s="6">
        <f>SUM(E3:E19)*0.05</f>
        <v>18650.5349137931</v>
      </c>
      <c r="F20" s="3" t="s">
        <v>707</v>
      </c>
    </row>
    <row r="21" spans="1:6">
      <c r="A21" s="3">
        <v>19</v>
      </c>
      <c r="B21" s="3" t="s">
        <v>708</v>
      </c>
      <c r="C21" s="3"/>
      <c r="D21" s="15">
        <v>0.06</v>
      </c>
      <c r="E21" s="6">
        <f>SUM(E3:E20)*0.06</f>
        <v>23499.6739913793</v>
      </c>
      <c r="F21" s="3"/>
    </row>
    <row r="22" spans="1:6">
      <c r="A22" s="3">
        <v>20</v>
      </c>
      <c r="B22" s="3" t="s">
        <v>287</v>
      </c>
      <c r="C22" s="3"/>
      <c r="D22" s="3"/>
      <c r="E22" s="6">
        <f>SUM(E3:E21)</f>
        <v>415160.907181035</v>
      </c>
      <c r="F22" s="3" t="s">
        <v>790</v>
      </c>
    </row>
    <row r="23" spans="1:6">
      <c r="A23" s="22" t="s">
        <v>798</v>
      </c>
      <c r="B23" s="22"/>
      <c r="C23" s="22"/>
      <c r="D23" s="22"/>
      <c r="E23" s="22"/>
      <c r="F23" s="22"/>
    </row>
  </sheetData>
  <mergeCells count="10">
    <mergeCell ref="A1:F1"/>
    <mergeCell ref="B2:C2"/>
    <mergeCell ref="B20:C20"/>
    <mergeCell ref="B21:C21"/>
    <mergeCell ref="B22:D22"/>
    <mergeCell ref="A23:F23"/>
    <mergeCell ref="B3:B12"/>
    <mergeCell ref="B13:B19"/>
    <mergeCell ref="C5:C6"/>
    <mergeCell ref="C18:C19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6" workbookViewId="0">
      <selection activeCell="I42" sqref="I42"/>
    </sheetView>
  </sheetViews>
  <sheetFormatPr defaultColWidth="9" defaultRowHeight="14.4" outlineLevelCol="5"/>
  <cols>
    <col min="1" max="4" width="9" style="1"/>
    <col min="5" max="5" width="15.5" style="1" customWidth="1"/>
    <col min="6" max="16384" width="9" style="1"/>
  </cols>
  <sheetData>
    <row r="1" ht="22.2" spans="1:6">
      <c r="A1" s="2" t="s">
        <v>799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43.2" spans="1:6">
      <c r="A3" s="3">
        <v>1</v>
      </c>
      <c r="B3" s="3" t="s">
        <v>676</v>
      </c>
      <c r="C3" s="3" t="s">
        <v>677</v>
      </c>
      <c r="D3" s="12" t="s">
        <v>800</v>
      </c>
      <c r="E3" s="5">
        <f>(4000*0+3500)*12*1</f>
        <v>42000</v>
      </c>
      <c r="F3" s="3" t="s">
        <v>767</v>
      </c>
    </row>
    <row r="4" ht="72" spans="1:6">
      <c r="A4" s="3">
        <v>2</v>
      </c>
      <c r="B4" s="3"/>
      <c r="C4" s="3" t="s">
        <v>679</v>
      </c>
      <c r="D4" s="3" t="s">
        <v>768</v>
      </c>
      <c r="E4" s="6">
        <f>3800*0.255*12*1</f>
        <v>11628</v>
      </c>
      <c r="F4" s="3"/>
    </row>
    <row r="5" ht="86.4" spans="1:6">
      <c r="A5" s="3">
        <v>3</v>
      </c>
      <c r="B5" s="3"/>
      <c r="C5" s="8" t="s">
        <v>573</v>
      </c>
      <c r="D5" s="3" t="s">
        <v>769</v>
      </c>
      <c r="E5" s="6">
        <f>2280/21.75*11*3*1</f>
        <v>3459.31034482759</v>
      </c>
      <c r="F5" s="3" t="s">
        <v>682</v>
      </c>
    </row>
    <row r="6" ht="93.6" spans="1:6">
      <c r="A6" s="3">
        <v>4</v>
      </c>
      <c r="B6" s="3"/>
      <c r="C6" s="9"/>
      <c r="D6" s="19" t="s">
        <v>770</v>
      </c>
      <c r="E6" s="20">
        <f>2280/21.75*104*2</f>
        <v>21804.1379310345</v>
      </c>
      <c r="F6" s="3" t="s">
        <v>771</v>
      </c>
    </row>
    <row r="7" ht="28.8" spans="1:6">
      <c r="A7" s="3">
        <v>5</v>
      </c>
      <c r="B7" s="3"/>
      <c r="C7" s="3" t="s">
        <v>684</v>
      </c>
      <c r="D7" s="3" t="s">
        <v>772</v>
      </c>
      <c r="E7" s="6">
        <f>500*1</f>
        <v>500</v>
      </c>
      <c r="F7" s="3"/>
    </row>
    <row r="8" ht="28.8" spans="1:6">
      <c r="A8" s="3">
        <v>6</v>
      </c>
      <c r="B8" s="3"/>
      <c r="C8" s="3" t="s">
        <v>577</v>
      </c>
      <c r="D8" s="3" t="s">
        <v>773</v>
      </c>
      <c r="E8" s="6">
        <f>1200*1</f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774</v>
      </c>
      <c r="E9" s="6">
        <f>1000*1</f>
        <v>1000</v>
      </c>
      <c r="F9" s="3"/>
    </row>
    <row r="10" ht="28.8" spans="1:6">
      <c r="A10" s="3">
        <v>8</v>
      </c>
      <c r="B10" s="3"/>
      <c r="C10" s="3" t="s">
        <v>689</v>
      </c>
      <c r="D10" s="3" t="s">
        <v>775</v>
      </c>
      <c r="E10" s="6">
        <f>8*365*1</f>
        <v>2920</v>
      </c>
      <c r="F10" s="3"/>
    </row>
    <row r="11" ht="28.8" spans="1:6">
      <c r="A11" s="3">
        <v>9</v>
      </c>
      <c r="B11" s="3"/>
      <c r="C11" s="3" t="s">
        <v>691</v>
      </c>
      <c r="D11" s="3" t="s">
        <v>776</v>
      </c>
      <c r="E11" s="6">
        <f>50*12*1</f>
        <v>600</v>
      </c>
      <c r="F11" s="3"/>
    </row>
    <row r="12" ht="62.4" spans="1:6">
      <c r="A12" s="3">
        <v>10</v>
      </c>
      <c r="B12" s="3"/>
      <c r="C12" s="11" t="s">
        <v>693</v>
      </c>
      <c r="D12" s="11" t="s">
        <v>777</v>
      </c>
      <c r="E12" s="6">
        <f>400*1</f>
        <v>400</v>
      </c>
      <c r="F12" s="3"/>
    </row>
    <row r="13" ht="30" spans="1:6">
      <c r="A13" s="3">
        <v>11</v>
      </c>
      <c r="B13" s="3" t="s">
        <v>695</v>
      </c>
      <c r="C13" s="10" t="s">
        <v>581</v>
      </c>
      <c r="D13" s="3" t="s">
        <v>801</v>
      </c>
      <c r="E13" s="5">
        <f>300000/10</f>
        <v>30000</v>
      </c>
      <c r="F13" s="3"/>
    </row>
    <row r="14" ht="57.6" spans="1:6">
      <c r="A14" s="3">
        <v>12</v>
      </c>
      <c r="B14" s="3"/>
      <c r="C14" s="10" t="s">
        <v>698</v>
      </c>
      <c r="D14" s="3" t="s">
        <v>779</v>
      </c>
      <c r="E14" s="6">
        <v>19000</v>
      </c>
      <c r="F14" s="3"/>
    </row>
    <row r="15" ht="109.2" spans="1:6">
      <c r="A15" s="3">
        <v>13</v>
      </c>
      <c r="B15" s="3"/>
      <c r="C15" s="10" t="s">
        <v>780</v>
      </c>
      <c r="D15" s="12" t="s">
        <v>802</v>
      </c>
      <c r="E15" s="5">
        <f>(0.5*120*0+0.5*80+0.35*40)*6.8*1*365</f>
        <v>134028</v>
      </c>
      <c r="F15" s="3" t="s">
        <v>803</v>
      </c>
    </row>
    <row r="16" ht="124.8" spans="1:6">
      <c r="A16" s="3">
        <v>14</v>
      </c>
      <c r="B16" s="3"/>
      <c r="C16" s="10" t="s">
        <v>783</v>
      </c>
      <c r="D16" s="12" t="s">
        <v>804</v>
      </c>
      <c r="E16" s="21">
        <f>1.05*4.5*80*1*365</f>
        <v>137970</v>
      </c>
      <c r="F16" s="3"/>
    </row>
    <row r="17" ht="43.2" spans="1:6">
      <c r="A17" s="3">
        <v>15</v>
      </c>
      <c r="B17" s="3"/>
      <c r="C17" s="10" t="s">
        <v>785</v>
      </c>
      <c r="D17" s="3" t="s">
        <v>786</v>
      </c>
      <c r="E17" s="6">
        <f>100*12</f>
        <v>1200</v>
      </c>
      <c r="F17" s="3"/>
    </row>
    <row r="18" ht="72" spans="1:6">
      <c r="A18" s="3">
        <v>16</v>
      </c>
      <c r="B18" s="3"/>
      <c r="C18" s="16" t="s">
        <v>703</v>
      </c>
      <c r="D18" s="3" t="s">
        <v>787</v>
      </c>
      <c r="E18" s="6">
        <f>2500/5</f>
        <v>500</v>
      </c>
      <c r="F18" s="3" t="s">
        <v>805</v>
      </c>
    </row>
    <row r="19" ht="57.6" spans="1:6">
      <c r="A19" s="3">
        <v>17</v>
      </c>
      <c r="B19" s="3"/>
      <c r="C19" s="18"/>
      <c r="D19" s="3" t="s">
        <v>789</v>
      </c>
      <c r="E19" s="6">
        <f>1800/5</f>
        <v>360</v>
      </c>
      <c r="F19" s="3" t="s">
        <v>805</v>
      </c>
    </row>
    <row r="20" ht="43.2" spans="1:6">
      <c r="A20" s="3">
        <v>18</v>
      </c>
      <c r="B20" s="3" t="s">
        <v>706</v>
      </c>
      <c r="C20" s="3"/>
      <c r="D20" s="15">
        <v>0.05</v>
      </c>
      <c r="E20" s="6">
        <f>SUM(E3:E19)*0.05</f>
        <v>20428.4724137931</v>
      </c>
      <c r="F20" s="3" t="s">
        <v>707</v>
      </c>
    </row>
    <row r="21" spans="1:6">
      <c r="A21" s="3">
        <v>19</v>
      </c>
      <c r="B21" s="3" t="s">
        <v>708</v>
      </c>
      <c r="C21" s="3"/>
      <c r="D21" s="15">
        <v>0.06</v>
      </c>
      <c r="E21" s="6">
        <f>SUM(E3:E20)*0.06</f>
        <v>25739.8752413793</v>
      </c>
      <c r="F21" s="3"/>
    </row>
    <row r="22" spans="1:6">
      <c r="A22" s="3">
        <v>20</v>
      </c>
      <c r="B22" s="3" t="s">
        <v>287</v>
      </c>
      <c r="C22" s="3"/>
      <c r="D22" s="3"/>
      <c r="E22" s="6">
        <f>SUM(E3:E21)</f>
        <v>454737.795931035</v>
      </c>
      <c r="F22" s="3" t="s">
        <v>790</v>
      </c>
    </row>
    <row r="23" spans="1:6">
      <c r="A23" s="22" t="s">
        <v>806</v>
      </c>
      <c r="B23" s="22"/>
      <c r="C23" s="22"/>
      <c r="D23" s="22"/>
      <c r="E23" s="22"/>
      <c r="F23" s="22"/>
    </row>
  </sheetData>
  <mergeCells count="10">
    <mergeCell ref="A1:F1"/>
    <mergeCell ref="B2:C2"/>
    <mergeCell ref="B20:C20"/>
    <mergeCell ref="B21:C21"/>
    <mergeCell ref="B22:D22"/>
    <mergeCell ref="A23:F23"/>
    <mergeCell ref="B3:B12"/>
    <mergeCell ref="B13:B19"/>
    <mergeCell ref="C5:C6"/>
    <mergeCell ref="C18:C19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3" workbookViewId="0">
      <selection activeCell="E21" sqref="E21"/>
    </sheetView>
  </sheetViews>
  <sheetFormatPr defaultColWidth="9" defaultRowHeight="14.4" outlineLevelCol="5"/>
  <cols>
    <col min="1" max="4" width="9" style="1"/>
    <col min="5" max="5" width="14.2592592592593" style="1" customWidth="1"/>
    <col min="6" max="16384" width="9" style="1"/>
  </cols>
  <sheetData>
    <row r="1" ht="22.2" spans="1:6">
      <c r="A1" s="2" t="s">
        <v>807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43.2" spans="1:6">
      <c r="A3" s="3">
        <v>1</v>
      </c>
      <c r="B3" s="3" t="s">
        <v>676</v>
      </c>
      <c r="C3" s="3" t="s">
        <v>677</v>
      </c>
      <c r="D3" s="12" t="s">
        <v>808</v>
      </c>
      <c r="E3" s="5">
        <f>(3800*0+3500)*12*1</f>
        <v>42000</v>
      </c>
      <c r="F3" s="3" t="s">
        <v>809</v>
      </c>
    </row>
    <row r="4" ht="72" spans="1:6">
      <c r="A4" s="3">
        <v>2</v>
      </c>
      <c r="B4" s="3"/>
      <c r="C4" s="3" t="s">
        <v>679</v>
      </c>
      <c r="D4" s="3" t="s">
        <v>768</v>
      </c>
      <c r="E4" s="6">
        <f>3800*0.255*12*1</f>
        <v>11628</v>
      </c>
      <c r="F4" s="3"/>
    </row>
    <row r="5" ht="86.4" spans="1:6">
      <c r="A5" s="3">
        <v>3</v>
      </c>
      <c r="B5" s="3"/>
      <c r="C5" s="8" t="s">
        <v>573</v>
      </c>
      <c r="D5" s="3" t="s">
        <v>769</v>
      </c>
      <c r="E5" s="6">
        <f>2280/21.75*11*3*1</f>
        <v>3459.31034482759</v>
      </c>
      <c r="F5" s="3" t="s">
        <v>682</v>
      </c>
    </row>
    <row r="6" ht="93.6" spans="1:6">
      <c r="A6" s="3">
        <v>4</v>
      </c>
      <c r="B6" s="3"/>
      <c r="C6" s="9"/>
      <c r="D6" s="19" t="s">
        <v>770</v>
      </c>
      <c r="E6" s="20">
        <f>2280/21.75*104*2</f>
        <v>21804.1379310345</v>
      </c>
      <c r="F6" s="3" t="s">
        <v>771</v>
      </c>
    </row>
    <row r="7" ht="28.8" spans="1:6">
      <c r="A7" s="3">
        <v>5</v>
      </c>
      <c r="B7" s="3"/>
      <c r="C7" s="3" t="s">
        <v>684</v>
      </c>
      <c r="D7" s="3" t="s">
        <v>772</v>
      </c>
      <c r="E7" s="6">
        <f>500*1</f>
        <v>500</v>
      </c>
      <c r="F7" s="3"/>
    </row>
    <row r="8" ht="28.8" spans="1:6">
      <c r="A8" s="3">
        <v>6</v>
      </c>
      <c r="B8" s="3"/>
      <c r="C8" s="3" t="s">
        <v>577</v>
      </c>
      <c r="D8" s="3" t="s">
        <v>773</v>
      </c>
      <c r="E8" s="6">
        <f>1200*1</f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774</v>
      </c>
      <c r="E9" s="6">
        <f>1000*1</f>
        <v>1000</v>
      </c>
      <c r="F9" s="3"/>
    </row>
    <row r="10" ht="28.8" spans="1:6">
      <c r="A10" s="3">
        <v>8</v>
      </c>
      <c r="B10" s="3"/>
      <c r="C10" s="3" t="s">
        <v>689</v>
      </c>
      <c r="D10" s="3" t="s">
        <v>775</v>
      </c>
      <c r="E10" s="6">
        <f>8*365*1</f>
        <v>2920</v>
      </c>
      <c r="F10" s="3"/>
    </row>
    <row r="11" ht="28.8" spans="1:6">
      <c r="A11" s="3">
        <v>9</v>
      </c>
      <c r="B11" s="3"/>
      <c r="C11" s="3" t="s">
        <v>691</v>
      </c>
      <c r="D11" s="3" t="s">
        <v>776</v>
      </c>
      <c r="E11" s="6">
        <f>50*12*1</f>
        <v>600</v>
      </c>
      <c r="F11" s="3"/>
    </row>
    <row r="12" ht="43.2" spans="1:6">
      <c r="A12" s="3">
        <v>10</v>
      </c>
      <c r="B12" s="3"/>
      <c r="C12" s="3" t="s">
        <v>693</v>
      </c>
      <c r="D12" s="3" t="s">
        <v>777</v>
      </c>
      <c r="E12" s="6">
        <f>400*1</f>
        <v>400</v>
      </c>
      <c r="F12" s="3"/>
    </row>
    <row r="13" ht="46.8" spans="1:6">
      <c r="A13" s="3">
        <v>11</v>
      </c>
      <c r="B13" s="3" t="s">
        <v>695</v>
      </c>
      <c r="C13" s="10" t="s">
        <v>810</v>
      </c>
      <c r="D13" s="19" t="s">
        <v>811</v>
      </c>
      <c r="E13" s="5">
        <f>(200000*0+150000)/10</f>
        <v>15000</v>
      </c>
      <c r="F13" s="3"/>
    </row>
    <row r="14" ht="57.6" spans="1:6">
      <c r="A14" s="3">
        <v>12</v>
      </c>
      <c r="B14" s="3"/>
      <c r="C14" s="10" t="s">
        <v>698</v>
      </c>
      <c r="D14" s="3" t="s">
        <v>779</v>
      </c>
      <c r="E14" s="6">
        <v>10000</v>
      </c>
      <c r="F14" s="3"/>
    </row>
    <row r="15" ht="93.6" spans="1:6">
      <c r="A15" s="3">
        <v>13</v>
      </c>
      <c r="B15" s="3"/>
      <c r="C15" s="10" t="s">
        <v>780</v>
      </c>
      <c r="D15" s="12" t="s">
        <v>812</v>
      </c>
      <c r="E15" s="5">
        <f>(1*72*0+0.85*42+0.25*30)*6.8*1*365</f>
        <v>107222.4</v>
      </c>
      <c r="F15" s="3" t="s">
        <v>813</v>
      </c>
    </row>
    <row r="16" ht="124.8" spans="1:6">
      <c r="A16" s="3">
        <v>14</v>
      </c>
      <c r="B16" s="3"/>
      <c r="C16" s="10" t="s">
        <v>783</v>
      </c>
      <c r="D16" s="12" t="s">
        <v>814</v>
      </c>
      <c r="E16" s="21">
        <f>0.4*4.5*42*1*365</f>
        <v>27594</v>
      </c>
      <c r="F16" s="3"/>
    </row>
    <row r="17" ht="43.2" spans="1:6">
      <c r="A17" s="3">
        <v>15</v>
      </c>
      <c r="B17" s="3"/>
      <c r="C17" s="10" t="s">
        <v>785</v>
      </c>
      <c r="D17" s="3" t="s">
        <v>786</v>
      </c>
      <c r="E17" s="6">
        <f>100*12</f>
        <v>1200</v>
      </c>
      <c r="F17" s="3"/>
    </row>
    <row r="18" ht="72" spans="1:6">
      <c r="A18" s="3">
        <v>16</v>
      </c>
      <c r="B18" s="3"/>
      <c r="C18" s="16" t="s">
        <v>703</v>
      </c>
      <c r="D18" s="3" t="s">
        <v>787</v>
      </c>
      <c r="E18" s="6">
        <f>2500/5</f>
        <v>500</v>
      </c>
      <c r="F18" s="3" t="s">
        <v>788</v>
      </c>
    </row>
    <row r="19" ht="57.6" spans="1:6">
      <c r="A19" s="3">
        <v>17</v>
      </c>
      <c r="B19" s="3"/>
      <c r="C19" s="18"/>
      <c r="D19" s="3" t="s">
        <v>789</v>
      </c>
      <c r="E19" s="6">
        <f>1800/5</f>
        <v>360</v>
      </c>
      <c r="F19" s="3" t="s">
        <v>788</v>
      </c>
    </row>
    <row r="20" ht="43.2" spans="1:6">
      <c r="A20" s="3">
        <v>18</v>
      </c>
      <c r="B20" s="3" t="s">
        <v>706</v>
      </c>
      <c r="C20" s="3"/>
      <c r="D20" s="15">
        <v>0.05</v>
      </c>
      <c r="E20" s="6">
        <f>SUM(E3:E19)*0.05</f>
        <v>12369.3924137931</v>
      </c>
      <c r="F20" s="3" t="s">
        <v>707</v>
      </c>
    </row>
    <row r="21" spans="1:6">
      <c r="A21" s="3">
        <v>19</v>
      </c>
      <c r="B21" s="3" t="s">
        <v>708</v>
      </c>
      <c r="C21" s="3"/>
      <c r="D21" s="15">
        <v>0.06</v>
      </c>
      <c r="E21" s="6">
        <f>SUM(E3:E20)*0.06</f>
        <v>15585.4344413793</v>
      </c>
      <c r="F21" s="3"/>
    </row>
    <row r="22" spans="1:6">
      <c r="A22" s="3">
        <v>20</v>
      </c>
      <c r="B22" s="3" t="s">
        <v>287</v>
      </c>
      <c r="C22" s="3"/>
      <c r="D22" s="3"/>
      <c r="E22" s="6">
        <f>SUM(E3:E21)</f>
        <v>275342.675131034</v>
      </c>
      <c r="F22" s="3" t="s">
        <v>790</v>
      </c>
    </row>
    <row r="23" spans="1:6">
      <c r="A23" s="22" t="s">
        <v>815</v>
      </c>
      <c r="B23" s="22"/>
      <c r="C23" s="22"/>
      <c r="D23" s="22"/>
      <c r="E23" s="22"/>
      <c r="F23" s="22"/>
    </row>
  </sheetData>
  <mergeCells count="10">
    <mergeCell ref="A1:F1"/>
    <mergeCell ref="B2:C2"/>
    <mergeCell ref="B20:C20"/>
    <mergeCell ref="B21:C21"/>
    <mergeCell ref="B22:D22"/>
    <mergeCell ref="A23:F23"/>
    <mergeCell ref="B3:B12"/>
    <mergeCell ref="B13:B19"/>
    <mergeCell ref="C5:C6"/>
    <mergeCell ref="C18:C19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E19" sqref="E19"/>
    </sheetView>
  </sheetViews>
  <sheetFormatPr defaultColWidth="9" defaultRowHeight="14.4" outlineLevelCol="5"/>
  <cols>
    <col min="1" max="4" width="9" style="1"/>
    <col min="5" max="5" width="14.6296296296296" style="1" customWidth="1"/>
    <col min="6" max="16384" width="9" style="1"/>
  </cols>
  <sheetData>
    <row r="1" ht="22.2" spans="1:6">
      <c r="A1" s="2" t="s">
        <v>816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43.2" spans="1:6">
      <c r="A3" s="3">
        <v>1</v>
      </c>
      <c r="B3" s="3" t="s">
        <v>676</v>
      </c>
      <c r="C3" s="3" t="s">
        <v>677</v>
      </c>
      <c r="D3" s="3" t="s">
        <v>817</v>
      </c>
      <c r="E3" s="6">
        <f>3500*12*1</f>
        <v>42000</v>
      </c>
      <c r="F3" s="3" t="s">
        <v>818</v>
      </c>
    </row>
    <row r="4" ht="72" spans="1:6">
      <c r="A4" s="3">
        <v>2</v>
      </c>
      <c r="B4" s="3"/>
      <c r="C4" s="3" t="s">
        <v>679</v>
      </c>
      <c r="D4" s="3" t="s">
        <v>768</v>
      </c>
      <c r="E4" s="6">
        <f>3800*0.255*12*1</f>
        <v>11628</v>
      </c>
      <c r="F4" s="3"/>
    </row>
    <row r="5" ht="86.4" spans="1:6">
      <c r="A5" s="3">
        <v>3</v>
      </c>
      <c r="B5" s="3"/>
      <c r="C5" s="8" t="s">
        <v>573</v>
      </c>
      <c r="D5" s="3" t="s">
        <v>819</v>
      </c>
      <c r="E5" s="6">
        <f>2280*1/21.75*11*3</f>
        <v>3459.31034482759</v>
      </c>
      <c r="F5" s="3" t="s">
        <v>682</v>
      </c>
    </row>
    <row r="6" ht="86.4" spans="1:6">
      <c r="A6" s="3">
        <v>4</v>
      </c>
      <c r="B6" s="3"/>
      <c r="C6" s="9"/>
      <c r="D6" s="3" t="s">
        <v>770</v>
      </c>
      <c r="E6" s="6">
        <f>2280/21.75*104*2</f>
        <v>21804.1379310345</v>
      </c>
      <c r="F6" s="3" t="s">
        <v>771</v>
      </c>
    </row>
    <row r="7" ht="28.8" spans="1:6">
      <c r="A7" s="3">
        <v>5</v>
      </c>
      <c r="B7" s="3"/>
      <c r="C7" s="3" t="s">
        <v>684</v>
      </c>
      <c r="D7" s="3" t="s">
        <v>772</v>
      </c>
      <c r="E7" s="6">
        <f>500*1</f>
        <v>500</v>
      </c>
      <c r="F7" s="3"/>
    </row>
    <row r="8" ht="28.8" spans="1:6">
      <c r="A8" s="3">
        <v>6</v>
      </c>
      <c r="B8" s="3"/>
      <c r="C8" s="3" t="s">
        <v>577</v>
      </c>
      <c r="D8" s="3" t="s">
        <v>773</v>
      </c>
      <c r="E8" s="6">
        <f>1200*1</f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774</v>
      </c>
      <c r="E9" s="6">
        <f>1000*1</f>
        <v>1000</v>
      </c>
      <c r="F9" s="3"/>
    </row>
    <row r="10" ht="28.8" spans="1:6">
      <c r="A10" s="3">
        <v>8</v>
      </c>
      <c r="B10" s="3"/>
      <c r="C10" s="3" t="s">
        <v>689</v>
      </c>
      <c r="D10" s="3" t="s">
        <v>775</v>
      </c>
      <c r="E10" s="6">
        <f>8*365*1</f>
        <v>2920</v>
      </c>
      <c r="F10" s="3"/>
    </row>
    <row r="11" ht="28.8" spans="1:6">
      <c r="A11" s="3">
        <v>9</v>
      </c>
      <c r="B11" s="3"/>
      <c r="C11" s="3" t="s">
        <v>691</v>
      </c>
      <c r="D11" s="3" t="s">
        <v>776</v>
      </c>
      <c r="E11" s="6">
        <f>50*12*1</f>
        <v>600</v>
      </c>
      <c r="F11" s="3"/>
    </row>
    <row r="12" ht="43.2" spans="1:6">
      <c r="A12" s="3">
        <v>10</v>
      </c>
      <c r="B12" s="3"/>
      <c r="C12" s="3" t="s">
        <v>693</v>
      </c>
      <c r="D12" s="3" t="s">
        <v>820</v>
      </c>
      <c r="E12" s="6">
        <f>400*1</f>
        <v>400</v>
      </c>
      <c r="F12" s="3"/>
    </row>
    <row r="13" ht="30" spans="1:6">
      <c r="A13" s="3">
        <v>11</v>
      </c>
      <c r="B13" s="3" t="s">
        <v>695</v>
      </c>
      <c r="C13" s="16" t="s">
        <v>581</v>
      </c>
      <c r="D13" s="11" t="s">
        <v>821</v>
      </c>
      <c r="E13" s="5">
        <f>(120000*0+100000)/6</f>
        <v>16666.6666666667</v>
      </c>
      <c r="F13" s="3"/>
    </row>
    <row r="14" ht="72" spans="1:6">
      <c r="A14" s="3">
        <v>12</v>
      </c>
      <c r="B14" s="3"/>
      <c r="C14" s="17" t="s">
        <v>822</v>
      </c>
      <c r="D14" s="17" t="s">
        <v>823</v>
      </c>
      <c r="E14" s="6">
        <v>3000</v>
      </c>
      <c r="F14" s="3"/>
    </row>
    <row r="15" ht="86.4" spans="1:6">
      <c r="A15" s="3">
        <v>13</v>
      </c>
      <c r="B15" s="3"/>
      <c r="C15" s="10" t="s">
        <v>824</v>
      </c>
      <c r="D15" s="3" t="s">
        <v>825</v>
      </c>
      <c r="E15" s="5">
        <f>(50*0+40)*0.87*365</f>
        <v>12702</v>
      </c>
      <c r="F15" s="3"/>
    </row>
    <row r="16" ht="43.2" spans="1:6">
      <c r="A16" s="3">
        <v>14</v>
      </c>
      <c r="B16" s="3"/>
      <c r="C16" s="10" t="s">
        <v>783</v>
      </c>
      <c r="D16" s="3" t="s">
        <v>826</v>
      </c>
      <c r="E16" s="6">
        <f>4.5*4*365</f>
        <v>6570</v>
      </c>
      <c r="F16" s="3"/>
    </row>
    <row r="17" ht="72" spans="1:6">
      <c r="A17" s="3">
        <v>15</v>
      </c>
      <c r="B17" s="3"/>
      <c r="C17" s="16" t="s">
        <v>703</v>
      </c>
      <c r="D17" s="3" t="s">
        <v>787</v>
      </c>
      <c r="E17" s="6">
        <f>2500/5</f>
        <v>500</v>
      </c>
      <c r="F17" s="3" t="s">
        <v>788</v>
      </c>
    </row>
    <row r="18" ht="57.6" spans="1:6">
      <c r="A18" s="3">
        <v>16</v>
      </c>
      <c r="B18" s="3"/>
      <c r="C18" s="18"/>
      <c r="D18" s="3" t="s">
        <v>789</v>
      </c>
      <c r="E18" s="6">
        <f>1800/5</f>
        <v>360</v>
      </c>
      <c r="F18" s="3" t="s">
        <v>788</v>
      </c>
    </row>
    <row r="19" ht="43.2" spans="1:6">
      <c r="A19" s="3">
        <v>17</v>
      </c>
      <c r="B19" s="3" t="s">
        <v>706</v>
      </c>
      <c r="C19" s="3"/>
      <c r="D19" s="15">
        <v>0.05</v>
      </c>
      <c r="E19" s="6">
        <f>SUM(E3:E18)*0.05</f>
        <v>6265.50574712644</v>
      </c>
      <c r="F19" s="3" t="s">
        <v>707</v>
      </c>
    </row>
    <row r="20" spans="1:6">
      <c r="A20" s="3">
        <v>18</v>
      </c>
      <c r="B20" s="3" t="s">
        <v>708</v>
      </c>
      <c r="C20" s="3"/>
      <c r="D20" s="15">
        <v>0.06</v>
      </c>
      <c r="E20" s="6">
        <f>SUM(E3:E19)*0.06</f>
        <v>7894.53724137931</v>
      </c>
      <c r="F20" s="3"/>
    </row>
    <row r="21" spans="1:6">
      <c r="A21" s="3">
        <v>19</v>
      </c>
      <c r="B21" s="3" t="s">
        <v>287</v>
      </c>
      <c r="C21" s="3"/>
      <c r="D21" s="3"/>
      <c r="E21" s="6">
        <f>SUM(E3:E20)</f>
        <v>139470.157931035</v>
      </c>
      <c r="F21" s="3" t="s">
        <v>790</v>
      </c>
    </row>
  </sheetData>
  <mergeCells count="9">
    <mergeCell ref="A1:F1"/>
    <mergeCell ref="B2:C2"/>
    <mergeCell ref="B19:C19"/>
    <mergeCell ref="B20:C20"/>
    <mergeCell ref="B21:D21"/>
    <mergeCell ref="B3:B12"/>
    <mergeCell ref="B13:B18"/>
    <mergeCell ref="C5:C6"/>
    <mergeCell ref="C17:C18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21" sqref="H21"/>
    </sheetView>
  </sheetViews>
  <sheetFormatPr defaultColWidth="9" defaultRowHeight="14.4" outlineLevelCol="5"/>
  <cols>
    <col min="1" max="4" width="9" style="1"/>
    <col min="5" max="5" width="11.7592592592593" style="1" customWidth="1"/>
    <col min="6" max="16384" width="9" style="1"/>
  </cols>
  <sheetData>
    <row r="1" ht="22.2" spans="1:6">
      <c r="A1" s="2" t="s">
        <v>827</v>
      </c>
      <c r="B1" s="2"/>
      <c r="C1" s="2"/>
      <c r="D1" s="2"/>
      <c r="E1" s="2"/>
      <c r="F1" s="2"/>
    </row>
    <row r="2" spans="1:6">
      <c r="A2" s="3" t="s">
        <v>1</v>
      </c>
      <c r="B2" s="3" t="s">
        <v>539</v>
      </c>
      <c r="C2" s="3"/>
      <c r="D2" s="3" t="s">
        <v>674</v>
      </c>
      <c r="E2" s="3" t="s">
        <v>675</v>
      </c>
      <c r="F2" s="3" t="s">
        <v>36</v>
      </c>
    </row>
    <row r="3" ht="28.8" spans="1:6">
      <c r="A3" s="3">
        <v>1</v>
      </c>
      <c r="B3" s="3" t="s">
        <v>676</v>
      </c>
      <c r="C3" s="3" t="s">
        <v>677</v>
      </c>
      <c r="D3" s="4" t="s">
        <v>678</v>
      </c>
      <c r="E3" s="5">
        <f>2280*12</f>
        <v>27360</v>
      </c>
      <c r="F3" s="4" t="s">
        <v>828</v>
      </c>
    </row>
    <row r="4" spans="1:6">
      <c r="A4" s="3">
        <v>2</v>
      </c>
      <c r="B4" s="3"/>
      <c r="C4" s="3" t="s">
        <v>679</v>
      </c>
      <c r="D4" s="3"/>
      <c r="E4" s="6"/>
      <c r="F4" s="7" t="s">
        <v>680</v>
      </c>
    </row>
    <row r="5" ht="72" spans="1:6">
      <c r="A5" s="3">
        <v>3</v>
      </c>
      <c r="B5" s="3"/>
      <c r="C5" s="8" t="s">
        <v>573</v>
      </c>
      <c r="D5" s="3" t="s">
        <v>712</v>
      </c>
      <c r="E5" s="6">
        <f>2280/21.75*11*3</f>
        <v>3459.31034482759</v>
      </c>
      <c r="F5" s="3" t="s">
        <v>682</v>
      </c>
    </row>
    <row r="6" ht="72" spans="1:6">
      <c r="A6" s="3">
        <v>4</v>
      </c>
      <c r="B6" s="3"/>
      <c r="C6" s="9"/>
      <c r="D6" s="3" t="s">
        <v>829</v>
      </c>
      <c r="E6" s="6">
        <f>2280/21.75*104</f>
        <v>10902.0689655172</v>
      </c>
      <c r="F6" s="3" t="s">
        <v>830</v>
      </c>
    </row>
    <row r="7" spans="1:6">
      <c r="A7" s="3">
        <v>5</v>
      </c>
      <c r="B7" s="3"/>
      <c r="C7" s="3" t="s">
        <v>684</v>
      </c>
      <c r="D7" s="3" t="s">
        <v>685</v>
      </c>
      <c r="E7" s="6">
        <v>500</v>
      </c>
      <c r="F7" s="3"/>
    </row>
    <row r="8" ht="28.8" spans="1:6">
      <c r="A8" s="3">
        <v>6</v>
      </c>
      <c r="B8" s="3"/>
      <c r="C8" s="3" t="s">
        <v>577</v>
      </c>
      <c r="D8" s="3" t="s">
        <v>686</v>
      </c>
      <c r="E8" s="6">
        <v>1200</v>
      </c>
      <c r="F8" s="3"/>
    </row>
    <row r="9" ht="28.8" spans="1:6">
      <c r="A9" s="3">
        <v>7</v>
      </c>
      <c r="B9" s="3"/>
      <c r="C9" s="3" t="s">
        <v>687</v>
      </c>
      <c r="D9" s="3" t="s">
        <v>831</v>
      </c>
      <c r="E9" s="6">
        <v>1000</v>
      </c>
      <c r="F9" s="3"/>
    </row>
    <row r="10" ht="28.8" spans="1:6">
      <c r="A10" s="3">
        <v>8</v>
      </c>
      <c r="B10" s="3"/>
      <c r="C10" s="3" t="s">
        <v>691</v>
      </c>
      <c r="D10" s="3" t="s">
        <v>692</v>
      </c>
      <c r="E10" s="6">
        <f>50*12</f>
        <v>600</v>
      </c>
      <c r="F10" s="3"/>
    </row>
    <row r="11" ht="28.8" spans="1:6">
      <c r="A11" s="3">
        <v>9</v>
      </c>
      <c r="B11" s="3"/>
      <c r="C11" s="3" t="s">
        <v>693</v>
      </c>
      <c r="D11" s="3" t="s">
        <v>694</v>
      </c>
      <c r="E11" s="6">
        <v>400</v>
      </c>
      <c r="F11" s="3"/>
    </row>
    <row r="12" ht="31.2" spans="1:6">
      <c r="A12" s="3">
        <v>10</v>
      </c>
      <c r="B12" s="3" t="s">
        <v>695</v>
      </c>
      <c r="C12" s="10" t="s">
        <v>581</v>
      </c>
      <c r="D12" s="11" t="s">
        <v>832</v>
      </c>
      <c r="E12" s="5">
        <f>(3800*0+3500)/3</f>
        <v>1166.66666666667</v>
      </c>
      <c r="F12" s="12" t="s">
        <v>697</v>
      </c>
    </row>
    <row r="13" ht="28.8" spans="1:6">
      <c r="A13" s="3">
        <v>11</v>
      </c>
      <c r="B13" s="3"/>
      <c r="C13" s="10" t="s">
        <v>698</v>
      </c>
      <c r="D13" s="3" t="s">
        <v>699</v>
      </c>
      <c r="E13" s="6">
        <v>500</v>
      </c>
      <c r="F13" s="3"/>
    </row>
    <row r="14" ht="28.8" spans="1:6">
      <c r="A14" s="3">
        <v>12</v>
      </c>
      <c r="B14" s="3"/>
      <c r="C14" s="10" t="s">
        <v>700</v>
      </c>
      <c r="D14" s="1" t="s">
        <v>701</v>
      </c>
      <c r="E14" s="6">
        <f>12*50</f>
        <v>600</v>
      </c>
      <c r="F14" s="3" t="s">
        <v>702</v>
      </c>
    </row>
    <row r="15" ht="57.6" spans="1:6">
      <c r="A15" s="3">
        <v>13</v>
      </c>
      <c r="B15" s="3"/>
      <c r="C15" s="13" t="s">
        <v>703</v>
      </c>
      <c r="D15" s="3" t="s">
        <v>833</v>
      </c>
      <c r="E15" s="6">
        <f>600/2</f>
        <v>300</v>
      </c>
      <c r="F15" s="14" t="s">
        <v>705</v>
      </c>
    </row>
    <row r="16" ht="43.2" spans="1:6">
      <c r="A16" s="3">
        <v>14</v>
      </c>
      <c r="B16" s="3" t="s">
        <v>706</v>
      </c>
      <c r="C16" s="3"/>
      <c r="D16" s="15">
        <v>0.05</v>
      </c>
      <c r="E16" s="6">
        <f>SUM(E3:E15)*0.05</f>
        <v>2399.40229885057</v>
      </c>
      <c r="F16" s="3" t="s">
        <v>707</v>
      </c>
    </row>
    <row r="17" spans="1:6">
      <c r="A17" s="3">
        <v>15</v>
      </c>
      <c r="B17" s="3" t="s">
        <v>708</v>
      </c>
      <c r="C17" s="3"/>
      <c r="D17" s="15">
        <v>0.06</v>
      </c>
      <c r="E17" s="6">
        <f>SUM(E3:E16)*0.06</f>
        <v>3023.24689655172</v>
      </c>
      <c r="F17" s="3"/>
    </row>
    <row r="18" spans="1:6">
      <c r="A18" s="3">
        <v>16</v>
      </c>
      <c r="B18" s="3" t="s">
        <v>287</v>
      </c>
      <c r="C18" s="3"/>
      <c r="D18" s="3"/>
      <c r="E18" s="6">
        <f>SUM(E3:E17)</f>
        <v>53410.6951724138</v>
      </c>
      <c r="F18" s="3" t="s">
        <v>709</v>
      </c>
    </row>
  </sheetData>
  <mergeCells count="8">
    <mergeCell ref="A1:F1"/>
    <mergeCell ref="B2:C2"/>
    <mergeCell ref="B16:C16"/>
    <mergeCell ref="B17:C17"/>
    <mergeCell ref="B18:D18"/>
    <mergeCell ref="B3:B11"/>
    <mergeCell ref="B12:B15"/>
    <mergeCell ref="C5:C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19"/>
  <sheetViews>
    <sheetView workbookViewId="0">
      <pane ySplit="4" topLeftCell="A209" activePane="bottomLeft" state="frozen"/>
      <selection/>
      <selection pane="bottomLeft" activeCell="AE14" sqref="AE14"/>
    </sheetView>
  </sheetViews>
  <sheetFormatPr defaultColWidth="9" defaultRowHeight="10.8"/>
  <cols>
    <col min="1" max="1" width="9" style="178" hidden="1" customWidth="1"/>
    <col min="2" max="2" width="11" style="178" customWidth="1"/>
    <col min="3" max="3" width="11.5" style="178" customWidth="1"/>
    <col min="4" max="4" width="12.3796296296296" style="178" customWidth="1"/>
    <col min="5" max="24" width="8.62962962962963" style="178" customWidth="1"/>
    <col min="25" max="35" width="8.62962962962963" style="179" customWidth="1"/>
    <col min="36" max="36" width="11.7592592592593" style="178" customWidth="1"/>
    <col min="37" max="16383" width="9" style="178"/>
  </cols>
  <sheetData>
    <row r="1" ht="25.5" customHeight="1" spans="5:5">
      <c r="E1" s="178" t="s">
        <v>288</v>
      </c>
    </row>
    <row r="2" ht="40.5" customHeight="1" spans="1:36">
      <c r="A2" s="180" t="s">
        <v>289</v>
      </c>
      <c r="B2" s="180" t="s">
        <v>3</v>
      </c>
      <c r="C2" s="180" t="s">
        <v>4</v>
      </c>
      <c r="D2" s="180" t="s">
        <v>290</v>
      </c>
      <c r="E2" s="181" t="s">
        <v>6</v>
      </c>
      <c r="F2" s="181" t="s">
        <v>71</v>
      </c>
      <c r="G2" s="181" t="s">
        <v>291</v>
      </c>
      <c r="H2" s="181" t="s">
        <v>292</v>
      </c>
      <c r="I2" s="180" t="s">
        <v>293</v>
      </c>
      <c r="J2" s="181" t="s">
        <v>294</v>
      </c>
      <c r="K2" s="180" t="s">
        <v>295</v>
      </c>
      <c r="L2" s="181" t="s">
        <v>56</v>
      </c>
      <c r="M2" s="180" t="s">
        <v>296</v>
      </c>
      <c r="N2" s="181" t="s">
        <v>297</v>
      </c>
      <c r="O2" s="181" t="s">
        <v>298</v>
      </c>
      <c r="P2" s="181" t="s">
        <v>299</v>
      </c>
      <c r="Q2" s="181" t="s">
        <v>300</v>
      </c>
      <c r="R2" s="181" t="s">
        <v>301</v>
      </c>
      <c r="S2" s="181" t="s">
        <v>302</v>
      </c>
      <c r="T2" s="181" t="s">
        <v>303</v>
      </c>
      <c r="U2" s="181" t="s">
        <v>304</v>
      </c>
      <c r="V2" s="181" t="s">
        <v>305</v>
      </c>
      <c r="W2" s="181" t="s">
        <v>306</v>
      </c>
      <c r="X2" s="180" t="s">
        <v>307</v>
      </c>
      <c r="Y2" s="181" t="s">
        <v>308</v>
      </c>
      <c r="Z2" s="181" t="s">
        <v>309</v>
      </c>
      <c r="AA2" s="181" t="s">
        <v>310</v>
      </c>
      <c r="AB2" s="181" t="s">
        <v>311</v>
      </c>
      <c r="AC2" s="181" t="s">
        <v>312</v>
      </c>
      <c r="AD2" s="181" t="s">
        <v>25</v>
      </c>
      <c r="AE2" s="181" t="s">
        <v>30</v>
      </c>
      <c r="AF2" s="181" t="s">
        <v>31</v>
      </c>
      <c r="AG2" s="181" t="s">
        <v>32</v>
      </c>
      <c r="AH2" s="181" t="s">
        <v>34</v>
      </c>
      <c r="AI2" s="181" t="s">
        <v>35</v>
      </c>
      <c r="AJ2" s="180" t="s">
        <v>313</v>
      </c>
    </row>
    <row r="3" ht="18" customHeight="1" spans="1:36">
      <c r="A3" s="182" t="s">
        <v>75</v>
      </c>
      <c r="B3" s="182" t="s">
        <v>75</v>
      </c>
      <c r="C3" s="182" t="s">
        <v>76</v>
      </c>
      <c r="D3" s="182" t="s">
        <v>77</v>
      </c>
      <c r="E3" s="183">
        <v>309.62</v>
      </c>
      <c r="F3" s="183">
        <f>H3+J3+L3+N3+O3+P3+Q3+R3+S3+AA3</f>
        <v>3305.412755</v>
      </c>
      <c r="G3" s="183">
        <f t="shared" ref="G3:G66" si="0">F3/E3</f>
        <v>10.6757081422389</v>
      </c>
      <c r="H3" s="183">
        <v>1343.145307</v>
      </c>
      <c r="I3" s="182">
        <v>0</v>
      </c>
      <c r="J3" s="183">
        <v>0</v>
      </c>
      <c r="K3" s="182">
        <v>0</v>
      </c>
      <c r="L3" s="183">
        <v>0</v>
      </c>
      <c r="M3" s="182">
        <v>0</v>
      </c>
      <c r="N3" s="183">
        <v>139.667096</v>
      </c>
      <c r="O3" s="183">
        <v>0</v>
      </c>
      <c r="P3" s="183">
        <v>0</v>
      </c>
      <c r="Q3" s="183">
        <v>935.201884</v>
      </c>
      <c r="R3" s="183">
        <v>887.398468</v>
      </c>
      <c r="S3" s="183">
        <v>0</v>
      </c>
      <c r="T3" s="183">
        <v>0</v>
      </c>
      <c r="U3" s="183">
        <v>0</v>
      </c>
      <c r="V3" s="183">
        <v>0</v>
      </c>
      <c r="W3" s="183">
        <v>0</v>
      </c>
      <c r="X3" s="182">
        <v>0</v>
      </c>
      <c r="Y3" s="183">
        <f t="shared" ref="Y3:Y66" si="1">(H3+J3+L3+N3+R3+S3)</f>
        <v>2370.210871</v>
      </c>
      <c r="Z3" s="183">
        <f t="shared" ref="Z3:Z66" si="2">E3</f>
        <v>309.62</v>
      </c>
      <c r="AA3" s="183">
        <f t="shared" ref="AA3:AA66" si="3">(T3+U3+V3+W3)*2</f>
        <v>0</v>
      </c>
      <c r="AB3" s="183">
        <f t="shared" ref="AB3:AB66" si="4">O3+P3+Q3</f>
        <v>935.201884</v>
      </c>
      <c r="AC3" s="183"/>
      <c r="AD3" s="183"/>
      <c r="AE3" s="183"/>
      <c r="AF3" s="183"/>
      <c r="AG3" s="183"/>
      <c r="AH3" s="183"/>
      <c r="AI3" s="183"/>
      <c r="AJ3" s="182" t="s">
        <v>314</v>
      </c>
    </row>
    <row r="4" ht="18" customHeight="1" spans="1:36">
      <c r="A4" s="182" t="s">
        <v>315</v>
      </c>
      <c r="B4" s="182" t="s">
        <v>315</v>
      </c>
      <c r="C4" s="182" t="s">
        <v>75</v>
      </c>
      <c r="D4" s="182" t="s">
        <v>316</v>
      </c>
      <c r="E4" s="183">
        <v>65.3</v>
      </c>
      <c r="F4" s="183">
        <f t="shared" ref="F4:F67" si="5">H4+J4+L4+N4+O4+P4+Q4+R4+S4+AA4</f>
        <v>478.553083</v>
      </c>
      <c r="G4" s="183">
        <f t="shared" si="0"/>
        <v>7.32853113323124</v>
      </c>
      <c r="H4" s="183">
        <v>354.307363</v>
      </c>
      <c r="I4" s="182">
        <v>0</v>
      </c>
      <c r="J4" s="183">
        <v>0</v>
      </c>
      <c r="K4" s="182">
        <v>0</v>
      </c>
      <c r="L4" s="183">
        <v>0</v>
      </c>
      <c r="M4" s="182">
        <v>0</v>
      </c>
      <c r="N4" s="183">
        <v>124.24572</v>
      </c>
      <c r="O4" s="183">
        <v>0</v>
      </c>
      <c r="P4" s="183">
        <v>0</v>
      </c>
      <c r="Q4" s="183">
        <v>0</v>
      </c>
      <c r="R4" s="183">
        <v>0</v>
      </c>
      <c r="S4" s="183">
        <v>0</v>
      </c>
      <c r="T4" s="183">
        <v>0</v>
      </c>
      <c r="U4" s="183">
        <v>0</v>
      </c>
      <c r="V4" s="183">
        <v>0</v>
      </c>
      <c r="W4" s="183">
        <v>0</v>
      </c>
      <c r="X4" s="182">
        <v>0</v>
      </c>
      <c r="Y4" s="183">
        <f t="shared" si="1"/>
        <v>478.553083</v>
      </c>
      <c r="Z4" s="183">
        <f t="shared" si="2"/>
        <v>65.3</v>
      </c>
      <c r="AA4" s="183">
        <f t="shared" si="3"/>
        <v>0</v>
      </c>
      <c r="AB4" s="183">
        <f t="shared" si="4"/>
        <v>0</v>
      </c>
      <c r="AC4" s="183"/>
      <c r="AD4" s="183"/>
      <c r="AE4" s="183"/>
      <c r="AF4" s="183"/>
      <c r="AG4" s="183"/>
      <c r="AH4" s="183"/>
      <c r="AI4" s="183"/>
      <c r="AJ4" s="182" t="s">
        <v>314</v>
      </c>
    </row>
    <row r="5" ht="18" customHeight="1" spans="1:36">
      <c r="A5" s="182" t="s">
        <v>315</v>
      </c>
      <c r="B5" s="182" t="s">
        <v>315</v>
      </c>
      <c r="C5" s="182" t="s">
        <v>75</v>
      </c>
      <c r="D5" s="182" t="s">
        <v>76</v>
      </c>
      <c r="E5" s="183">
        <v>129.32</v>
      </c>
      <c r="F5" s="183">
        <f t="shared" si="5"/>
        <v>521.930677</v>
      </c>
      <c r="G5" s="183">
        <f t="shared" si="0"/>
        <v>4.03596255026291</v>
      </c>
      <c r="H5" s="183">
        <v>521.930677</v>
      </c>
      <c r="I5" s="182">
        <v>0</v>
      </c>
      <c r="J5" s="183">
        <v>0</v>
      </c>
      <c r="K5" s="182">
        <v>0</v>
      </c>
      <c r="L5" s="183">
        <v>0</v>
      </c>
      <c r="M5" s="182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2">
        <v>0</v>
      </c>
      <c r="Y5" s="183">
        <f t="shared" si="1"/>
        <v>521.930677</v>
      </c>
      <c r="Z5" s="183">
        <f t="shared" si="2"/>
        <v>129.32</v>
      </c>
      <c r="AA5" s="183">
        <f t="shared" si="3"/>
        <v>0</v>
      </c>
      <c r="AB5" s="183">
        <f t="shared" si="4"/>
        <v>0</v>
      </c>
      <c r="AC5" s="183"/>
      <c r="AD5" s="183"/>
      <c r="AE5" s="183"/>
      <c r="AF5" s="183"/>
      <c r="AG5" s="183"/>
      <c r="AH5" s="183"/>
      <c r="AI5" s="183"/>
      <c r="AJ5" s="182" t="s">
        <v>314</v>
      </c>
    </row>
    <row r="6" ht="18" customHeight="1" spans="1:36">
      <c r="A6" s="182" t="s">
        <v>316</v>
      </c>
      <c r="B6" s="182" t="s">
        <v>316</v>
      </c>
      <c r="C6" s="182" t="s">
        <v>75</v>
      </c>
      <c r="D6" s="182" t="s">
        <v>317</v>
      </c>
      <c r="E6" s="183">
        <v>133.13</v>
      </c>
      <c r="F6" s="183">
        <f t="shared" si="5"/>
        <v>1196.452458</v>
      </c>
      <c r="G6" s="183">
        <f t="shared" si="0"/>
        <v>8.98709876060993</v>
      </c>
      <c r="H6" s="183">
        <v>726.045002</v>
      </c>
      <c r="I6" s="182">
        <v>0</v>
      </c>
      <c r="J6" s="183">
        <v>0</v>
      </c>
      <c r="K6" s="182">
        <v>0</v>
      </c>
      <c r="L6" s="183">
        <v>0</v>
      </c>
      <c r="M6" s="182">
        <v>0</v>
      </c>
      <c r="N6" s="183">
        <v>273.778739</v>
      </c>
      <c r="O6" s="183">
        <v>0</v>
      </c>
      <c r="P6" s="183">
        <v>0</v>
      </c>
      <c r="Q6" s="183">
        <v>196.628717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2">
        <v>0</v>
      </c>
      <c r="Y6" s="183">
        <f t="shared" si="1"/>
        <v>999.823741</v>
      </c>
      <c r="Z6" s="183">
        <f t="shared" si="2"/>
        <v>133.13</v>
      </c>
      <c r="AA6" s="183">
        <f t="shared" si="3"/>
        <v>0</v>
      </c>
      <c r="AB6" s="183">
        <f t="shared" si="4"/>
        <v>196.628717</v>
      </c>
      <c r="AC6" s="183"/>
      <c r="AD6" s="183"/>
      <c r="AE6" s="183"/>
      <c r="AF6" s="183"/>
      <c r="AG6" s="183"/>
      <c r="AH6" s="183"/>
      <c r="AI6" s="183"/>
      <c r="AJ6" s="182" t="s">
        <v>314</v>
      </c>
    </row>
    <row r="7" ht="18" customHeight="1" spans="1:36">
      <c r="A7" s="182" t="s">
        <v>316</v>
      </c>
      <c r="B7" s="182" t="s">
        <v>316</v>
      </c>
      <c r="C7" s="182" t="s">
        <v>76</v>
      </c>
      <c r="D7" s="182" t="s">
        <v>315</v>
      </c>
      <c r="E7" s="183">
        <v>155.08</v>
      </c>
      <c r="F7" s="183">
        <f t="shared" si="5"/>
        <v>1171.010164</v>
      </c>
      <c r="G7" s="183">
        <f t="shared" si="0"/>
        <v>7.55100698994068</v>
      </c>
      <c r="H7" s="183">
        <v>969.09763</v>
      </c>
      <c r="I7" s="182">
        <v>0</v>
      </c>
      <c r="J7" s="183">
        <v>0</v>
      </c>
      <c r="K7" s="182">
        <v>0</v>
      </c>
      <c r="L7" s="183">
        <v>0</v>
      </c>
      <c r="M7" s="182">
        <v>0</v>
      </c>
      <c r="N7" s="183">
        <v>131.934113</v>
      </c>
      <c r="O7" s="183">
        <v>0</v>
      </c>
      <c r="P7" s="183">
        <v>0</v>
      </c>
      <c r="Q7" s="183">
        <v>69.978421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2">
        <v>0</v>
      </c>
      <c r="Y7" s="183">
        <f t="shared" si="1"/>
        <v>1101.031743</v>
      </c>
      <c r="Z7" s="183">
        <f t="shared" si="2"/>
        <v>155.08</v>
      </c>
      <c r="AA7" s="183">
        <f t="shared" si="3"/>
        <v>0</v>
      </c>
      <c r="AB7" s="183">
        <f t="shared" si="4"/>
        <v>69.978421</v>
      </c>
      <c r="AC7" s="183"/>
      <c r="AD7" s="183"/>
      <c r="AE7" s="183"/>
      <c r="AF7" s="183"/>
      <c r="AG7" s="183"/>
      <c r="AH7" s="183"/>
      <c r="AI7" s="183"/>
      <c r="AJ7" s="182" t="s">
        <v>314</v>
      </c>
    </row>
    <row r="8" ht="18" customHeight="1" spans="1:36">
      <c r="A8" s="182" t="s">
        <v>318</v>
      </c>
      <c r="B8" s="182" t="s">
        <v>318</v>
      </c>
      <c r="C8" s="182" t="s">
        <v>316</v>
      </c>
      <c r="D8" s="182" t="s">
        <v>315</v>
      </c>
      <c r="E8" s="183">
        <v>84.98</v>
      </c>
      <c r="F8" s="183">
        <f t="shared" si="5"/>
        <v>1057.11274</v>
      </c>
      <c r="G8" s="183">
        <f t="shared" si="0"/>
        <v>12.439547422923</v>
      </c>
      <c r="H8" s="183">
        <v>734.384167</v>
      </c>
      <c r="I8" s="182">
        <v>0</v>
      </c>
      <c r="J8" s="183">
        <v>0</v>
      </c>
      <c r="K8" s="182">
        <v>0</v>
      </c>
      <c r="L8" s="183">
        <v>0</v>
      </c>
      <c r="M8" s="182">
        <v>0</v>
      </c>
      <c r="N8" s="183">
        <v>294.135294</v>
      </c>
      <c r="O8" s="183">
        <v>0</v>
      </c>
      <c r="P8" s="183">
        <v>0</v>
      </c>
      <c r="Q8" s="183">
        <v>28.593279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2">
        <v>0</v>
      </c>
      <c r="Y8" s="183">
        <f t="shared" si="1"/>
        <v>1028.519461</v>
      </c>
      <c r="Z8" s="183">
        <f t="shared" si="2"/>
        <v>84.98</v>
      </c>
      <c r="AA8" s="183">
        <f t="shared" si="3"/>
        <v>0</v>
      </c>
      <c r="AB8" s="183">
        <f t="shared" si="4"/>
        <v>28.593279</v>
      </c>
      <c r="AC8" s="183"/>
      <c r="AD8" s="183"/>
      <c r="AE8" s="183"/>
      <c r="AF8" s="183"/>
      <c r="AG8" s="183"/>
      <c r="AH8" s="183"/>
      <c r="AI8" s="183"/>
      <c r="AJ8" s="182" t="s">
        <v>314</v>
      </c>
    </row>
    <row r="9" ht="18" customHeight="1" spans="1:36">
      <c r="A9" s="182" t="s">
        <v>319</v>
      </c>
      <c r="B9" s="182" t="s">
        <v>319</v>
      </c>
      <c r="C9" s="182" t="s">
        <v>320</v>
      </c>
      <c r="D9" s="182" t="s">
        <v>82</v>
      </c>
      <c r="E9" s="183">
        <v>161.84</v>
      </c>
      <c r="F9" s="183">
        <f t="shared" si="5"/>
        <v>846.789365</v>
      </c>
      <c r="G9" s="183">
        <f t="shared" si="0"/>
        <v>5.23226251235788</v>
      </c>
      <c r="H9" s="183">
        <v>846.789365</v>
      </c>
      <c r="I9" s="182">
        <v>0</v>
      </c>
      <c r="J9" s="183">
        <v>0</v>
      </c>
      <c r="K9" s="182">
        <v>0</v>
      </c>
      <c r="L9" s="183">
        <v>0</v>
      </c>
      <c r="M9" s="182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2">
        <v>0</v>
      </c>
      <c r="Y9" s="183">
        <f t="shared" si="1"/>
        <v>846.789365</v>
      </c>
      <c r="Z9" s="183">
        <f t="shared" si="2"/>
        <v>161.84</v>
      </c>
      <c r="AA9" s="183">
        <f t="shared" si="3"/>
        <v>0</v>
      </c>
      <c r="AB9" s="183">
        <f t="shared" si="4"/>
        <v>0</v>
      </c>
      <c r="AC9" s="183"/>
      <c r="AD9" s="183"/>
      <c r="AE9" s="183"/>
      <c r="AF9" s="183"/>
      <c r="AG9" s="183"/>
      <c r="AH9" s="183"/>
      <c r="AI9" s="183"/>
      <c r="AJ9" s="182" t="s">
        <v>314</v>
      </c>
    </row>
    <row r="10" ht="18" customHeight="1" spans="1:36">
      <c r="A10" s="182" t="s">
        <v>321</v>
      </c>
      <c r="B10" s="182" t="s">
        <v>321</v>
      </c>
      <c r="C10" s="182" t="s">
        <v>319</v>
      </c>
      <c r="D10" s="182" t="s">
        <v>320</v>
      </c>
      <c r="E10" s="183">
        <v>49.26</v>
      </c>
      <c r="F10" s="183">
        <f t="shared" si="5"/>
        <v>333.108341</v>
      </c>
      <c r="G10" s="183">
        <f t="shared" si="0"/>
        <v>6.76224809175802</v>
      </c>
      <c r="H10" s="183">
        <v>333.108341</v>
      </c>
      <c r="I10" s="182">
        <v>0</v>
      </c>
      <c r="J10" s="183">
        <v>0</v>
      </c>
      <c r="K10" s="182">
        <v>0</v>
      </c>
      <c r="L10" s="183">
        <v>0</v>
      </c>
      <c r="M10" s="182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2">
        <v>0</v>
      </c>
      <c r="Y10" s="183">
        <f t="shared" si="1"/>
        <v>333.108341</v>
      </c>
      <c r="Z10" s="183">
        <f t="shared" si="2"/>
        <v>49.26</v>
      </c>
      <c r="AA10" s="183">
        <f t="shared" si="3"/>
        <v>0</v>
      </c>
      <c r="AB10" s="183">
        <f t="shared" si="4"/>
        <v>0</v>
      </c>
      <c r="AC10" s="183"/>
      <c r="AD10" s="183"/>
      <c r="AE10" s="183"/>
      <c r="AF10" s="183"/>
      <c r="AG10" s="183"/>
      <c r="AH10" s="183"/>
      <c r="AI10" s="183"/>
      <c r="AJ10" s="182" t="s">
        <v>314</v>
      </c>
    </row>
    <row r="11" ht="18" customHeight="1" spans="1:36">
      <c r="A11" s="182" t="s">
        <v>322</v>
      </c>
      <c r="B11" s="182" t="s">
        <v>322</v>
      </c>
      <c r="C11" s="182" t="s">
        <v>320</v>
      </c>
      <c r="D11" s="182" t="s">
        <v>82</v>
      </c>
      <c r="E11" s="183">
        <v>68.3</v>
      </c>
      <c r="F11" s="183">
        <f t="shared" si="5"/>
        <v>748.058591</v>
      </c>
      <c r="G11" s="183">
        <f t="shared" si="0"/>
        <v>10.9525415959004</v>
      </c>
      <c r="H11" s="183">
        <v>493.371134</v>
      </c>
      <c r="I11" s="182">
        <v>0</v>
      </c>
      <c r="J11" s="183">
        <v>0</v>
      </c>
      <c r="K11" s="182">
        <v>0</v>
      </c>
      <c r="L11" s="183">
        <v>0</v>
      </c>
      <c r="M11" s="182">
        <v>0</v>
      </c>
      <c r="N11" s="183">
        <v>200.733532</v>
      </c>
      <c r="O11" s="183">
        <v>0</v>
      </c>
      <c r="P11" s="183">
        <v>0</v>
      </c>
      <c r="Q11" s="183">
        <v>53.953925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2">
        <v>0</v>
      </c>
      <c r="Y11" s="183">
        <f t="shared" si="1"/>
        <v>694.104666</v>
      </c>
      <c r="Z11" s="183">
        <f t="shared" si="2"/>
        <v>68.3</v>
      </c>
      <c r="AA11" s="183">
        <f t="shared" si="3"/>
        <v>0</v>
      </c>
      <c r="AB11" s="183">
        <f t="shared" si="4"/>
        <v>53.953925</v>
      </c>
      <c r="AC11" s="183"/>
      <c r="AD11" s="183"/>
      <c r="AE11" s="183"/>
      <c r="AF11" s="183"/>
      <c r="AG11" s="183"/>
      <c r="AH11" s="183"/>
      <c r="AI11" s="183"/>
      <c r="AJ11" s="182" t="s">
        <v>314</v>
      </c>
    </row>
    <row r="12" ht="18" customHeight="1" spans="1:36">
      <c r="A12" s="182" t="s">
        <v>323</v>
      </c>
      <c r="B12" s="182" t="s">
        <v>323</v>
      </c>
      <c r="C12" s="182" t="s">
        <v>162</v>
      </c>
      <c r="D12" s="182" t="s">
        <v>81</v>
      </c>
      <c r="E12" s="183">
        <v>288.41</v>
      </c>
      <c r="F12" s="183">
        <f t="shared" si="5"/>
        <v>4148.211953</v>
      </c>
      <c r="G12" s="183">
        <f t="shared" si="0"/>
        <v>14.3830378731667</v>
      </c>
      <c r="H12" s="183">
        <v>1087.960401</v>
      </c>
      <c r="I12" s="182">
        <v>0</v>
      </c>
      <c r="J12" s="183">
        <v>0</v>
      </c>
      <c r="K12" s="182">
        <v>0</v>
      </c>
      <c r="L12" s="183">
        <v>0</v>
      </c>
      <c r="M12" s="182">
        <v>0</v>
      </c>
      <c r="N12" s="183">
        <v>0</v>
      </c>
      <c r="O12" s="183">
        <v>0</v>
      </c>
      <c r="P12" s="183">
        <v>0</v>
      </c>
      <c r="Q12" s="183">
        <v>288.866932</v>
      </c>
      <c r="R12" s="183">
        <v>1582.00056</v>
      </c>
      <c r="S12" s="183">
        <v>1189.38406</v>
      </c>
      <c r="T12" s="183">
        <v>0</v>
      </c>
      <c r="U12" s="183">
        <v>0</v>
      </c>
      <c r="V12" s="183">
        <v>0</v>
      </c>
      <c r="W12" s="183">
        <v>0</v>
      </c>
      <c r="X12" s="182">
        <v>0</v>
      </c>
      <c r="Y12" s="183">
        <f t="shared" si="1"/>
        <v>3859.345021</v>
      </c>
      <c r="Z12" s="183">
        <f t="shared" si="2"/>
        <v>288.41</v>
      </c>
      <c r="AA12" s="183">
        <f t="shared" si="3"/>
        <v>0</v>
      </c>
      <c r="AB12" s="183">
        <f t="shared" si="4"/>
        <v>288.866932</v>
      </c>
      <c r="AC12" s="183"/>
      <c r="AD12" s="183"/>
      <c r="AE12" s="183"/>
      <c r="AF12" s="183"/>
      <c r="AG12" s="183"/>
      <c r="AH12" s="183"/>
      <c r="AI12" s="183"/>
      <c r="AJ12" s="182" t="s">
        <v>314</v>
      </c>
    </row>
    <row r="13" ht="18" customHeight="1" spans="1:36">
      <c r="A13" s="182" t="s">
        <v>320</v>
      </c>
      <c r="B13" s="182" t="s">
        <v>320</v>
      </c>
      <c r="C13" s="182" t="s">
        <v>323</v>
      </c>
      <c r="D13" s="182" t="s">
        <v>81</v>
      </c>
      <c r="E13" s="183">
        <v>297.25</v>
      </c>
      <c r="F13" s="183">
        <f t="shared" si="5"/>
        <v>3124.627839</v>
      </c>
      <c r="G13" s="183">
        <f t="shared" si="0"/>
        <v>10.5117841513877</v>
      </c>
      <c r="H13" s="183">
        <v>1444.030272</v>
      </c>
      <c r="I13" s="182">
        <v>0</v>
      </c>
      <c r="J13" s="183">
        <v>0</v>
      </c>
      <c r="K13" s="182">
        <v>0</v>
      </c>
      <c r="L13" s="183">
        <v>0</v>
      </c>
      <c r="M13" s="182">
        <v>0</v>
      </c>
      <c r="N13" s="183">
        <v>1680.597567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2">
        <v>0</v>
      </c>
      <c r="Y13" s="183">
        <f t="shared" si="1"/>
        <v>3124.627839</v>
      </c>
      <c r="Z13" s="183">
        <f t="shared" si="2"/>
        <v>297.25</v>
      </c>
      <c r="AA13" s="183">
        <f t="shared" si="3"/>
        <v>0</v>
      </c>
      <c r="AB13" s="183">
        <f t="shared" si="4"/>
        <v>0</v>
      </c>
      <c r="AC13" s="183"/>
      <c r="AD13" s="183"/>
      <c r="AE13" s="183"/>
      <c r="AF13" s="183"/>
      <c r="AG13" s="183"/>
      <c r="AH13" s="183"/>
      <c r="AI13" s="183"/>
      <c r="AJ13" s="182" t="s">
        <v>314</v>
      </c>
    </row>
    <row r="14" ht="18" customHeight="1" spans="1:36">
      <c r="A14" s="182" t="s">
        <v>324</v>
      </c>
      <c r="B14" s="182" t="s">
        <v>324</v>
      </c>
      <c r="C14" s="182" t="s">
        <v>323</v>
      </c>
      <c r="D14" s="182" t="s">
        <v>320</v>
      </c>
      <c r="E14" s="183">
        <v>101.45</v>
      </c>
      <c r="F14" s="183">
        <f t="shared" si="5"/>
        <v>705.951807</v>
      </c>
      <c r="G14" s="183">
        <f t="shared" si="0"/>
        <v>6.95861810744209</v>
      </c>
      <c r="H14" s="183">
        <v>705.951807</v>
      </c>
      <c r="I14" s="182">
        <v>0</v>
      </c>
      <c r="J14" s="183">
        <v>0</v>
      </c>
      <c r="K14" s="182">
        <v>0</v>
      </c>
      <c r="L14" s="183">
        <v>0</v>
      </c>
      <c r="M14" s="182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2">
        <v>0</v>
      </c>
      <c r="Y14" s="183">
        <f t="shared" si="1"/>
        <v>705.951807</v>
      </c>
      <c r="Z14" s="183">
        <f t="shared" si="2"/>
        <v>101.45</v>
      </c>
      <c r="AA14" s="183">
        <f t="shared" si="3"/>
        <v>0</v>
      </c>
      <c r="AB14" s="183">
        <f t="shared" si="4"/>
        <v>0</v>
      </c>
      <c r="AC14" s="183"/>
      <c r="AD14" s="183"/>
      <c r="AE14" s="183"/>
      <c r="AF14" s="183"/>
      <c r="AG14" s="183"/>
      <c r="AH14" s="183"/>
      <c r="AI14" s="183"/>
      <c r="AJ14" s="182" t="s">
        <v>314</v>
      </c>
    </row>
    <row r="15" ht="18" customHeight="1" spans="1:36">
      <c r="A15" s="182" t="s">
        <v>325</v>
      </c>
      <c r="B15" s="182" t="s">
        <v>325</v>
      </c>
      <c r="C15" s="182" t="s">
        <v>114</v>
      </c>
      <c r="D15" s="182" t="s">
        <v>92</v>
      </c>
      <c r="E15" s="183">
        <v>225.41</v>
      </c>
      <c r="F15" s="183">
        <f t="shared" si="5"/>
        <v>988.991208</v>
      </c>
      <c r="G15" s="183">
        <f t="shared" si="0"/>
        <v>4.38752144092986</v>
      </c>
      <c r="H15" s="183">
        <v>988.991208</v>
      </c>
      <c r="I15" s="182">
        <v>0</v>
      </c>
      <c r="J15" s="183">
        <v>0</v>
      </c>
      <c r="K15" s="182">
        <v>0</v>
      </c>
      <c r="L15" s="183">
        <v>0</v>
      </c>
      <c r="M15" s="182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2">
        <v>0</v>
      </c>
      <c r="Y15" s="183">
        <f t="shared" si="1"/>
        <v>988.991208</v>
      </c>
      <c r="Z15" s="183">
        <f t="shared" si="2"/>
        <v>225.41</v>
      </c>
      <c r="AA15" s="183">
        <f t="shared" si="3"/>
        <v>0</v>
      </c>
      <c r="AB15" s="183">
        <f t="shared" si="4"/>
        <v>0</v>
      </c>
      <c r="AC15" s="183"/>
      <c r="AD15" s="183"/>
      <c r="AE15" s="183"/>
      <c r="AF15" s="183"/>
      <c r="AG15" s="183"/>
      <c r="AH15" s="183"/>
      <c r="AI15" s="183"/>
      <c r="AJ15" s="182" t="s">
        <v>314</v>
      </c>
    </row>
    <row r="16" ht="18" customHeight="1" spans="1:36">
      <c r="A16" s="182" t="s">
        <v>326</v>
      </c>
      <c r="B16" s="182" t="s">
        <v>326</v>
      </c>
      <c r="C16" s="182" t="s">
        <v>327</v>
      </c>
      <c r="D16" s="182" t="s">
        <v>92</v>
      </c>
      <c r="E16" s="183">
        <v>450.5</v>
      </c>
      <c r="F16" s="183">
        <f t="shared" si="5"/>
        <v>2955.473436</v>
      </c>
      <c r="G16" s="183">
        <f t="shared" si="0"/>
        <v>6.56042938068812</v>
      </c>
      <c r="H16" s="183">
        <v>2431.337059</v>
      </c>
      <c r="I16" s="182">
        <v>0</v>
      </c>
      <c r="J16" s="183">
        <v>0</v>
      </c>
      <c r="K16" s="182">
        <v>0</v>
      </c>
      <c r="L16" s="183">
        <v>0</v>
      </c>
      <c r="M16" s="182">
        <v>0</v>
      </c>
      <c r="N16" s="183">
        <v>0</v>
      </c>
      <c r="O16" s="183">
        <v>0</v>
      </c>
      <c r="P16" s="183">
        <v>0</v>
      </c>
      <c r="Q16" s="183">
        <v>279.460423</v>
      </c>
      <c r="R16" s="183">
        <v>244.675954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2">
        <v>0</v>
      </c>
      <c r="Y16" s="183">
        <f t="shared" si="1"/>
        <v>2676.013013</v>
      </c>
      <c r="Z16" s="183">
        <f t="shared" si="2"/>
        <v>450.5</v>
      </c>
      <c r="AA16" s="183">
        <f t="shared" si="3"/>
        <v>0</v>
      </c>
      <c r="AB16" s="183">
        <f t="shared" si="4"/>
        <v>279.460423</v>
      </c>
      <c r="AC16" s="183"/>
      <c r="AD16" s="183"/>
      <c r="AE16" s="183"/>
      <c r="AF16" s="183"/>
      <c r="AG16" s="183"/>
      <c r="AH16" s="183"/>
      <c r="AI16" s="183"/>
      <c r="AJ16" s="182" t="s">
        <v>314</v>
      </c>
    </row>
    <row r="17" ht="18" customHeight="1" spans="1:36">
      <c r="A17" s="182" t="s">
        <v>328</v>
      </c>
      <c r="B17" s="182" t="s">
        <v>328</v>
      </c>
      <c r="C17" s="182" t="s">
        <v>114</v>
      </c>
      <c r="D17" s="182" t="s">
        <v>326</v>
      </c>
      <c r="E17" s="183">
        <v>87.21</v>
      </c>
      <c r="F17" s="183">
        <f t="shared" si="5"/>
        <v>3078.556421</v>
      </c>
      <c r="G17" s="183">
        <f t="shared" si="0"/>
        <v>35.3004978901502</v>
      </c>
      <c r="H17" s="183">
        <v>491.673846</v>
      </c>
      <c r="I17" s="182">
        <v>0</v>
      </c>
      <c r="J17" s="183">
        <v>0</v>
      </c>
      <c r="K17" s="182">
        <v>0</v>
      </c>
      <c r="L17" s="183">
        <v>0</v>
      </c>
      <c r="M17" s="182">
        <v>0</v>
      </c>
      <c r="N17" s="183">
        <v>260.110507</v>
      </c>
      <c r="O17" s="183">
        <v>0</v>
      </c>
      <c r="P17" s="183">
        <v>0</v>
      </c>
      <c r="Q17" s="183">
        <v>772.660978</v>
      </c>
      <c r="R17" s="183">
        <v>1554.11109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2">
        <v>0</v>
      </c>
      <c r="Y17" s="183">
        <f t="shared" si="1"/>
        <v>2305.895443</v>
      </c>
      <c r="Z17" s="183">
        <f t="shared" si="2"/>
        <v>87.21</v>
      </c>
      <c r="AA17" s="183">
        <f t="shared" si="3"/>
        <v>0</v>
      </c>
      <c r="AB17" s="183">
        <f t="shared" si="4"/>
        <v>772.660978</v>
      </c>
      <c r="AC17" s="183"/>
      <c r="AD17" s="183"/>
      <c r="AE17" s="183"/>
      <c r="AF17" s="183"/>
      <c r="AG17" s="183"/>
      <c r="AH17" s="183"/>
      <c r="AI17" s="183"/>
      <c r="AJ17" s="182" t="s">
        <v>314</v>
      </c>
    </row>
    <row r="18" ht="18" customHeight="1" spans="1:36">
      <c r="A18" s="182" t="s">
        <v>329</v>
      </c>
      <c r="B18" s="182" t="s">
        <v>329</v>
      </c>
      <c r="C18" s="182" t="s">
        <v>114</v>
      </c>
      <c r="D18" s="182" t="s">
        <v>326</v>
      </c>
      <c r="E18" s="183">
        <v>94.14</v>
      </c>
      <c r="F18" s="183">
        <f t="shared" si="5"/>
        <v>432.187135</v>
      </c>
      <c r="G18" s="183">
        <f t="shared" si="0"/>
        <v>4.59089797110686</v>
      </c>
      <c r="H18" s="183">
        <v>432.187135</v>
      </c>
      <c r="I18" s="182">
        <v>0</v>
      </c>
      <c r="J18" s="183">
        <v>0</v>
      </c>
      <c r="K18" s="182">
        <v>0</v>
      </c>
      <c r="L18" s="183">
        <v>0</v>
      </c>
      <c r="M18" s="182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2">
        <v>0</v>
      </c>
      <c r="Y18" s="183">
        <f t="shared" si="1"/>
        <v>432.187135</v>
      </c>
      <c r="Z18" s="183">
        <f t="shared" si="2"/>
        <v>94.14</v>
      </c>
      <c r="AA18" s="183">
        <f t="shared" si="3"/>
        <v>0</v>
      </c>
      <c r="AB18" s="183">
        <f t="shared" si="4"/>
        <v>0</v>
      </c>
      <c r="AC18" s="183"/>
      <c r="AD18" s="183"/>
      <c r="AE18" s="183"/>
      <c r="AF18" s="183"/>
      <c r="AG18" s="183"/>
      <c r="AH18" s="183"/>
      <c r="AI18" s="183"/>
      <c r="AJ18" s="182" t="s">
        <v>314</v>
      </c>
    </row>
    <row r="19" ht="18" customHeight="1" spans="1:36">
      <c r="A19" s="182" t="s">
        <v>330</v>
      </c>
      <c r="B19" s="182" t="s">
        <v>330</v>
      </c>
      <c r="C19" s="182" t="s">
        <v>114</v>
      </c>
      <c r="D19" s="182" t="s">
        <v>326</v>
      </c>
      <c r="E19" s="183">
        <v>95.41</v>
      </c>
      <c r="F19" s="183">
        <f t="shared" si="5"/>
        <v>376.248531</v>
      </c>
      <c r="G19" s="183">
        <f t="shared" si="0"/>
        <v>3.94349157321036</v>
      </c>
      <c r="H19" s="183">
        <v>376.248531</v>
      </c>
      <c r="I19" s="182">
        <v>0</v>
      </c>
      <c r="J19" s="183">
        <v>0</v>
      </c>
      <c r="K19" s="182">
        <v>0</v>
      </c>
      <c r="L19" s="183">
        <v>0</v>
      </c>
      <c r="M19" s="182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2">
        <v>0</v>
      </c>
      <c r="Y19" s="183">
        <f t="shared" si="1"/>
        <v>376.248531</v>
      </c>
      <c r="Z19" s="183">
        <f t="shared" si="2"/>
        <v>95.41</v>
      </c>
      <c r="AA19" s="183">
        <f t="shared" si="3"/>
        <v>0</v>
      </c>
      <c r="AB19" s="183">
        <f t="shared" si="4"/>
        <v>0</v>
      </c>
      <c r="AC19" s="183"/>
      <c r="AD19" s="183"/>
      <c r="AE19" s="183"/>
      <c r="AF19" s="183"/>
      <c r="AG19" s="183"/>
      <c r="AH19" s="183"/>
      <c r="AI19" s="183"/>
      <c r="AJ19" s="182" t="s">
        <v>314</v>
      </c>
    </row>
    <row r="20" ht="18" customHeight="1" spans="1:36">
      <c r="A20" s="182" t="s">
        <v>111</v>
      </c>
      <c r="B20" s="182" t="s">
        <v>331</v>
      </c>
      <c r="C20" s="182"/>
      <c r="D20" s="182"/>
      <c r="E20" s="183">
        <v>31.18</v>
      </c>
      <c r="F20" s="183">
        <f t="shared" si="5"/>
        <v>840.505212</v>
      </c>
      <c r="G20" s="183">
        <f t="shared" si="0"/>
        <v>26.9565494547787</v>
      </c>
      <c r="H20" s="183">
        <v>840.505212</v>
      </c>
      <c r="I20" s="182">
        <v>0</v>
      </c>
      <c r="J20" s="183">
        <v>0</v>
      </c>
      <c r="K20" s="182">
        <v>0</v>
      </c>
      <c r="L20" s="183">
        <v>0</v>
      </c>
      <c r="M20" s="182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2">
        <v>0</v>
      </c>
      <c r="Y20" s="183">
        <f t="shared" si="1"/>
        <v>840.505212</v>
      </c>
      <c r="Z20" s="183">
        <f t="shared" si="2"/>
        <v>31.18</v>
      </c>
      <c r="AA20" s="183">
        <f t="shared" si="3"/>
        <v>0</v>
      </c>
      <c r="AB20" s="183">
        <f t="shared" si="4"/>
        <v>0</v>
      </c>
      <c r="AC20" s="183"/>
      <c r="AD20" s="183"/>
      <c r="AE20" s="183"/>
      <c r="AF20" s="183"/>
      <c r="AG20" s="183"/>
      <c r="AH20" s="183"/>
      <c r="AI20" s="183"/>
      <c r="AJ20" s="182" t="s">
        <v>314</v>
      </c>
    </row>
    <row r="21" ht="18" customHeight="1" spans="1:36">
      <c r="A21" s="182" t="s">
        <v>111</v>
      </c>
      <c r="B21" s="182" t="s">
        <v>332</v>
      </c>
      <c r="C21" s="182"/>
      <c r="D21" s="182"/>
      <c r="E21" s="183">
        <v>41.05</v>
      </c>
      <c r="F21" s="183">
        <f t="shared" si="5"/>
        <v>993.17604</v>
      </c>
      <c r="G21" s="183">
        <f t="shared" si="0"/>
        <v>24.1943006090134</v>
      </c>
      <c r="H21" s="183">
        <v>993.17604</v>
      </c>
      <c r="I21" s="182">
        <v>0</v>
      </c>
      <c r="J21" s="183">
        <v>0</v>
      </c>
      <c r="K21" s="182">
        <v>0</v>
      </c>
      <c r="L21" s="183">
        <v>0</v>
      </c>
      <c r="M21" s="182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2">
        <v>0</v>
      </c>
      <c r="Y21" s="183">
        <f t="shared" si="1"/>
        <v>993.17604</v>
      </c>
      <c r="Z21" s="183">
        <f t="shared" si="2"/>
        <v>41.05</v>
      </c>
      <c r="AA21" s="183">
        <f t="shared" si="3"/>
        <v>0</v>
      </c>
      <c r="AB21" s="183">
        <f t="shared" si="4"/>
        <v>0</v>
      </c>
      <c r="AC21" s="183"/>
      <c r="AD21" s="183"/>
      <c r="AE21" s="183"/>
      <c r="AF21" s="183"/>
      <c r="AG21" s="183"/>
      <c r="AH21" s="183"/>
      <c r="AI21" s="183"/>
      <c r="AJ21" s="182" t="s">
        <v>314</v>
      </c>
    </row>
    <row r="22" ht="18" customHeight="1" spans="1:36">
      <c r="A22" s="182" t="s">
        <v>333</v>
      </c>
      <c r="B22" s="182" t="s">
        <v>333</v>
      </c>
      <c r="C22" s="182" t="s">
        <v>92</v>
      </c>
      <c r="D22" s="182" t="s">
        <v>111</v>
      </c>
      <c r="E22" s="183">
        <v>206.92</v>
      </c>
      <c r="F22" s="183">
        <f t="shared" si="5"/>
        <v>1053.975697</v>
      </c>
      <c r="G22" s="183">
        <f t="shared" si="0"/>
        <v>5.09363858979316</v>
      </c>
      <c r="H22" s="183">
        <v>993.251331</v>
      </c>
      <c r="I22" s="182">
        <v>0</v>
      </c>
      <c r="J22" s="183">
        <v>0</v>
      </c>
      <c r="K22" s="182">
        <v>0</v>
      </c>
      <c r="L22" s="183">
        <v>0</v>
      </c>
      <c r="M22" s="182">
        <v>0</v>
      </c>
      <c r="N22" s="183">
        <v>60.724366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2">
        <v>0</v>
      </c>
      <c r="Y22" s="183">
        <f t="shared" si="1"/>
        <v>1053.975697</v>
      </c>
      <c r="Z22" s="183">
        <f t="shared" si="2"/>
        <v>206.92</v>
      </c>
      <c r="AA22" s="183">
        <f t="shared" si="3"/>
        <v>0</v>
      </c>
      <c r="AB22" s="183">
        <f t="shared" si="4"/>
        <v>0</v>
      </c>
      <c r="AC22" s="183"/>
      <c r="AD22" s="183"/>
      <c r="AE22" s="183"/>
      <c r="AF22" s="183"/>
      <c r="AG22" s="183"/>
      <c r="AH22" s="183"/>
      <c r="AI22" s="183"/>
      <c r="AJ22" s="182" t="s">
        <v>314</v>
      </c>
    </row>
    <row r="23" ht="18" customHeight="1" spans="1:36">
      <c r="A23" s="182" t="s">
        <v>334</v>
      </c>
      <c r="B23" s="182" t="s">
        <v>334</v>
      </c>
      <c r="C23" s="182" t="s">
        <v>133</v>
      </c>
      <c r="D23" s="182" t="s">
        <v>119</v>
      </c>
      <c r="E23" s="183">
        <v>114.87</v>
      </c>
      <c r="F23" s="183">
        <f t="shared" si="5"/>
        <v>563.898588</v>
      </c>
      <c r="G23" s="183">
        <f t="shared" si="0"/>
        <v>4.90901530425699</v>
      </c>
      <c r="H23" s="183">
        <v>563.898588</v>
      </c>
      <c r="I23" s="182">
        <v>0</v>
      </c>
      <c r="J23" s="183">
        <v>0</v>
      </c>
      <c r="K23" s="182">
        <v>0</v>
      </c>
      <c r="L23" s="183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2">
        <v>0</v>
      </c>
      <c r="Y23" s="183">
        <f t="shared" si="1"/>
        <v>563.898588</v>
      </c>
      <c r="Z23" s="183">
        <f t="shared" si="2"/>
        <v>114.87</v>
      </c>
      <c r="AA23" s="183">
        <f t="shared" si="3"/>
        <v>0</v>
      </c>
      <c r="AB23" s="183">
        <f t="shared" si="4"/>
        <v>0</v>
      </c>
      <c r="AC23" s="183"/>
      <c r="AD23" s="183"/>
      <c r="AE23" s="183"/>
      <c r="AF23" s="183"/>
      <c r="AG23" s="183"/>
      <c r="AH23" s="183"/>
      <c r="AI23" s="183"/>
      <c r="AJ23" s="182" t="s">
        <v>314</v>
      </c>
    </row>
    <row r="24" ht="18" customHeight="1" spans="1:36">
      <c r="A24" s="182" t="s">
        <v>335</v>
      </c>
      <c r="B24" s="182" t="s">
        <v>335</v>
      </c>
      <c r="C24" s="182" t="s">
        <v>336</v>
      </c>
      <c r="D24" s="182" t="s">
        <v>134</v>
      </c>
      <c r="E24" s="183">
        <v>230.23</v>
      </c>
      <c r="F24" s="183">
        <f t="shared" si="5"/>
        <v>1265.96601</v>
      </c>
      <c r="G24" s="183">
        <f t="shared" si="0"/>
        <v>5.49870134213613</v>
      </c>
      <c r="H24" s="183">
        <v>1265.96601</v>
      </c>
      <c r="I24" s="182">
        <v>0</v>
      </c>
      <c r="J24" s="183">
        <v>0</v>
      </c>
      <c r="K24" s="182">
        <v>0</v>
      </c>
      <c r="L24" s="183">
        <v>0</v>
      </c>
      <c r="M24" s="182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2">
        <v>0</v>
      </c>
      <c r="Y24" s="183">
        <f t="shared" si="1"/>
        <v>1265.96601</v>
      </c>
      <c r="Z24" s="183">
        <f t="shared" si="2"/>
        <v>230.23</v>
      </c>
      <c r="AA24" s="183">
        <f t="shared" si="3"/>
        <v>0</v>
      </c>
      <c r="AB24" s="183">
        <f t="shared" si="4"/>
        <v>0</v>
      </c>
      <c r="AC24" s="183"/>
      <c r="AD24" s="183"/>
      <c r="AE24" s="183"/>
      <c r="AF24" s="183"/>
      <c r="AG24" s="183"/>
      <c r="AH24" s="183"/>
      <c r="AI24" s="183"/>
      <c r="AJ24" s="182" t="s">
        <v>314</v>
      </c>
    </row>
    <row r="25" ht="18" customHeight="1" spans="1:36">
      <c r="A25" s="182" t="s">
        <v>153</v>
      </c>
      <c r="B25" s="182" t="s">
        <v>153</v>
      </c>
      <c r="C25" s="182" t="s">
        <v>249</v>
      </c>
      <c r="D25" s="182" t="s">
        <v>154</v>
      </c>
      <c r="E25" s="183">
        <v>527.87</v>
      </c>
      <c r="F25" s="183">
        <f t="shared" si="5"/>
        <v>12390.372836</v>
      </c>
      <c r="G25" s="183">
        <f t="shared" si="0"/>
        <v>23.472394407714</v>
      </c>
      <c r="H25" s="183">
        <v>2480.482875</v>
      </c>
      <c r="I25" s="182">
        <v>0</v>
      </c>
      <c r="J25" s="183">
        <v>0</v>
      </c>
      <c r="K25" s="182">
        <v>0</v>
      </c>
      <c r="L25" s="183">
        <v>0</v>
      </c>
      <c r="M25" s="182">
        <v>0</v>
      </c>
      <c r="N25" s="183">
        <v>141.642917</v>
      </c>
      <c r="O25" s="183">
        <v>0</v>
      </c>
      <c r="P25" s="183">
        <v>0</v>
      </c>
      <c r="Q25" s="183">
        <v>4180.745793</v>
      </c>
      <c r="R25" s="183">
        <v>5559.947601</v>
      </c>
      <c r="S25" s="183">
        <v>27.55365</v>
      </c>
      <c r="T25" s="183">
        <v>0</v>
      </c>
      <c r="U25" s="183">
        <v>0</v>
      </c>
      <c r="V25" s="183">
        <v>0</v>
      </c>
      <c r="W25" s="183">
        <v>0</v>
      </c>
      <c r="X25" s="182">
        <v>0</v>
      </c>
      <c r="Y25" s="183">
        <f t="shared" si="1"/>
        <v>8209.627043</v>
      </c>
      <c r="Z25" s="183">
        <f t="shared" si="2"/>
        <v>527.87</v>
      </c>
      <c r="AA25" s="183">
        <f t="shared" si="3"/>
        <v>0</v>
      </c>
      <c r="AB25" s="183">
        <f t="shared" si="4"/>
        <v>4180.745793</v>
      </c>
      <c r="AC25" s="183"/>
      <c r="AD25" s="183"/>
      <c r="AE25" s="183"/>
      <c r="AF25" s="183"/>
      <c r="AG25" s="183"/>
      <c r="AH25" s="183"/>
      <c r="AI25" s="183"/>
      <c r="AJ25" s="182" t="s">
        <v>314</v>
      </c>
    </row>
    <row r="26" ht="18" customHeight="1" spans="1:36">
      <c r="A26" s="182" t="s">
        <v>337</v>
      </c>
      <c r="B26" s="182" t="s">
        <v>337</v>
      </c>
      <c r="C26" s="182" t="s">
        <v>153</v>
      </c>
      <c r="D26" s="182" t="s">
        <v>154</v>
      </c>
      <c r="E26" s="183">
        <v>348.98</v>
      </c>
      <c r="F26" s="183">
        <f t="shared" si="5"/>
        <v>5808.547164</v>
      </c>
      <c r="G26" s="183">
        <f t="shared" si="0"/>
        <v>16.6443554473036</v>
      </c>
      <c r="H26" s="183">
        <v>1472.297968</v>
      </c>
      <c r="I26" s="182">
        <v>0</v>
      </c>
      <c r="J26" s="183">
        <v>0</v>
      </c>
      <c r="K26" s="182">
        <v>0</v>
      </c>
      <c r="L26" s="183">
        <v>0</v>
      </c>
      <c r="M26" s="182">
        <v>0</v>
      </c>
      <c r="N26" s="183">
        <v>862.883178</v>
      </c>
      <c r="O26" s="183">
        <v>0</v>
      </c>
      <c r="P26" s="183">
        <v>0</v>
      </c>
      <c r="Q26" s="183">
        <v>1794.067863</v>
      </c>
      <c r="R26" s="183">
        <v>624.537344</v>
      </c>
      <c r="S26" s="183">
        <v>1021.009901</v>
      </c>
      <c r="T26" s="183">
        <v>0</v>
      </c>
      <c r="U26" s="183">
        <v>0</v>
      </c>
      <c r="V26" s="183">
        <v>0</v>
      </c>
      <c r="W26" s="183">
        <v>16.875455</v>
      </c>
      <c r="X26" s="182">
        <v>0</v>
      </c>
      <c r="Y26" s="183">
        <f t="shared" si="1"/>
        <v>3980.728391</v>
      </c>
      <c r="Z26" s="183">
        <f t="shared" si="2"/>
        <v>348.98</v>
      </c>
      <c r="AA26" s="183">
        <f t="shared" si="3"/>
        <v>33.75091</v>
      </c>
      <c r="AB26" s="183">
        <f t="shared" si="4"/>
        <v>1794.067863</v>
      </c>
      <c r="AC26" s="183"/>
      <c r="AD26" s="183"/>
      <c r="AE26" s="183"/>
      <c r="AF26" s="183"/>
      <c r="AG26" s="183"/>
      <c r="AH26" s="183"/>
      <c r="AI26" s="183"/>
      <c r="AJ26" s="182" t="s">
        <v>314</v>
      </c>
    </row>
    <row r="27" ht="18" customHeight="1" spans="1:36">
      <c r="A27" s="182" t="s">
        <v>338</v>
      </c>
      <c r="B27" s="182" t="s">
        <v>338</v>
      </c>
      <c r="C27" s="182" t="s">
        <v>153</v>
      </c>
      <c r="D27" s="182" t="s">
        <v>337</v>
      </c>
      <c r="E27" s="183">
        <v>63.42</v>
      </c>
      <c r="F27" s="183">
        <f t="shared" si="5"/>
        <v>449.438467</v>
      </c>
      <c r="G27" s="183">
        <f t="shared" si="0"/>
        <v>7.08669925890886</v>
      </c>
      <c r="H27" s="183">
        <v>332.504443</v>
      </c>
      <c r="I27" s="182">
        <v>0</v>
      </c>
      <c r="J27" s="183">
        <v>0</v>
      </c>
      <c r="K27" s="182">
        <v>0</v>
      </c>
      <c r="L27" s="183">
        <v>0</v>
      </c>
      <c r="M27" s="182">
        <v>0</v>
      </c>
      <c r="N27" s="183">
        <v>93.363939</v>
      </c>
      <c r="O27" s="183">
        <v>0</v>
      </c>
      <c r="P27" s="183">
        <v>0</v>
      </c>
      <c r="Q27" s="183">
        <v>0</v>
      </c>
      <c r="R27" s="183">
        <v>0</v>
      </c>
      <c r="S27" s="183">
        <v>23.570085</v>
      </c>
      <c r="T27" s="183">
        <v>0</v>
      </c>
      <c r="U27" s="183">
        <v>0</v>
      </c>
      <c r="V27" s="183">
        <v>0</v>
      </c>
      <c r="W27" s="183">
        <v>0</v>
      </c>
      <c r="X27" s="182">
        <v>0</v>
      </c>
      <c r="Y27" s="183">
        <f t="shared" si="1"/>
        <v>449.438467</v>
      </c>
      <c r="Z27" s="183">
        <f t="shared" si="2"/>
        <v>63.42</v>
      </c>
      <c r="AA27" s="183">
        <f t="shared" si="3"/>
        <v>0</v>
      </c>
      <c r="AB27" s="183">
        <f t="shared" si="4"/>
        <v>0</v>
      </c>
      <c r="AC27" s="183"/>
      <c r="AD27" s="183"/>
      <c r="AE27" s="183"/>
      <c r="AF27" s="183"/>
      <c r="AG27" s="183"/>
      <c r="AH27" s="183"/>
      <c r="AI27" s="183"/>
      <c r="AJ27" s="182" t="s">
        <v>314</v>
      </c>
    </row>
    <row r="28" ht="18" customHeight="1" spans="1:36">
      <c r="A28" s="182" t="s">
        <v>339</v>
      </c>
      <c r="B28" s="182" t="s">
        <v>339</v>
      </c>
      <c r="C28" s="182" t="s">
        <v>337</v>
      </c>
      <c r="D28" s="182" t="s">
        <v>153</v>
      </c>
      <c r="E28" s="183">
        <v>122.41</v>
      </c>
      <c r="F28" s="183">
        <f t="shared" si="5"/>
        <v>2292.361892</v>
      </c>
      <c r="G28" s="183">
        <f t="shared" si="0"/>
        <v>18.7269168531983</v>
      </c>
      <c r="H28" s="183">
        <v>520.942137</v>
      </c>
      <c r="I28" s="182">
        <v>0</v>
      </c>
      <c r="J28" s="183">
        <v>0</v>
      </c>
      <c r="K28" s="182">
        <v>0</v>
      </c>
      <c r="L28" s="183">
        <v>0</v>
      </c>
      <c r="M28" s="182">
        <v>0</v>
      </c>
      <c r="N28" s="183">
        <v>0</v>
      </c>
      <c r="O28" s="183">
        <v>0</v>
      </c>
      <c r="P28" s="183">
        <v>0</v>
      </c>
      <c r="Q28" s="183">
        <v>417.194557</v>
      </c>
      <c r="R28" s="183">
        <v>1354.225198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2">
        <v>0</v>
      </c>
      <c r="Y28" s="183">
        <f t="shared" si="1"/>
        <v>1875.167335</v>
      </c>
      <c r="Z28" s="183">
        <f t="shared" si="2"/>
        <v>122.41</v>
      </c>
      <c r="AA28" s="183">
        <f t="shared" si="3"/>
        <v>0</v>
      </c>
      <c r="AB28" s="183">
        <f t="shared" si="4"/>
        <v>417.194557</v>
      </c>
      <c r="AC28" s="183"/>
      <c r="AD28" s="183"/>
      <c r="AE28" s="183"/>
      <c r="AF28" s="183"/>
      <c r="AG28" s="183"/>
      <c r="AH28" s="183"/>
      <c r="AI28" s="183"/>
      <c r="AJ28" s="182" t="s">
        <v>314</v>
      </c>
    </row>
    <row r="29" ht="18" customHeight="1" spans="1:36">
      <c r="A29" s="182" t="s">
        <v>340</v>
      </c>
      <c r="B29" s="182" t="s">
        <v>340</v>
      </c>
      <c r="C29" s="182" t="s">
        <v>148</v>
      </c>
      <c r="D29" s="182" t="s">
        <v>341</v>
      </c>
      <c r="E29" s="183">
        <v>201.16</v>
      </c>
      <c r="F29" s="183">
        <f t="shared" si="5"/>
        <v>1639.497489</v>
      </c>
      <c r="G29" s="183">
        <f t="shared" si="0"/>
        <v>8.15021619109167</v>
      </c>
      <c r="H29" s="183">
        <v>1043.729828</v>
      </c>
      <c r="I29" s="182">
        <v>0</v>
      </c>
      <c r="J29" s="183">
        <v>0</v>
      </c>
      <c r="K29" s="182">
        <v>0</v>
      </c>
      <c r="L29" s="183">
        <v>0</v>
      </c>
      <c r="M29" s="182">
        <v>0</v>
      </c>
      <c r="N29" s="183">
        <v>572.467439</v>
      </c>
      <c r="O29" s="183">
        <v>0</v>
      </c>
      <c r="P29" s="183">
        <v>0</v>
      </c>
      <c r="Q29" s="183">
        <v>23.300222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2">
        <v>0</v>
      </c>
      <c r="Y29" s="183">
        <f t="shared" si="1"/>
        <v>1616.197267</v>
      </c>
      <c r="Z29" s="183">
        <f t="shared" si="2"/>
        <v>201.16</v>
      </c>
      <c r="AA29" s="183">
        <f t="shared" si="3"/>
        <v>0</v>
      </c>
      <c r="AB29" s="183">
        <f t="shared" si="4"/>
        <v>23.300222</v>
      </c>
      <c r="AC29" s="183"/>
      <c r="AD29" s="183"/>
      <c r="AE29" s="183"/>
      <c r="AF29" s="183"/>
      <c r="AG29" s="183"/>
      <c r="AH29" s="183"/>
      <c r="AI29" s="183"/>
      <c r="AJ29" s="182" t="s">
        <v>314</v>
      </c>
    </row>
    <row r="30" ht="18" customHeight="1" spans="1:36">
      <c r="A30" s="182" t="s">
        <v>342</v>
      </c>
      <c r="B30" s="182" t="s">
        <v>342</v>
      </c>
      <c r="C30" s="182" t="s">
        <v>343</v>
      </c>
      <c r="D30" s="182" t="s">
        <v>344</v>
      </c>
      <c r="E30" s="183">
        <v>104.6</v>
      </c>
      <c r="F30" s="183">
        <f t="shared" si="5"/>
        <v>1024.405327</v>
      </c>
      <c r="G30" s="183">
        <f t="shared" si="0"/>
        <v>9.79354997131931</v>
      </c>
      <c r="H30" s="183">
        <v>496.93402</v>
      </c>
      <c r="I30" s="182">
        <v>0</v>
      </c>
      <c r="J30" s="183">
        <v>0</v>
      </c>
      <c r="K30" s="182">
        <v>0</v>
      </c>
      <c r="L30" s="183">
        <v>0</v>
      </c>
      <c r="M30" s="182">
        <v>0</v>
      </c>
      <c r="N30" s="183">
        <v>229.322497</v>
      </c>
      <c r="O30" s="183">
        <v>0</v>
      </c>
      <c r="P30" s="183">
        <v>0</v>
      </c>
      <c r="Q30" s="183">
        <v>140.716084</v>
      </c>
      <c r="R30" s="183">
        <v>157.432726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2">
        <v>0</v>
      </c>
      <c r="Y30" s="183">
        <f t="shared" si="1"/>
        <v>883.689243</v>
      </c>
      <c r="Z30" s="183">
        <f t="shared" si="2"/>
        <v>104.6</v>
      </c>
      <c r="AA30" s="183">
        <f t="shared" si="3"/>
        <v>0</v>
      </c>
      <c r="AB30" s="183">
        <f t="shared" si="4"/>
        <v>140.716084</v>
      </c>
      <c r="AC30" s="183"/>
      <c r="AD30" s="183"/>
      <c r="AE30" s="183"/>
      <c r="AF30" s="183"/>
      <c r="AG30" s="183"/>
      <c r="AH30" s="183"/>
      <c r="AI30" s="183"/>
      <c r="AJ30" s="182" t="s">
        <v>314</v>
      </c>
    </row>
    <row r="31" ht="18" customHeight="1" spans="1:36">
      <c r="A31" s="182" t="s">
        <v>342</v>
      </c>
      <c r="B31" s="182" t="s">
        <v>342</v>
      </c>
      <c r="C31" s="182" t="s">
        <v>345</v>
      </c>
      <c r="D31" s="182" t="s">
        <v>344</v>
      </c>
      <c r="E31" s="183">
        <v>72.41</v>
      </c>
      <c r="F31" s="183">
        <f t="shared" si="5"/>
        <v>87.380384</v>
      </c>
      <c r="G31" s="183">
        <f t="shared" si="0"/>
        <v>1.2067447037702</v>
      </c>
      <c r="H31" s="183">
        <v>0</v>
      </c>
      <c r="I31" s="182">
        <v>0</v>
      </c>
      <c r="J31" s="183">
        <v>0</v>
      </c>
      <c r="K31" s="182">
        <v>0</v>
      </c>
      <c r="L31" s="183">
        <v>87.380384</v>
      </c>
      <c r="M31" s="182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2">
        <v>0</v>
      </c>
      <c r="Y31" s="183">
        <f t="shared" si="1"/>
        <v>87.380384</v>
      </c>
      <c r="Z31" s="183">
        <f t="shared" si="2"/>
        <v>72.41</v>
      </c>
      <c r="AA31" s="183">
        <f t="shared" si="3"/>
        <v>0</v>
      </c>
      <c r="AB31" s="183">
        <f t="shared" si="4"/>
        <v>0</v>
      </c>
      <c r="AC31" s="183"/>
      <c r="AD31" s="183"/>
      <c r="AE31" s="183"/>
      <c r="AF31" s="183"/>
      <c r="AG31" s="183"/>
      <c r="AH31" s="183"/>
      <c r="AI31" s="183"/>
      <c r="AJ31" s="182" t="s">
        <v>314</v>
      </c>
    </row>
    <row r="32" ht="18" customHeight="1" spans="1:36">
      <c r="A32" s="182" t="s">
        <v>346</v>
      </c>
      <c r="B32" s="182" t="s">
        <v>346</v>
      </c>
      <c r="C32" s="182" t="s">
        <v>148</v>
      </c>
      <c r="D32" s="182" t="s">
        <v>342</v>
      </c>
      <c r="E32" s="183">
        <v>221.71</v>
      </c>
      <c r="F32" s="183">
        <f t="shared" si="5"/>
        <v>2623.743517</v>
      </c>
      <c r="G32" s="183">
        <f t="shared" si="0"/>
        <v>11.834123481124</v>
      </c>
      <c r="H32" s="183">
        <v>1623.982053</v>
      </c>
      <c r="I32" s="182">
        <v>0</v>
      </c>
      <c r="J32" s="183">
        <v>0</v>
      </c>
      <c r="K32" s="182">
        <v>0</v>
      </c>
      <c r="L32" s="183">
        <v>0</v>
      </c>
      <c r="M32" s="182">
        <v>0</v>
      </c>
      <c r="N32" s="183">
        <v>241.932321</v>
      </c>
      <c r="O32" s="183">
        <v>0</v>
      </c>
      <c r="P32" s="183">
        <v>0</v>
      </c>
      <c r="Q32" s="183">
        <v>168.213879</v>
      </c>
      <c r="R32" s="183">
        <v>589.615264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2">
        <v>0</v>
      </c>
      <c r="Y32" s="183">
        <f t="shared" si="1"/>
        <v>2455.529638</v>
      </c>
      <c r="Z32" s="183">
        <f t="shared" si="2"/>
        <v>221.71</v>
      </c>
      <c r="AA32" s="183">
        <f t="shared" si="3"/>
        <v>0</v>
      </c>
      <c r="AB32" s="183">
        <f t="shared" si="4"/>
        <v>168.213879</v>
      </c>
      <c r="AC32" s="183"/>
      <c r="AD32" s="183"/>
      <c r="AE32" s="183"/>
      <c r="AF32" s="183"/>
      <c r="AG32" s="183"/>
      <c r="AH32" s="183"/>
      <c r="AI32" s="183"/>
      <c r="AJ32" s="182" t="s">
        <v>314</v>
      </c>
    </row>
    <row r="33" ht="18" customHeight="1" spans="1:36">
      <c r="A33" s="182" t="s">
        <v>345</v>
      </c>
      <c r="B33" s="182" t="s">
        <v>345</v>
      </c>
      <c r="C33" s="182" t="s">
        <v>346</v>
      </c>
      <c r="D33" s="182" t="s">
        <v>341</v>
      </c>
      <c r="E33" s="183">
        <v>274.46</v>
      </c>
      <c r="F33" s="183">
        <f t="shared" si="5"/>
        <v>2453.214204</v>
      </c>
      <c r="G33" s="183">
        <f t="shared" si="0"/>
        <v>8.93833055454347</v>
      </c>
      <c r="H33" s="183">
        <v>1653.052949</v>
      </c>
      <c r="I33" s="182">
        <v>0</v>
      </c>
      <c r="J33" s="183">
        <v>0</v>
      </c>
      <c r="K33" s="182">
        <v>0</v>
      </c>
      <c r="L33" s="183">
        <v>0</v>
      </c>
      <c r="M33" s="182">
        <v>0</v>
      </c>
      <c r="N33" s="183">
        <v>154.38566</v>
      </c>
      <c r="O33" s="183">
        <v>0</v>
      </c>
      <c r="P33" s="183">
        <v>0</v>
      </c>
      <c r="Q33" s="183">
        <v>337.477083</v>
      </c>
      <c r="R33" s="183">
        <v>308.298512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2">
        <v>0</v>
      </c>
      <c r="Y33" s="183">
        <f t="shared" si="1"/>
        <v>2115.737121</v>
      </c>
      <c r="Z33" s="183">
        <f t="shared" si="2"/>
        <v>274.46</v>
      </c>
      <c r="AA33" s="183">
        <f t="shared" si="3"/>
        <v>0</v>
      </c>
      <c r="AB33" s="183">
        <f t="shared" si="4"/>
        <v>337.477083</v>
      </c>
      <c r="AC33" s="183"/>
      <c r="AD33" s="183"/>
      <c r="AE33" s="183"/>
      <c r="AF33" s="183"/>
      <c r="AG33" s="183"/>
      <c r="AH33" s="183"/>
      <c r="AI33" s="183"/>
      <c r="AJ33" s="182" t="s">
        <v>314</v>
      </c>
    </row>
    <row r="34" ht="18" customHeight="1" spans="1:36">
      <c r="A34" s="182" t="s">
        <v>347</v>
      </c>
      <c r="B34" s="182" t="s">
        <v>347</v>
      </c>
      <c r="C34" s="182" t="s">
        <v>345</v>
      </c>
      <c r="D34" s="182" t="s">
        <v>342</v>
      </c>
      <c r="E34" s="183">
        <v>201.89</v>
      </c>
      <c r="F34" s="183">
        <f t="shared" si="5"/>
        <v>1794.56462</v>
      </c>
      <c r="G34" s="183">
        <f t="shared" si="0"/>
        <v>8.88882371588489</v>
      </c>
      <c r="H34" s="183">
        <v>873.981953</v>
      </c>
      <c r="I34" s="182">
        <v>0</v>
      </c>
      <c r="J34" s="183">
        <v>0</v>
      </c>
      <c r="K34" s="182">
        <v>0</v>
      </c>
      <c r="L34" s="183">
        <v>0</v>
      </c>
      <c r="M34" s="182">
        <v>0</v>
      </c>
      <c r="N34" s="183">
        <v>115.106831</v>
      </c>
      <c r="O34" s="183">
        <v>0</v>
      </c>
      <c r="P34" s="183">
        <v>0</v>
      </c>
      <c r="Q34" s="183">
        <v>237.443343</v>
      </c>
      <c r="R34" s="183">
        <v>568.032493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2">
        <v>0</v>
      </c>
      <c r="Y34" s="183">
        <f t="shared" si="1"/>
        <v>1557.121277</v>
      </c>
      <c r="Z34" s="183">
        <f t="shared" si="2"/>
        <v>201.89</v>
      </c>
      <c r="AA34" s="183">
        <f t="shared" si="3"/>
        <v>0</v>
      </c>
      <c r="AB34" s="183">
        <f t="shared" si="4"/>
        <v>237.443343</v>
      </c>
      <c r="AC34" s="183"/>
      <c r="AD34" s="183"/>
      <c r="AE34" s="183"/>
      <c r="AF34" s="183"/>
      <c r="AG34" s="183"/>
      <c r="AH34" s="183"/>
      <c r="AI34" s="183"/>
      <c r="AJ34" s="182" t="s">
        <v>314</v>
      </c>
    </row>
    <row r="35" ht="18" customHeight="1" spans="1:36">
      <c r="A35" s="182" t="s">
        <v>348</v>
      </c>
      <c r="B35" s="182" t="s">
        <v>348</v>
      </c>
      <c r="C35" s="182" t="s">
        <v>346</v>
      </c>
      <c r="D35" s="182" t="s">
        <v>342</v>
      </c>
      <c r="E35" s="183">
        <v>243.9</v>
      </c>
      <c r="F35" s="183">
        <f t="shared" si="5"/>
        <v>2013.14118</v>
      </c>
      <c r="G35" s="183">
        <f t="shared" si="0"/>
        <v>8.25396137761378</v>
      </c>
      <c r="H35" s="183">
        <v>728.474414</v>
      </c>
      <c r="I35" s="182">
        <v>0</v>
      </c>
      <c r="J35" s="183">
        <v>0</v>
      </c>
      <c r="K35" s="182">
        <v>0</v>
      </c>
      <c r="L35" s="183">
        <v>0</v>
      </c>
      <c r="M35" s="182">
        <v>0</v>
      </c>
      <c r="N35" s="183">
        <v>686.052144</v>
      </c>
      <c r="O35" s="183">
        <v>0</v>
      </c>
      <c r="P35" s="183">
        <v>0</v>
      </c>
      <c r="Q35" s="183">
        <v>591.456305</v>
      </c>
      <c r="R35" s="183">
        <v>7.158317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2">
        <v>0</v>
      </c>
      <c r="Y35" s="183">
        <f t="shared" si="1"/>
        <v>1421.684875</v>
      </c>
      <c r="Z35" s="183">
        <f t="shared" si="2"/>
        <v>243.9</v>
      </c>
      <c r="AA35" s="183">
        <f t="shared" si="3"/>
        <v>0</v>
      </c>
      <c r="AB35" s="183">
        <f t="shared" si="4"/>
        <v>591.456305</v>
      </c>
      <c r="AC35" s="183"/>
      <c r="AD35" s="183"/>
      <c r="AE35" s="183"/>
      <c r="AF35" s="183"/>
      <c r="AG35" s="183"/>
      <c r="AH35" s="183"/>
      <c r="AI35" s="183"/>
      <c r="AJ35" s="182" t="s">
        <v>314</v>
      </c>
    </row>
    <row r="36" ht="18" customHeight="1" spans="1:36">
      <c r="A36" s="182" t="s">
        <v>349</v>
      </c>
      <c r="B36" s="182" t="s">
        <v>349</v>
      </c>
      <c r="C36" s="182" t="s">
        <v>348</v>
      </c>
      <c r="D36" s="182" t="s">
        <v>343</v>
      </c>
      <c r="E36" s="183">
        <v>64.85</v>
      </c>
      <c r="F36" s="183">
        <f t="shared" si="5"/>
        <v>572.892806</v>
      </c>
      <c r="G36" s="183">
        <f t="shared" si="0"/>
        <v>8.83412191210486</v>
      </c>
      <c r="H36" s="183">
        <v>237.471694</v>
      </c>
      <c r="I36" s="182">
        <v>0</v>
      </c>
      <c r="J36" s="183">
        <v>0</v>
      </c>
      <c r="K36" s="182">
        <v>0</v>
      </c>
      <c r="L36" s="183">
        <v>0</v>
      </c>
      <c r="M36" s="182">
        <v>0</v>
      </c>
      <c r="N36" s="183">
        <v>319.704818</v>
      </c>
      <c r="O36" s="183">
        <v>0</v>
      </c>
      <c r="P36" s="183">
        <v>0</v>
      </c>
      <c r="Q36" s="183">
        <v>15.716294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2">
        <v>0</v>
      </c>
      <c r="Y36" s="183">
        <f t="shared" si="1"/>
        <v>557.176512</v>
      </c>
      <c r="Z36" s="183">
        <f t="shared" si="2"/>
        <v>64.85</v>
      </c>
      <c r="AA36" s="183">
        <f t="shared" si="3"/>
        <v>0</v>
      </c>
      <c r="AB36" s="183">
        <f t="shared" si="4"/>
        <v>15.716294</v>
      </c>
      <c r="AC36" s="183"/>
      <c r="AD36" s="183"/>
      <c r="AE36" s="183"/>
      <c r="AF36" s="183"/>
      <c r="AG36" s="183"/>
      <c r="AH36" s="183"/>
      <c r="AI36" s="183"/>
      <c r="AJ36" s="182" t="s">
        <v>314</v>
      </c>
    </row>
    <row r="37" ht="18" customHeight="1" spans="1:36">
      <c r="A37" s="182" t="s">
        <v>350</v>
      </c>
      <c r="B37" s="182" t="s">
        <v>350</v>
      </c>
      <c r="C37" s="182" t="s">
        <v>348</v>
      </c>
      <c r="D37" s="182" t="s">
        <v>343</v>
      </c>
      <c r="E37" s="183">
        <v>78.93</v>
      </c>
      <c r="F37" s="183">
        <f t="shared" si="5"/>
        <v>752.430096</v>
      </c>
      <c r="G37" s="183">
        <f t="shared" si="0"/>
        <v>9.53287844925884</v>
      </c>
      <c r="H37" s="183">
        <v>300.022046</v>
      </c>
      <c r="I37" s="182">
        <v>0</v>
      </c>
      <c r="J37" s="183">
        <v>0</v>
      </c>
      <c r="K37" s="182">
        <v>0</v>
      </c>
      <c r="L37" s="183">
        <v>0</v>
      </c>
      <c r="M37" s="182">
        <v>0</v>
      </c>
      <c r="N37" s="183">
        <v>391.9585</v>
      </c>
      <c r="O37" s="183">
        <v>0</v>
      </c>
      <c r="P37" s="183">
        <v>0</v>
      </c>
      <c r="Q37" s="183">
        <v>60.44955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2">
        <v>0</v>
      </c>
      <c r="Y37" s="183">
        <f t="shared" si="1"/>
        <v>691.980546</v>
      </c>
      <c r="Z37" s="183">
        <f t="shared" si="2"/>
        <v>78.93</v>
      </c>
      <c r="AA37" s="183">
        <f t="shared" si="3"/>
        <v>0</v>
      </c>
      <c r="AB37" s="183">
        <f t="shared" si="4"/>
        <v>60.44955</v>
      </c>
      <c r="AC37" s="183"/>
      <c r="AD37" s="183"/>
      <c r="AE37" s="183"/>
      <c r="AF37" s="183"/>
      <c r="AG37" s="183"/>
      <c r="AH37" s="183"/>
      <c r="AI37" s="183"/>
      <c r="AJ37" s="182" t="s">
        <v>314</v>
      </c>
    </row>
    <row r="38" ht="18" customHeight="1" spans="1:36">
      <c r="A38" s="182" t="s">
        <v>344</v>
      </c>
      <c r="B38" s="182" t="s">
        <v>344</v>
      </c>
      <c r="C38" s="182" t="s">
        <v>348</v>
      </c>
      <c r="D38" s="182" t="s">
        <v>342</v>
      </c>
      <c r="E38" s="183">
        <v>156.5</v>
      </c>
      <c r="F38" s="183">
        <f t="shared" si="5"/>
        <v>1315.831219</v>
      </c>
      <c r="G38" s="183">
        <f t="shared" si="0"/>
        <v>8.40786721405751</v>
      </c>
      <c r="H38" s="183">
        <v>859.106823</v>
      </c>
      <c r="I38" s="182">
        <v>0</v>
      </c>
      <c r="J38" s="183">
        <v>0</v>
      </c>
      <c r="K38" s="182">
        <v>0</v>
      </c>
      <c r="L38" s="183">
        <v>0</v>
      </c>
      <c r="M38" s="182">
        <v>0</v>
      </c>
      <c r="N38" s="183">
        <v>398.545201</v>
      </c>
      <c r="O38" s="183">
        <v>0</v>
      </c>
      <c r="P38" s="183">
        <v>0</v>
      </c>
      <c r="Q38" s="183">
        <v>58.179195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2">
        <v>0</v>
      </c>
      <c r="Y38" s="183">
        <f t="shared" si="1"/>
        <v>1257.652024</v>
      </c>
      <c r="Z38" s="183">
        <f t="shared" si="2"/>
        <v>156.5</v>
      </c>
      <c r="AA38" s="183">
        <f t="shared" si="3"/>
        <v>0</v>
      </c>
      <c r="AB38" s="183">
        <f t="shared" si="4"/>
        <v>58.179195</v>
      </c>
      <c r="AC38" s="183"/>
      <c r="AD38" s="183"/>
      <c r="AE38" s="183"/>
      <c r="AF38" s="183"/>
      <c r="AG38" s="183"/>
      <c r="AH38" s="183"/>
      <c r="AI38" s="183"/>
      <c r="AJ38" s="182" t="s">
        <v>314</v>
      </c>
    </row>
    <row r="39" ht="18" customHeight="1" spans="1:36">
      <c r="A39" s="182" t="s">
        <v>343</v>
      </c>
      <c r="B39" s="182" t="s">
        <v>343</v>
      </c>
      <c r="C39" s="182" t="s">
        <v>346</v>
      </c>
      <c r="D39" s="182" t="s">
        <v>344</v>
      </c>
      <c r="E39" s="183">
        <v>26.45</v>
      </c>
      <c r="F39" s="183">
        <f t="shared" si="5"/>
        <v>612.869251</v>
      </c>
      <c r="G39" s="183">
        <f t="shared" si="0"/>
        <v>23.1708601512287</v>
      </c>
      <c r="H39" s="183">
        <v>167.842612</v>
      </c>
      <c r="I39" s="182">
        <v>0</v>
      </c>
      <c r="J39" s="183">
        <v>0</v>
      </c>
      <c r="K39" s="182">
        <v>0</v>
      </c>
      <c r="L39" s="183">
        <v>0</v>
      </c>
      <c r="M39" s="182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445.026639</v>
      </c>
      <c r="T39" s="183">
        <v>0</v>
      </c>
      <c r="U39" s="183">
        <v>0</v>
      </c>
      <c r="V39" s="183">
        <v>0</v>
      </c>
      <c r="W39" s="183">
        <v>0</v>
      </c>
      <c r="X39" s="182">
        <v>0</v>
      </c>
      <c r="Y39" s="183">
        <f t="shared" si="1"/>
        <v>612.869251</v>
      </c>
      <c r="Z39" s="183">
        <f t="shared" si="2"/>
        <v>26.45</v>
      </c>
      <c r="AA39" s="183">
        <f t="shared" si="3"/>
        <v>0</v>
      </c>
      <c r="AB39" s="183">
        <f t="shared" si="4"/>
        <v>0</v>
      </c>
      <c r="AC39" s="183"/>
      <c r="AD39" s="183"/>
      <c r="AE39" s="183"/>
      <c r="AF39" s="183"/>
      <c r="AG39" s="183"/>
      <c r="AH39" s="183"/>
      <c r="AI39" s="183"/>
      <c r="AJ39" s="182" t="s">
        <v>314</v>
      </c>
    </row>
    <row r="40" ht="18" customHeight="1" spans="1:36">
      <c r="A40" s="182" t="s">
        <v>343</v>
      </c>
      <c r="B40" s="182" t="s">
        <v>343</v>
      </c>
      <c r="C40" s="182" t="s">
        <v>344</v>
      </c>
      <c r="D40" s="182" t="s">
        <v>348</v>
      </c>
      <c r="E40" s="183">
        <v>75.41</v>
      </c>
      <c r="F40" s="183">
        <f t="shared" si="5"/>
        <v>827.109138</v>
      </c>
      <c r="G40" s="183">
        <f t="shared" si="0"/>
        <v>10.9681625513858</v>
      </c>
      <c r="H40" s="183">
        <v>405.168851</v>
      </c>
      <c r="I40" s="182">
        <v>0</v>
      </c>
      <c r="J40" s="183">
        <v>0</v>
      </c>
      <c r="K40" s="182">
        <v>0</v>
      </c>
      <c r="L40" s="183">
        <v>0</v>
      </c>
      <c r="M40" s="182">
        <v>0</v>
      </c>
      <c r="N40" s="183">
        <v>138.926521</v>
      </c>
      <c r="O40" s="183">
        <v>0</v>
      </c>
      <c r="P40" s="183">
        <v>0</v>
      </c>
      <c r="Q40" s="183">
        <v>73.201045</v>
      </c>
      <c r="R40" s="183">
        <v>209.812721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2">
        <v>0</v>
      </c>
      <c r="Y40" s="183">
        <f t="shared" si="1"/>
        <v>753.908093</v>
      </c>
      <c r="Z40" s="183">
        <f t="shared" si="2"/>
        <v>75.41</v>
      </c>
      <c r="AA40" s="183">
        <f t="shared" si="3"/>
        <v>0</v>
      </c>
      <c r="AB40" s="183">
        <f t="shared" si="4"/>
        <v>73.201045</v>
      </c>
      <c r="AC40" s="183"/>
      <c r="AD40" s="183"/>
      <c r="AE40" s="183"/>
      <c r="AF40" s="183"/>
      <c r="AG40" s="183"/>
      <c r="AH40" s="183"/>
      <c r="AI40" s="183"/>
      <c r="AJ40" s="182" t="s">
        <v>314</v>
      </c>
    </row>
    <row r="41" ht="18" customHeight="1" spans="1:36">
      <c r="A41" s="182" t="s">
        <v>215</v>
      </c>
      <c r="B41" s="182" t="s">
        <v>215</v>
      </c>
      <c r="C41" s="182" t="s">
        <v>114</v>
      </c>
      <c r="D41" s="182" t="s">
        <v>176</v>
      </c>
      <c r="E41" s="183">
        <v>95.58</v>
      </c>
      <c r="F41" s="183">
        <f t="shared" si="5"/>
        <v>1874.665515</v>
      </c>
      <c r="G41" s="183">
        <f t="shared" si="0"/>
        <v>19.6135751726303</v>
      </c>
      <c r="H41" s="183">
        <v>405.172445</v>
      </c>
      <c r="I41" s="182">
        <v>0</v>
      </c>
      <c r="J41" s="183">
        <v>0</v>
      </c>
      <c r="K41" s="182">
        <v>0</v>
      </c>
      <c r="L41" s="183">
        <v>0</v>
      </c>
      <c r="M41" s="182">
        <v>0</v>
      </c>
      <c r="N41" s="183">
        <v>207.866894</v>
      </c>
      <c r="O41" s="183">
        <v>0</v>
      </c>
      <c r="P41" s="183">
        <v>0</v>
      </c>
      <c r="Q41" s="183">
        <v>1261.626176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2">
        <v>0</v>
      </c>
      <c r="Y41" s="183">
        <f t="shared" si="1"/>
        <v>613.039339</v>
      </c>
      <c r="Z41" s="183">
        <f t="shared" si="2"/>
        <v>95.58</v>
      </c>
      <c r="AA41" s="183">
        <f t="shared" si="3"/>
        <v>0</v>
      </c>
      <c r="AB41" s="183">
        <f t="shared" si="4"/>
        <v>1261.626176</v>
      </c>
      <c r="AC41" s="183"/>
      <c r="AD41" s="183"/>
      <c r="AE41" s="183"/>
      <c r="AF41" s="183"/>
      <c r="AG41" s="183"/>
      <c r="AH41" s="183"/>
      <c r="AI41" s="183"/>
      <c r="AJ41" s="182" t="s">
        <v>314</v>
      </c>
    </row>
    <row r="42" ht="18" customHeight="1" spans="1:36">
      <c r="A42" s="182" t="s">
        <v>215</v>
      </c>
      <c r="B42" s="182" t="s">
        <v>215</v>
      </c>
      <c r="C42" s="182" t="s">
        <v>336</v>
      </c>
      <c r="D42" s="182" t="s">
        <v>114</v>
      </c>
      <c r="E42" s="183">
        <v>473.7</v>
      </c>
      <c r="F42" s="183">
        <f t="shared" si="5"/>
        <v>1270.787735</v>
      </c>
      <c r="G42" s="183">
        <f t="shared" si="0"/>
        <v>2.68268468439941</v>
      </c>
      <c r="H42" s="183">
        <v>1270.787735</v>
      </c>
      <c r="I42" s="182">
        <v>0</v>
      </c>
      <c r="J42" s="183">
        <v>0</v>
      </c>
      <c r="K42" s="182">
        <v>0</v>
      </c>
      <c r="L42" s="183">
        <v>0</v>
      </c>
      <c r="M42" s="182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2">
        <v>0</v>
      </c>
      <c r="Y42" s="183">
        <f t="shared" si="1"/>
        <v>1270.787735</v>
      </c>
      <c r="Z42" s="183">
        <f t="shared" si="2"/>
        <v>473.7</v>
      </c>
      <c r="AA42" s="183">
        <f t="shared" si="3"/>
        <v>0</v>
      </c>
      <c r="AB42" s="183">
        <f t="shared" si="4"/>
        <v>0</v>
      </c>
      <c r="AC42" s="183"/>
      <c r="AD42" s="183"/>
      <c r="AE42" s="183"/>
      <c r="AF42" s="183"/>
      <c r="AG42" s="183"/>
      <c r="AH42" s="183"/>
      <c r="AI42" s="183"/>
      <c r="AJ42" s="182" t="s">
        <v>314</v>
      </c>
    </row>
    <row r="43" ht="18" customHeight="1" spans="1:36">
      <c r="A43" s="182" t="s">
        <v>351</v>
      </c>
      <c r="B43" s="182" t="s">
        <v>351</v>
      </c>
      <c r="C43" s="182" t="s">
        <v>135</v>
      </c>
      <c r="D43" s="182" t="s">
        <v>148</v>
      </c>
      <c r="E43" s="183">
        <v>412.76</v>
      </c>
      <c r="F43" s="183">
        <f t="shared" si="5"/>
        <v>5212.374574</v>
      </c>
      <c r="G43" s="183">
        <f t="shared" si="0"/>
        <v>12.6281000436089</v>
      </c>
      <c r="H43" s="183">
        <v>1659.230162</v>
      </c>
      <c r="I43" s="182">
        <v>0</v>
      </c>
      <c r="J43" s="183">
        <v>0</v>
      </c>
      <c r="K43" s="182">
        <v>0</v>
      </c>
      <c r="L43" s="183">
        <v>0</v>
      </c>
      <c r="M43" s="182">
        <v>0</v>
      </c>
      <c r="N43" s="183">
        <v>0</v>
      </c>
      <c r="O43" s="183">
        <v>0</v>
      </c>
      <c r="P43" s="183">
        <v>0</v>
      </c>
      <c r="Q43" s="183">
        <v>1337.256739</v>
      </c>
      <c r="R43" s="183">
        <v>2215.887673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2">
        <v>0</v>
      </c>
      <c r="Y43" s="183">
        <f t="shared" si="1"/>
        <v>3875.117835</v>
      </c>
      <c r="Z43" s="183">
        <f t="shared" si="2"/>
        <v>412.76</v>
      </c>
      <c r="AA43" s="183">
        <f t="shared" si="3"/>
        <v>0</v>
      </c>
      <c r="AB43" s="183">
        <f t="shared" si="4"/>
        <v>1337.256739</v>
      </c>
      <c r="AC43" s="183"/>
      <c r="AD43" s="183"/>
      <c r="AE43" s="183"/>
      <c r="AF43" s="183"/>
      <c r="AG43" s="183"/>
      <c r="AH43" s="183"/>
      <c r="AI43" s="183"/>
      <c r="AJ43" s="182" t="s">
        <v>314</v>
      </c>
    </row>
    <row r="44" ht="18" customHeight="1" spans="1:36">
      <c r="A44" s="182" t="s">
        <v>352</v>
      </c>
      <c r="B44" s="182" t="s">
        <v>352</v>
      </c>
      <c r="C44" s="182" t="s">
        <v>148</v>
      </c>
      <c r="D44" s="182" t="s">
        <v>351</v>
      </c>
      <c r="E44" s="183">
        <v>180.68</v>
      </c>
      <c r="F44" s="183">
        <f t="shared" si="5"/>
        <v>1667.548141</v>
      </c>
      <c r="G44" s="183">
        <f t="shared" si="0"/>
        <v>9.22929013172459</v>
      </c>
      <c r="H44" s="183">
        <v>1089.301505</v>
      </c>
      <c r="I44" s="182">
        <v>0</v>
      </c>
      <c r="J44" s="183">
        <v>0</v>
      </c>
      <c r="K44" s="182">
        <v>0</v>
      </c>
      <c r="L44" s="183">
        <v>0</v>
      </c>
      <c r="M44" s="182">
        <v>0</v>
      </c>
      <c r="N44" s="183">
        <v>394.077192</v>
      </c>
      <c r="O44" s="183">
        <v>0</v>
      </c>
      <c r="P44" s="183">
        <v>0</v>
      </c>
      <c r="Q44" s="183">
        <v>184.169444</v>
      </c>
      <c r="R44" s="183">
        <v>0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2">
        <v>0</v>
      </c>
      <c r="Y44" s="183">
        <f t="shared" si="1"/>
        <v>1483.378697</v>
      </c>
      <c r="Z44" s="183">
        <f t="shared" si="2"/>
        <v>180.68</v>
      </c>
      <c r="AA44" s="183">
        <f t="shared" si="3"/>
        <v>0</v>
      </c>
      <c r="AB44" s="183">
        <f t="shared" si="4"/>
        <v>184.169444</v>
      </c>
      <c r="AC44" s="183"/>
      <c r="AD44" s="183"/>
      <c r="AE44" s="183"/>
      <c r="AF44" s="183"/>
      <c r="AG44" s="183"/>
      <c r="AH44" s="183"/>
      <c r="AI44" s="183"/>
      <c r="AJ44" s="182" t="s">
        <v>314</v>
      </c>
    </row>
    <row r="45" ht="18" customHeight="1" spans="1:36">
      <c r="A45" s="182" t="s">
        <v>353</v>
      </c>
      <c r="B45" s="182" t="s">
        <v>353</v>
      </c>
      <c r="C45" s="182" t="s">
        <v>148</v>
      </c>
      <c r="D45" s="182" t="s">
        <v>351</v>
      </c>
      <c r="E45" s="183">
        <v>102.28</v>
      </c>
      <c r="F45" s="183">
        <f t="shared" si="5"/>
        <v>1049.27547</v>
      </c>
      <c r="G45" s="183">
        <f t="shared" si="0"/>
        <v>10.2588528549081</v>
      </c>
      <c r="H45" s="183">
        <v>0</v>
      </c>
      <c r="I45" s="182">
        <v>0</v>
      </c>
      <c r="J45" s="183">
        <v>0</v>
      </c>
      <c r="K45" s="182">
        <v>0</v>
      </c>
      <c r="L45" s="183">
        <v>414.840422</v>
      </c>
      <c r="M45" s="182">
        <v>0</v>
      </c>
      <c r="N45" s="183">
        <v>188.074001</v>
      </c>
      <c r="O45" s="183">
        <v>0</v>
      </c>
      <c r="P45" s="183">
        <v>0</v>
      </c>
      <c r="Q45" s="183">
        <v>431.26993</v>
      </c>
      <c r="R45" s="183">
        <v>15.091117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2">
        <v>0</v>
      </c>
      <c r="Y45" s="183">
        <f t="shared" si="1"/>
        <v>618.00554</v>
      </c>
      <c r="Z45" s="183">
        <f t="shared" si="2"/>
        <v>102.28</v>
      </c>
      <c r="AA45" s="183">
        <f t="shared" si="3"/>
        <v>0</v>
      </c>
      <c r="AB45" s="183">
        <f t="shared" si="4"/>
        <v>431.26993</v>
      </c>
      <c r="AC45" s="183"/>
      <c r="AD45" s="183"/>
      <c r="AE45" s="183"/>
      <c r="AF45" s="183"/>
      <c r="AG45" s="183"/>
      <c r="AH45" s="183"/>
      <c r="AI45" s="183"/>
      <c r="AJ45" s="182" t="s">
        <v>314</v>
      </c>
    </row>
    <row r="46" ht="18" customHeight="1" spans="1:36">
      <c r="A46" s="182" t="s">
        <v>354</v>
      </c>
      <c r="B46" s="182" t="s">
        <v>354</v>
      </c>
      <c r="C46" s="182" t="s">
        <v>355</v>
      </c>
      <c r="D46" s="182" t="s">
        <v>85</v>
      </c>
      <c r="E46" s="183">
        <v>90.25</v>
      </c>
      <c r="F46" s="183">
        <f t="shared" si="5"/>
        <v>543.996212</v>
      </c>
      <c r="G46" s="183">
        <f t="shared" si="0"/>
        <v>6.02765885872576</v>
      </c>
      <c r="H46" s="183">
        <v>543.996212</v>
      </c>
      <c r="I46" s="182">
        <v>0</v>
      </c>
      <c r="J46" s="183">
        <v>0</v>
      </c>
      <c r="K46" s="182">
        <v>0</v>
      </c>
      <c r="L46" s="183">
        <v>0</v>
      </c>
      <c r="M46" s="182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2">
        <v>0</v>
      </c>
      <c r="Y46" s="183">
        <f t="shared" si="1"/>
        <v>543.996212</v>
      </c>
      <c r="Z46" s="183">
        <f t="shared" si="2"/>
        <v>90.25</v>
      </c>
      <c r="AA46" s="183">
        <f t="shared" si="3"/>
        <v>0</v>
      </c>
      <c r="AB46" s="183">
        <f t="shared" si="4"/>
        <v>0</v>
      </c>
      <c r="AC46" s="183"/>
      <c r="AD46" s="183"/>
      <c r="AE46" s="183"/>
      <c r="AF46" s="183"/>
      <c r="AG46" s="183"/>
      <c r="AH46" s="183"/>
      <c r="AI46" s="183"/>
      <c r="AJ46" s="182" t="s">
        <v>314</v>
      </c>
    </row>
    <row r="47" ht="18" customHeight="1" spans="1:36">
      <c r="A47" s="182" t="s">
        <v>356</v>
      </c>
      <c r="B47" s="182" t="s">
        <v>356</v>
      </c>
      <c r="C47" s="182" t="s">
        <v>355</v>
      </c>
      <c r="D47" s="182" t="s">
        <v>85</v>
      </c>
      <c r="E47" s="183">
        <v>65</v>
      </c>
      <c r="F47" s="183">
        <f t="shared" si="5"/>
        <v>160.168009</v>
      </c>
      <c r="G47" s="183">
        <f t="shared" si="0"/>
        <v>2.46412321538462</v>
      </c>
      <c r="H47" s="183">
        <v>160.168009</v>
      </c>
      <c r="I47" s="182">
        <v>0</v>
      </c>
      <c r="J47" s="183">
        <v>0</v>
      </c>
      <c r="K47" s="182">
        <v>0</v>
      </c>
      <c r="L47" s="183">
        <v>0</v>
      </c>
      <c r="M47" s="182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2">
        <v>0</v>
      </c>
      <c r="Y47" s="183">
        <f t="shared" si="1"/>
        <v>160.168009</v>
      </c>
      <c r="Z47" s="183">
        <f t="shared" si="2"/>
        <v>65</v>
      </c>
      <c r="AA47" s="183">
        <f t="shared" si="3"/>
        <v>0</v>
      </c>
      <c r="AB47" s="183">
        <f t="shared" si="4"/>
        <v>0</v>
      </c>
      <c r="AC47" s="183"/>
      <c r="AD47" s="183"/>
      <c r="AE47" s="183"/>
      <c r="AF47" s="183"/>
      <c r="AG47" s="183"/>
      <c r="AH47" s="183"/>
      <c r="AI47" s="183"/>
      <c r="AJ47" s="182" t="s">
        <v>314</v>
      </c>
    </row>
    <row r="48" ht="18" customHeight="1" spans="1:36">
      <c r="A48" s="182" t="s">
        <v>357</v>
      </c>
      <c r="B48" s="182" t="s">
        <v>357</v>
      </c>
      <c r="C48" s="182" t="s">
        <v>138</v>
      </c>
      <c r="D48" s="182" t="s">
        <v>165</v>
      </c>
      <c r="E48" s="183">
        <v>781.81</v>
      </c>
      <c r="F48" s="183">
        <f t="shared" si="5"/>
        <v>7609.099535</v>
      </c>
      <c r="G48" s="183">
        <f t="shared" si="0"/>
        <v>9.73267102620841</v>
      </c>
      <c r="H48" s="183">
        <v>3527.688199</v>
      </c>
      <c r="I48" s="182">
        <v>0</v>
      </c>
      <c r="J48" s="183">
        <v>0</v>
      </c>
      <c r="K48" s="182">
        <v>0</v>
      </c>
      <c r="L48" s="183">
        <v>0</v>
      </c>
      <c r="M48" s="182">
        <v>0</v>
      </c>
      <c r="N48" s="183">
        <v>3318.8337</v>
      </c>
      <c r="O48" s="183">
        <v>0</v>
      </c>
      <c r="P48" s="183">
        <v>0</v>
      </c>
      <c r="Q48" s="183">
        <v>560.231754</v>
      </c>
      <c r="R48" s="183">
        <v>202.345882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2">
        <v>0</v>
      </c>
      <c r="Y48" s="183">
        <f t="shared" si="1"/>
        <v>7048.867781</v>
      </c>
      <c r="Z48" s="183">
        <f t="shared" si="2"/>
        <v>781.81</v>
      </c>
      <c r="AA48" s="183">
        <f t="shared" si="3"/>
        <v>0</v>
      </c>
      <c r="AB48" s="183">
        <f t="shared" si="4"/>
        <v>560.231754</v>
      </c>
      <c r="AC48" s="183"/>
      <c r="AD48" s="183"/>
      <c r="AE48" s="183"/>
      <c r="AF48" s="183"/>
      <c r="AG48" s="183"/>
      <c r="AH48" s="183"/>
      <c r="AI48" s="183"/>
      <c r="AJ48" s="182" t="s">
        <v>314</v>
      </c>
    </row>
    <row r="49" ht="18" customHeight="1" spans="1:36">
      <c r="A49" s="182" t="s">
        <v>358</v>
      </c>
      <c r="B49" s="182" t="s">
        <v>358</v>
      </c>
      <c r="C49" s="182" t="s">
        <v>232</v>
      </c>
      <c r="D49" s="182" t="s">
        <v>359</v>
      </c>
      <c r="E49" s="183">
        <v>93.84</v>
      </c>
      <c r="F49" s="183">
        <f t="shared" si="5"/>
        <v>509.512038</v>
      </c>
      <c r="G49" s="183">
        <f t="shared" si="0"/>
        <v>5.42958267263427</v>
      </c>
      <c r="H49" s="183">
        <v>509.512038</v>
      </c>
      <c r="I49" s="182">
        <v>0</v>
      </c>
      <c r="J49" s="183">
        <v>0</v>
      </c>
      <c r="K49" s="182">
        <v>0</v>
      </c>
      <c r="L49" s="183">
        <v>0</v>
      </c>
      <c r="M49" s="182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2">
        <v>0</v>
      </c>
      <c r="Y49" s="183">
        <f t="shared" si="1"/>
        <v>509.512038</v>
      </c>
      <c r="Z49" s="183">
        <f t="shared" si="2"/>
        <v>93.84</v>
      </c>
      <c r="AA49" s="183">
        <f t="shared" si="3"/>
        <v>0</v>
      </c>
      <c r="AB49" s="183">
        <f t="shared" si="4"/>
        <v>0</v>
      </c>
      <c r="AC49" s="183"/>
      <c r="AD49" s="183"/>
      <c r="AE49" s="183"/>
      <c r="AF49" s="183"/>
      <c r="AG49" s="183"/>
      <c r="AH49" s="183"/>
      <c r="AI49" s="183"/>
      <c r="AJ49" s="182" t="s">
        <v>314</v>
      </c>
    </row>
    <row r="50" ht="18" customHeight="1" spans="1:36">
      <c r="A50" s="182" t="s">
        <v>360</v>
      </c>
      <c r="B50" s="182" t="s">
        <v>360</v>
      </c>
      <c r="C50" s="182" t="s">
        <v>359</v>
      </c>
      <c r="D50" s="182" t="s">
        <v>361</v>
      </c>
      <c r="E50" s="183">
        <v>37.28</v>
      </c>
      <c r="F50" s="183">
        <f t="shared" si="5"/>
        <v>383.634582</v>
      </c>
      <c r="G50" s="183">
        <f t="shared" si="0"/>
        <v>10.2906271995708</v>
      </c>
      <c r="H50" s="183">
        <v>96.953156</v>
      </c>
      <c r="I50" s="182">
        <v>0</v>
      </c>
      <c r="J50" s="183">
        <v>0</v>
      </c>
      <c r="K50" s="182">
        <v>0</v>
      </c>
      <c r="L50" s="183">
        <v>0</v>
      </c>
      <c r="M50" s="182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286.681426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2">
        <v>0</v>
      </c>
      <c r="Y50" s="183">
        <f t="shared" si="1"/>
        <v>383.634582</v>
      </c>
      <c r="Z50" s="183">
        <f t="shared" si="2"/>
        <v>37.28</v>
      </c>
      <c r="AA50" s="183">
        <f t="shared" si="3"/>
        <v>0</v>
      </c>
      <c r="AB50" s="183">
        <f t="shared" si="4"/>
        <v>0</v>
      </c>
      <c r="AC50" s="183"/>
      <c r="AD50" s="183"/>
      <c r="AE50" s="183"/>
      <c r="AF50" s="183"/>
      <c r="AG50" s="183"/>
      <c r="AH50" s="183"/>
      <c r="AI50" s="183"/>
      <c r="AJ50" s="182" t="s">
        <v>314</v>
      </c>
    </row>
    <row r="51" ht="18" customHeight="1" spans="1:36">
      <c r="A51" s="182" t="s">
        <v>362</v>
      </c>
      <c r="B51" s="182" t="s">
        <v>362</v>
      </c>
      <c r="C51" s="182" t="s">
        <v>363</v>
      </c>
      <c r="D51" s="182" t="s">
        <v>357</v>
      </c>
      <c r="E51" s="183">
        <v>92.31</v>
      </c>
      <c r="F51" s="183">
        <f t="shared" si="5"/>
        <v>1481.014723</v>
      </c>
      <c r="G51" s="183">
        <f t="shared" si="0"/>
        <v>16.0439250677066</v>
      </c>
      <c r="H51" s="183">
        <v>296.878478</v>
      </c>
      <c r="I51" s="182">
        <v>0</v>
      </c>
      <c r="J51" s="183">
        <v>0</v>
      </c>
      <c r="K51" s="182">
        <v>0</v>
      </c>
      <c r="L51" s="183">
        <v>0</v>
      </c>
      <c r="M51" s="182">
        <v>0</v>
      </c>
      <c r="N51" s="183">
        <v>0</v>
      </c>
      <c r="O51" s="183">
        <v>0</v>
      </c>
      <c r="P51" s="183">
        <v>0</v>
      </c>
      <c r="Q51" s="183">
        <v>1024.872653</v>
      </c>
      <c r="R51" s="183">
        <v>159.263592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2">
        <v>0</v>
      </c>
      <c r="Y51" s="183">
        <f t="shared" si="1"/>
        <v>456.14207</v>
      </c>
      <c r="Z51" s="183">
        <f t="shared" si="2"/>
        <v>92.31</v>
      </c>
      <c r="AA51" s="183">
        <f t="shared" si="3"/>
        <v>0</v>
      </c>
      <c r="AB51" s="183">
        <f t="shared" si="4"/>
        <v>1024.872653</v>
      </c>
      <c r="AC51" s="183"/>
      <c r="AD51" s="183"/>
      <c r="AE51" s="183"/>
      <c r="AF51" s="183"/>
      <c r="AG51" s="183"/>
      <c r="AH51" s="183"/>
      <c r="AI51" s="183"/>
      <c r="AJ51" s="182" t="s">
        <v>314</v>
      </c>
    </row>
    <row r="52" ht="18" customHeight="1" spans="1:36">
      <c r="A52" s="182" t="s">
        <v>364</v>
      </c>
      <c r="B52" s="182" t="s">
        <v>364</v>
      </c>
      <c r="C52" s="182" t="s">
        <v>362</v>
      </c>
      <c r="D52" s="182" t="s">
        <v>357</v>
      </c>
      <c r="E52" s="183">
        <v>158.17</v>
      </c>
      <c r="F52" s="183">
        <f t="shared" si="5"/>
        <v>1488.900062</v>
      </c>
      <c r="G52" s="183">
        <f t="shared" si="0"/>
        <v>9.41328989062401</v>
      </c>
      <c r="H52" s="183">
        <v>809.004875</v>
      </c>
      <c r="I52" s="182">
        <v>0</v>
      </c>
      <c r="J52" s="183">
        <v>0</v>
      </c>
      <c r="K52" s="182">
        <v>0</v>
      </c>
      <c r="L52" s="183">
        <v>0</v>
      </c>
      <c r="M52" s="182">
        <v>0</v>
      </c>
      <c r="N52" s="183">
        <v>0</v>
      </c>
      <c r="O52" s="183">
        <v>0</v>
      </c>
      <c r="P52" s="183">
        <v>0</v>
      </c>
      <c r="Q52" s="183">
        <v>588.866152</v>
      </c>
      <c r="R52" s="183">
        <v>91.029035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2">
        <v>0</v>
      </c>
      <c r="Y52" s="183">
        <f t="shared" si="1"/>
        <v>900.03391</v>
      </c>
      <c r="Z52" s="183">
        <f t="shared" si="2"/>
        <v>158.17</v>
      </c>
      <c r="AA52" s="183">
        <f t="shared" si="3"/>
        <v>0</v>
      </c>
      <c r="AB52" s="183">
        <f t="shared" si="4"/>
        <v>588.866152</v>
      </c>
      <c r="AC52" s="183"/>
      <c r="AD52" s="183"/>
      <c r="AE52" s="183"/>
      <c r="AF52" s="183"/>
      <c r="AG52" s="183"/>
      <c r="AH52" s="183"/>
      <c r="AI52" s="183"/>
      <c r="AJ52" s="182" t="s">
        <v>314</v>
      </c>
    </row>
    <row r="53" ht="18" customHeight="1" spans="1:36">
      <c r="A53" s="182" t="s">
        <v>365</v>
      </c>
      <c r="B53" s="182" t="s">
        <v>365</v>
      </c>
      <c r="C53" s="182" t="s">
        <v>357</v>
      </c>
      <c r="D53" s="182" t="s">
        <v>165</v>
      </c>
      <c r="E53" s="183">
        <v>209.35</v>
      </c>
      <c r="F53" s="183">
        <f t="shared" si="5"/>
        <v>1873.434819</v>
      </c>
      <c r="G53" s="183">
        <f t="shared" si="0"/>
        <v>8.94881690470504</v>
      </c>
      <c r="H53" s="183">
        <v>1218.702899</v>
      </c>
      <c r="I53" s="182">
        <v>2</v>
      </c>
      <c r="J53" s="183">
        <v>0</v>
      </c>
      <c r="K53" s="182">
        <v>0</v>
      </c>
      <c r="L53" s="183">
        <v>0</v>
      </c>
      <c r="M53" s="182">
        <v>0</v>
      </c>
      <c r="N53" s="183">
        <v>13.721077</v>
      </c>
      <c r="O53" s="183">
        <v>0</v>
      </c>
      <c r="P53" s="183">
        <v>0</v>
      </c>
      <c r="Q53" s="183">
        <v>593.397693</v>
      </c>
      <c r="R53" s="183">
        <v>47.61315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2">
        <v>0</v>
      </c>
      <c r="Y53" s="183">
        <f t="shared" si="1"/>
        <v>1280.037126</v>
      </c>
      <c r="Z53" s="183">
        <f t="shared" si="2"/>
        <v>209.35</v>
      </c>
      <c r="AA53" s="183">
        <f t="shared" si="3"/>
        <v>0</v>
      </c>
      <c r="AB53" s="183">
        <f t="shared" si="4"/>
        <v>593.397693</v>
      </c>
      <c r="AC53" s="183"/>
      <c r="AD53" s="183"/>
      <c r="AE53" s="183"/>
      <c r="AF53" s="183"/>
      <c r="AG53" s="183"/>
      <c r="AH53" s="183"/>
      <c r="AI53" s="183"/>
      <c r="AJ53" s="182" t="s">
        <v>314</v>
      </c>
    </row>
    <row r="54" ht="18" customHeight="1" spans="1:36">
      <c r="A54" s="182" t="s">
        <v>366</v>
      </c>
      <c r="B54" s="182" t="s">
        <v>366</v>
      </c>
      <c r="C54" s="182" t="s">
        <v>357</v>
      </c>
      <c r="D54" s="182" t="s">
        <v>365</v>
      </c>
      <c r="E54" s="183">
        <v>103.95</v>
      </c>
      <c r="F54" s="183">
        <f t="shared" si="5"/>
        <v>738.692867</v>
      </c>
      <c r="G54" s="183">
        <f t="shared" si="0"/>
        <v>7.10623248677249</v>
      </c>
      <c r="H54" s="183">
        <v>410.458936</v>
      </c>
      <c r="I54" s="182">
        <v>0</v>
      </c>
      <c r="J54" s="183">
        <v>0</v>
      </c>
      <c r="K54" s="182">
        <v>0</v>
      </c>
      <c r="L54" s="183">
        <v>0</v>
      </c>
      <c r="M54" s="182">
        <v>0</v>
      </c>
      <c r="N54" s="183">
        <v>97.64203</v>
      </c>
      <c r="O54" s="183">
        <v>0</v>
      </c>
      <c r="P54" s="183">
        <v>0</v>
      </c>
      <c r="Q54" s="183">
        <v>230.591901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2">
        <v>0</v>
      </c>
      <c r="Y54" s="183">
        <f t="shared" si="1"/>
        <v>508.100966</v>
      </c>
      <c r="Z54" s="183">
        <f t="shared" si="2"/>
        <v>103.95</v>
      </c>
      <c r="AA54" s="183">
        <f t="shared" si="3"/>
        <v>0</v>
      </c>
      <c r="AB54" s="183">
        <f t="shared" si="4"/>
        <v>230.591901</v>
      </c>
      <c r="AC54" s="183"/>
      <c r="AD54" s="183"/>
      <c r="AE54" s="183"/>
      <c r="AF54" s="183"/>
      <c r="AG54" s="183"/>
      <c r="AH54" s="183"/>
      <c r="AI54" s="183"/>
      <c r="AJ54" s="182" t="s">
        <v>314</v>
      </c>
    </row>
    <row r="55" ht="18" customHeight="1" spans="1:36">
      <c r="A55" s="182" t="s">
        <v>367</v>
      </c>
      <c r="B55" s="182" t="s">
        <v>367</v>
      </c>
      <c r="C55" s="182" t="s">
        <v>365</v>
      </c>
      <c r="D55" s="182" t="s">
        <v>366</v>
      </c>
      <c r="E55" s="183">
        <v>37.59</v>
      </c>
      <c r="F55" s="183">
        <f t="shared" si="5"/>
        <v>248.000487</v>
      </c>
      <c r="G55" s="183">
        <f t="shared" si="0"/>
        <v>6.59751229050279</v>
      </c>
      <c r="H55" s="183">
        <v>248.000487</v>
      </c>
      <c r="I55" s="182">
        <v>0</v>
      </c>
      <c r="J55" s="183">
        <v>0</v>
      </c>
      <c r="K55" s="182">
        <v>0</v>
      </c>
      <c r="L55" s="183">
        <v>0</v>
      </c>
      <c r="M55" s="182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2">
        <v>0</v>
      </c>
      <c r="Y55" s="183">
        <f t="shared" si="1"/>
        <v>248.000487</v>
      </c>
      <c r="Z55" s="183">
        <f t="shared" si="2"/>
        <v>37.59</v>
      </c>
      <c r="AA55" s="183">
        <f t="shared" si="3"/>
        <v>0</v>
      </c>
      <c r="AB55" s="183">
        <f t="shared" si="4"/>
        <v>0</v>
      </c>
      <c r="AC55" s="183"/>
      <c r="AD55" s="183"/>
      <c r="AE55" s="183"/>
      <c r="AF55" s="183"/>
      <c r="AG55" s="183"/>
      <c r="AH55" s="183"/>
      <c r="AI55" s="183"/>
      <c r="AJ55" s="182" t="s">
        <v>314</v>
      </c>
    </row>
    <row r="56" ht="18" customHeight="1" spans="1:36">
      <c r="A56" s="182" t="s">
        <v>367</v>
      </c>
      <c r="B56" s="182" t="s">
        <v>367</v>
      </c>
      <c r="C56" s="182" t="s">
        <v>366</v>
      </c>
      <c r="D56" s="182" t="s">
        <v>165</v>
      </c>
      <c r="E56" s="183">
        <v>36.98</v>
      </c>
      <c r="F56" s="183">
        <f t="shared" si="5"/>
        <v>259.719466</v>
      </c>
      <c r="G56" s="183">
        <f t="shared" si="0"/>
        <v>7.02324137371552</v>
      </c>
      <c r="H56" s="183">
        <v>243.344321</v>
      </c>
      <c r="I56" s="182">
        <v>0</v>
      </c>
      <c r="J56" s="183">
        <v>0</v>
      </c>
      <c r="K56" s="182">
        <v>0</v>
      </c>
      <c r="L56" s="183">
        <v>0</v>
      </c>
      <c r="M56" s="182">
        <v>0</v>
      </c>
      <c r="N56" s="183">
        <v>16.375145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2">
        <v>0</v>
      </c>
      <c r="Y56" s="183">
        <f t="shared" si="1"/>
        <v>259.719466</v>
      </c>
      <c r="Z56" s="183">
        <f t="shared" si="2"/>
        <v>36.98</v>
      </c>
      <c r="AA56" s="183">
        <f t="shared" si="3"/>
        <v>0</v>
      </c>
      <c r="AB56" s="183">
        <f t="shared" si="4"/>
        <v>0</v>
      </c>
      <c r="AC56" s="183"/>
      <c r="AD56" s="183"/>
      <c r="AE56" s="183"/>
      <c r="AF56" s="183"/>
      <c r="AG56" s="183"/>
      <c r="AH56" s="183"/>
      <c r="AI56" s="183"/>
      <c r="AJ56" s="182" t="s">
        <v>314</v>
      </c>
    </row>
    <row r="57" ht="18" customHeight="1" spans="1:36">
      <c r="A57" s="182" t="s">
        <v>368</v>
      </c>
      <c r="B57" s="182" t="s">
        <v>368</v>
      </c>
      <c r="C57" s="182" t="s">
        <v>365</v>
      </c>
      <c r="D57" s="182" t="s">
        <v>366</v>
      </c>
      <c r="E57" s="183">
        <v>38.03</v>
      </c>
      <c r="F57" s="183">
        <f t="shared" si="5"/>
        <v>259.666808</v>
      </c>
      <c r="G57" s="183">
        <f t="shared" si="0"/>
        <v>6.82794656849855</v>
      </c>
      <c r="H57" s="183">
        <v>259.666808</v>
      </c>
      <c r="I57" s="182">
        <v>0</v>
      </c>
      <c r="J57" s="183">
        <v>0</v>
      </c>
      <c r="K57" s="182">
        <v>0</v>
      </c>
      <c r="L57" s="183">
        <v>0</v>
      </c>
      <c r="M57" s="182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2">
        <v>0</v>
      </c>
      <c r="Y57" s="183">
        <f t="shared" si="1"/>
        <v>259.666808</v>
      </c>
      <c r="Z57" s="183">
        <f t="shared" si="2"/>
        <v>38.03</v>
      </c>
      <c r="AA57" s="183">
        <f t="shared" si="3"/>
        <v>0</v>
      </c>
      <c r="AB57" s="183">
        <f t="shared" si="4"/>
        <v>0</v>
      </c>
      <c r="AC57" s="183"/>
      <c r="AD57" s="183"/>
      <c r="AE57" s="183"/>
      <c r="AF57" s="183"/>
      <c r="AG57" s="183"/>
      <c r="AH57" s="183"/>
      <c r="AI57" s="183"/>
      <c r="AJ57" s="182" t="s">
        <v>314</v>
      </c>
    </row>
    <row r="58" ht="18" customHeight="1" spans="1:36">
      <c r="A58" s="182" t="s">
        <v>368</v>
      </c>
      <c r="B58" s="182" t="s">
        <v>368</v>
      </c>
      <c r="C58" s="182" t="s">
        <v>366</v>
      </c>
      <c r="D58" s="182" t="s">
        <v>165</v>
      </c>
      <c r="E58" s="183">
        <v>44.9</v>
      </c>
      <c r="F58" s="183">
        <f t="shared" si="5"/>
        <v>260.317579</v>
      </c>
      <c r="G58" s="183">
        <f t="shared" si="0"/>
        <v>5.79771890868597</v>
      </c>
      <c r="H58" s="183">
        <v>260.317579</v>
      </c>
      <c r="I58" s="182">
        <v>0</v>
      </c>
      <c r="J58" s="183">
        <v>0</v>
      </c>
      <c r="K58" s="182">
        <v>0</v>
      </c>
      <c r="L58" s="183">
        <v>0</v>
      </c>
      <c r="M58" s="182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2">
        <v>0</v>
      </c>
      <c r="Y58" s="183">
        <f t="shared" si="1"/>
        <v>260.317579</v>
      </c>
      <c r="Z58" s="183">
        <f t="shared" si="2"/>
        <v>44.9</v>
      </c>
      <c r="AA58" s="183">
        <f t="shared" si="3"/>
        <v>0</v>
      </c>
      <c r="AB58" s="183">
        <f t="shared" si="4"/>
        <v>0</v>
      </c>
      <c r="AC58" s="183"/>
      <c r="AD58" s="183"/>
      <c r="AE58" s="183"/>
      <c r="AF58" s="183"/>
      <c r="AG58" s="183"/>
      <c r="AH58" s="183"/>
      <c r="AI58" s="183"/>
      <c r="AJ58" s="182" t="s">
        <v>314</v>
      </c>
    </row>
    <row r="59" ht="18" customHeight="1" spans="1:36">
      <c r="A59" s="182" t="s">
        <v>369</v>
      </c>
      <c r="B59" s="182" t="s">
        <v>369</v>
      </c>
      <c r="C59" s="182" t="s">
        <v>365</v>
      </c>
      <c r="D59" s="182" t="s">
        <v>366</v>
      </c>
      <c r="E59" s="183">
        <v>37.45</v>
      </c>
      <c r="F59" s="183">
        <f t="shared" si="5"/>
        <v>253.056857</v>
      </c>
      <c r="G59" s="183">
        <f t="shared" si="0"/>
        <v>6.75719244325768</v>
      </c>
      <c r="H59" s="183">
        <v>253.056857</v>
      </c>
      <c r="I59" s="182">
        <v>0</v>
      </c>
      <c r="J59" s="183">
        <v>0</v>
      </c>
      <c r="K59" s="182">
        <v>0</v>
      </c>
      <c r="L59" s="183">
        <v>0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2">
        <v>0</v>
      </c>
      <c r="Y59" s="183">
        <f t="shared" si="1"/>
        <v>253.056857</v>
      </c>
      <c r="Z59" s="183">
        <f t="shared" si="2"/>
        <v>37.45</v>
      </c>
      <c r="AA59" s="183">
        <f t="shared" si="3"/>
        <v>0</v>
      </c>
      <c r="AB59" s="183">
        <f t="shared" si="4"/>
        <v>0</v>
      </c>
      <c r="AC59" s="183"/>
      <c r="AD59" s="183"/>
      <c r="AE59" s="183"/>
      <c r="AF59" s="183"/>
      <c r="AG59" s="183"/>
      <c r="AH59" s="183"/>
      <c r="AI59" s="183"/>
      <c r="AJ59" s="182" t="s">
        <v>314</v>
      </c>
    </row>
    <row r="60" ht="18" customHeight="1" spans="1:36">
      <c r="A60" s="182" t="s">
        <v>369</v>
      </c>
      <c r="B60" s="182" t="s">
        <v>369</v>
      </c>
      <c r="C60" s="182" t="s">
        <v>366</v>
      </c>
      <c r="D60" s="182" t="s">
        <v>165</v>
      </c>
      <c r="E60" s="183">
        <v>53.15</v>
      </c>
      <c r="F60" s="183">
        <f t="shared" si="5"/>
        <v>415.180766</v>
      </c>
      <c r="G60" s="183">
        <f t="shared" si="0"/>
        <v>7.81149136406397</v>
      </c>
      <c r="H60" s="183">
        <v>310.741273</v>
      </c>
      <c r="I60" s="182">
        <v>0</v>
      </c>
      <c r="J60" s="183">
        <v>0</v>
      </c>
      <c r="K60" s="182">
        <v>0</v>
      </c>
      <c r="L60" s="183">
        <v>0</v>
      </c>
      <c r="M60" s="182">
        <v>0</v>
      </c>
      <c r="N60" s="183">
        <v>44.764001</v>
      </c>
      <c r="O60" s="183">
        <v>0</v>
      </c>
      <c r="P60" s="183">
        <v>0</v>
      </c>
      <c r="Q60" s="183">
        <v>46.076634</v>
      </c>
      <c r="R60" s="183">
        <v>13.598858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2">
        <v>0</v>
      </c>
      <c r="Y60" s="183">
        <f t="shared" si="1"/>
        <v>369.104132</v>
      </c>
      <c r="Z60" s="183">
        <f t="shared" si="2"/>
        <v>53.15</v>
      </c>
      <c r="AA60" s="183">
        <f t="shared" si="3"/>
        <v>0</v>
      </c>
      <c r="AB60" s="183">
        <f t="shared" si="4"/>
        <v>46.076634</v>
      </c>
      <c r="AC60" s="183"/>
      <c r="AD60" s="183"/>
      <c r="AE60" s="183"/>
      <c r="AF60" s="183"/>
      <c r="AG60" s="183"/>
      <c r="AH60" s="183"/>
      <c r="AI60" s="183"/>
      <c r="AJ60" s="182" t="s">
        <v>314</v>
      </c>
    </row>
    <row r="61" ht="18" customHeight="1" spans="1:36">
      <c r="A61" s="182" t="s">
        <v>370</v>
      </c>
      <c r="B61" s="182" t="s">
        <v>370</v>
      </c>
      <c r="C61" s="182" t="s">
        <v>258</v>
      </c>
      <c r="D61" s="182" t="s">
        <v>190</v>
      </c>
      <c r="E61" s="183">
        <v>397.29</v>
      </c>
      <c r="F61" s="183">
        <f t="shared" si="5"/>
        <v>6337.014482</v>
      </c>
      <c r="G61" s="183">
        <f t="shared" si="0"/>
        <v>15.9506015303682</v>
      </c>
      <c r="H61" s="183">
        <v>2756.914008</v>
      </c>
      <c r="I61" s="182">
        <v>0</v>
      </c>
      <c r="J61" s="183">
        <v>0</v>
      </c>
      <c r="K61" s="182">
        <v>0</v>
      </c>
      <c r="L61" s="183">
        <v>0</v>
      </c>
      <c r="M61" s="182">
        <v>0</v>
      </c>
      <c r="N61" s="183">
        <v>56.87016</v>
      </c>
      <c r="O61" s="183">
        <v>0</v>
      </c>
      <c r="P61" s="183">
        <v>0</v>
      </c>
      <c r="Q61" s="183">
        <v>2598.025689</v>
      </c>
      <c r="R61" s="183">
        <v>925.204625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2">
        <v>0</v>
      </c>
      <c r="Y61" s="183">
        <f t="shared" si="1"/>
        <v>3738.988793</v>
      </c>
      <c r="Z61" s="183">
        <f t="shared" si="2"/>
        <v>397.29</v>
      </c>
      <c r="AA61" s="183">
        <f t="shared" si="3"/>
        <v>0</v>
      </c>
      <c r="AB61" s="183">
        <f t="shared" si="4"/>
        <v>2598.025689</v>
      </c>
      <c r="AC61" s="183"/>
      <c r="AD61" s="183"/>
      <c r="AE61" s="183"/>
      <c r="AF61" s="183"/>
      <c r="AG61" s="183"/>
      <c r="AH61" s="183"/>
      <c r="AI61" s="183"/>
      <c r="AJ61" s="182" t="s">
        <v>314</v>
      </c>
    </row>
    <row r="62" ht="18" customHeight="1" spans="1:36">
      <c r="A62" s="182" t="s">
        <v>176</v>
      </c>
      <c r="B62" s="182" t="s">
        <v>176</v>
      </c>
      <c r="C62" s="182" t="s">
        <v>371</v>
      </c>
      <c r="D62" s="182" t="s">
        <v>169</v>
      </c>
      <c r="E62" s="183">
        <v>394.18</v>
      </c>
      <c r="F62" s="183">
        <f t="shared" si="5"/>
        <v>2743.829202</v>
      </c>
      <c r="G62" s="183">
        <f t="shared" si="0"/>
        <v>6.96085342229438</v>
      </c>
      <c r="H62" s="183">
        <v>1876.331541</v>
      </c>
      <c r="I62" s="182">
        <v>0</v>
      </c>
      <c r="J62" s="183">
        <v>0</v>
      </c>
      <c r="K62" s="182">
        <v>0</v>
      </c>
      <c r="L62" s="183">
        <v>0</v>
      </c>
      <c r="M62" s="182">
        <v>0</v>
      </c>
      <c r="N62" s="183">
        <v>117.611659</v>
      </c>
      <c r="O62" s="183">
        <v>0</v>
      </c>
      <c r="P62" s="183">
        <v>0</v>
      </c>
      <c r="Q62" s="183">
        <v>24.229695</v>
      </c>
      <c r="R62" s="183">
        <v>559.325147</v>
      </c>
      <c r="S62" s="183">
        <v>0</v>
      </c>
      <c r="T62" s="183">
        <v>16.676012</v>
      </c>
      <c r="U62" s="183">
        <v>66.489568</v>
      </c>
      <c r="V62" s="183">
        <v>0</v>
      </c>
      <c r="W62" s="183">
        <v>0</v>
      </c>
      <c r="X62" s="182">
        <v>0</v>
      </c>
      <c r="Y62" s="183">
        <f t="shared" si="1"/>
        <v>2553.268347</v>
      </c>
      <c r="Z62" s="183">
        <f t="shared" si="2"/>
        <v>394.18</v>
      </c>
      <c r="AA62" s="183">
        <f t="shared" si="3"/>
        <v>166.33116</v>
      </c>
      <c r="AB62" s="183">
        <f t="shared" si="4"/>
        <v>24.229695</v>
      </c>
      <c r="AC62" s="183"/>
      <c r="AD62" s="183"/>
      <c r="AE62" s="183"/>
      <c r="AF62" s="183"/>
      <c r="AG62" s="183"/>
      <c r="AH62" s="183"/>
      <c r="AI62" s="183"/>
      <c r="AJ62" s="182" t="s">
        <v>314</v>
      </c>
    </row>
    <row r="63" ht="18" customHeight="1" spans="1:36">
      <c r="A63" s="182" t="s">
        <v>176</v>
      </c>
      <c r="B63" s="182" t="s">
        <v>176</v>
      </c>
      <c r="C63" s="182" t="s">
        <v>169</v>
      </c>
      <c r="D63" s="182" t="s">
        <v>207</v>
      </c>
      <c r="E63" s="183">
        <v>56.03</v>
      </c>
      <c r="F63" s="183">
        <f t="shared" si="5"/>
        <v>246.548051</v>
      </c>
      <c r="G63" s="183">
        <f t="shared" si="0"/>
        <v>4.40028647153311</v>
      </c>
      <c r="H63" s="183">
        <v>246.548051</v>
      </c>
      <c r="I63" s="182">
        <v>0</v>
      </c>
      <c r="J63" s="183">
        <v>0</v>
      </c>
      <c r="K63" s="182">
        <v>0</v>
      </c>
      <c r="L63" s="183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2">
        <v>0</v>
      </c>
      <c r="Y63" s="183">
        <f t="shared" si="1"/>
        <v>246.548051</v>
      </c>
      <c r="Z63" s="183">
        <f t="shared" si="2"/>
        <v>56.03</v>
      </c>
      <c r="AA63" s="183">
        <f t="shared" si="3"/>
        <v>0</v>
      </c>
      <c r="AB63" s="183">
        <f t="shared" si="4"/>
        <v>0</v>
      </c>
      <c r="AC63" s="183"/>
      <c r="AD63" s="183"/>
      <c r="AE63" s="183"/>
      <c r="AF63" s="183"/>
      <c r="AG63" s="183"/>
      <c r="AH63" s="183"/>
      <c r="AI63" s="183"/>
      <c r="AJ63" s="182" t="s">
        <v>314</v>
      </c>
    </row>
    <row r="64" ht="18" customHeight="1" spans="1:36">
      <c r="A64" s="182" t="s">
        <v>176</v>
      </c>
      <c r="B64" s="182" t="s">
        <v>176</v>
      </c>
      <c r="C64" s="182" t="s">
        <v>207</v>
      </c>
      <c r="D64" s="182" t="s">
        <v>90</v>
      </c>
      <c r="E64" s="183">
        <v>715.46</v>
      </c>
      <c r="F64" s="183">
        <f t="shared" si="5"/>
        <v>8340.865156</v>
      </c>
      <c r="G64" s="183">
        <f t="shared" si="0"/>
        <v>11.6580453917759</v>
      </c>
      <c r="H64" s="183">
        <v>4217.87671</v>
      </c>
      <c r="I64" s="182">
        <v>0</v>
      </c>
      <c r="J64" s="183">
        <v>0</v>
      </c>
      <c r="K64" s="182">
        <v>0</v>
      </c>
      <c r="L64" s="183">
        <v>0</v>
      </c>
      <c r="M64" s="182">
        <v>0</v>
      </c>
      <c r="N64" s="183">
        <v>0</v>
      </c>
      <c r="O64" s="183">
        <v>0</v>
      </c>
      <c r="P64" s="183">
        <v>0</v>
      </c>
      <c r="Q64" s="183">
        <v>3968.709052</v>
      </c>
      <c r="R64" s="183">
        <v>0</v>
      </c>
      <c r="S64" s="183">
        <v>0</v>
      </c>
      <c r="T64" s="183">
        <v>0</v>
      </c>
      <c r="U64" s="183">
        <v>13.277027</v>
      </c>
      <c r="V64" s="183">
        <v>0</v>
      </c>
      <c r="W64" s="183">
        <v>63.86267</v>
      </c>
      <c r="X64" s="182">
        <v>0</v>
      </c>
      <c r="Y64" s="183">
        <f t="shared" si="1"/>
        <v>4217.87671</v>
      </c>
      <c r="Z64" s="183">
        <f t="shared" si="2"/>
        <v>715.46</v>
      </c>
      <c r="AA64" s="183">
        <f t="shared" si="3"/>
        <v>154.279394</v>
      </c>
      <c r="AB64" s="183">
        <f t="shared" si="4"/>
        <v>3968.709052</v>
      </c>
      <c r="AC64" s="183"/>
      <c r="AD64" s="183"/>
      <c r="AE64" s="183"/>
      <c r="AF64" s="183"/>
      <c r="AG64" s="183"/>
      <c r="AH64" s="183"/>
      <c r="AI64" s="183"/>
      <c r="AJ64" s="182" t="s">
        <v>314</v>
      </c>
    </row>
    <row r="65" ht="18" customHeight="1" spans="1:36">
      <c r="A65" s="182" t="s">
        <v>371</v>
      </c>
      <c r="B65" s="182" t="s">
        <v>371</v>
      </c>
      <c r="C65" s="182" t="s">
        <v>167</v>
      </c>
      <c r="D65" s="182" t="s">
        <v>166</v>
      </c>
      <c r="E65" s="183">
        <v>178.33</v>
      </c>
      <c r="F65" s="183">
        <f t="shared" si="5"/>
        <v>2114.353635</v>
      </c>
      <c r="G65" s="183">
        <f t="shared" si="0"/>
        <v>11.856410222621</v>
      </c>
      <c r="H65" s="183">
        <v>886.446395</v>
      </c>
      <c r="I65" s="182">
        <v>0</v>
      </c>
      <c r="J65" s="183">
        <v>0</v>
      </c>
      <c r="K65" s="182">
        <v>0</v>
      </c>
      <c r="L65" s="183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33.990855</v>
      </c>
      <c r="R65" s="183">
        <v>1193.916385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2">
        <v>0</v>
      </c>
      <c r="Y65" s="183">
        <f t="shared" si="1"/>
        <v>2080.36278</v>
      </c>
      <c r="Z65" s="183">
        <f t="shared" si="2"/>
        <v>178.33</v>
      </c>
      <c r="AA65" s="183">
        <f t="shared" si="3"/>
        <v>0</v>
      </c>
      <c r="AB65" s="183">
        <f t="shared" si="4"/>
        <v>33.990855</v>
      </c>
      <c r="AC65" s="183"/>
      <c r="AD65" s="183"/>
      <c r="AE65" s="183"/>
      <c r="AF65" s="183"/>
      <c r="AG65" s="183"/>
      <c r="AH65" s="183"/>
      <c r="AI65" s="183"/>
      <c r="AJ65" s="182" t="s">
        <v>314</v>
      </c>
    </row>
    <row r="66" ht="18" customHeight="1" spans="1:36">
      <c r="A66" s="182" t="s">
        <v>371</v>
      </c>
      <c r="B66" s="182" t="s">
        <v>371</v>
      </c>
      <c r="C66" s="182" t="s">
        <v>166</v>
      </c>
      <c r="D66" s="182" t="s">
        <v>167</v>
      </c>
      <c r="E66" s="183">
        <v>167.95</v>
      </c>
      <c r="F66" s="183">
        <f t="shared" si="5"/>
        <v>1079.55889</v>
      </c>
      <c r="G66" s="183">
        <f t="shared" si="0"/>
        <v>6.42785882703186</v>
      </c>
      <c r="H66" s="183">
        <v>891.816347</v>
      </c>
      <c r="I66" s="182">
        <v>0</v>
      </c>
      <c r="J66" s="183">
        <v>0</v>
      </c>
      <c r="K66" s="182">
        <v>0</v>
      </c>
      <c r="L66" s="183">
        <v>0</v>
      </c>
      <c r="M66" s="182">
        <v>0</v>
      </c>
      <c r="N66" s="183">
        <v>187.742543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2">
        <v>0</v>
      </c>
      <c r="Y66" s="183">
        <f t="shared" si="1"/>
        <v>1079.55889</v>
      </c>
      <c r="Z66" s="183">
        <f t="shared" si="2"/>
        <v>167.95</v>
      </c>
      <c r="AA66" s="183">
        <f t="shared" si="3"/>
        <v>0</v>
      </c>
      <c r="AB66" s="183">
        <f t="shared" si="4"/>
        <v>0</v>
      </c>
      <c r="AC66" s="183"/>
      <c r="AD66" s="183"/>
      <c r="AE66" s="183"/>
      <c r="AF66" s="183"/>
      <c r="AG66" s="183"/>
      <c r="AH66" s="183"/>
      <c r="AI66" s="183"/>
      <c r="AJ66" s="182" t="s">
        <v>314</v>
      </c>
    </row>
    <row r="67" ht="18" customHeight="1" spans="1:36">
      <c r="A67" s="182" t="s">
        <v>372</v>
      </c>
      <c r="B67" s="182" t="s">
        <v>372</v>
      </c>
      <c r="C67" s="182" t="s">
        <v>167</v>
      </c>
      <c r="D67" s="182" t="s">
        <v>166</v>
      </c>
      <c r="E67" s="183">
        <v>101.19</v>
      </c>
      <c r="F67" s="183">
        <f t="shared" si="5"/>
        <v>294.558335</v>
      </c>
      <c r="G67" s="183">
        <f t="shared" ref="G67:G130" si="6">F67/E67</f>
        <v>2.91094312679118</v>
      </c>
      <c r="H67" s="183">
        <v>294.558335</v>
      </c>
      <c r="I67" s="182">
        <v>0</v>
      </c>
      <c r="J67" s="183">
        <v>0</v>
      </c>
      <c r="K67" s="182">
        <v>0</v>
      </c>
      <c r="L67" s="183">
        <v>0</v>
      </c>
      <c r="M67" s="182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2">
        <v>0</v>
      </c>
      <c r="Y67" s="183">
        <f t="shared" ref="Y67:Y130" si="7">(H67+J67+L67+N67+R67+S67)</f>
        <v>294.558335</v>
      </c>
      <c r="Z67" s="183">
        <f t="shared" ref="Z67:Z130" si="8">E67</f>
        <v>101.19</v>
      </c>
      <c r="AA67" s="183">
        <f t="shared" ref="AA67:AA130" si="9">(T67+U67+V67+W67)*2</f>
        <v>0</v>
      </c>
      <c r="AB67" s="183">
        <f t="shared" ref="AB67:AB130" si="10">O67+P67+Q67</f>
        <v>0</v>
      </c>
      <c r="AC67" s="183"/>
      <c r="AD67" s="183"/>
      <c r="AE67" s="183"/>
      <c r="AF67" s="183"/>
      <c r="AG67" s="183"/>
      <c r="AH67" s="183"/>
      <c r="AI67" s="183"/>
      <c r="AJ67" s="182" t="s">
        <v>314</v>
      </c>
    </row>
    <row r="68" ht="18" customHeight="1" spans="1:36">
      <c r="A68" s="182" t="s">
        <v>373</v>
      </c>
      <c r="B68" s="182" t="s">
        <v>373</v>
      </c>
      <c r="C68" s="182" t="s">
        <v>176</v>
      </c>
      <c r="D68" s="182" t="s">
        <v>167</v>
      </c>
      <c r="E68" s="183">
        <v>129.75</v>
      </c>
      <c r="F68" s="183">
        <f t="shared" ref="F68:F131" si="11">H68+J68+L68+N68+O68+P68+Q68+R68+S68+AA68</f>
        <v>831.913752</v>
      </c>
      <c r="G68" s="183">
        <f t="shared" si="6"/>
        <v>6.41166668208093</v>
      </c>
      <c r="H68" s="183">
        <v>831.913752</v>
      </c>
      <c r="I68" s="182">
        <v>0</v>
      </c>
      <c r="J68" s="183">
        <v>0</v>
      </c>
      <c r="K68" s="182">
        <v>0</v>
      </c>
      <c r="L68" s="183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2">
        <v>0</v>
      </c>
      <c r="Y68" s="183">
        <f t="shared" si="7"/>
        <v>831.913752</v>
      </c>
      <c r="Z68" s="183">
        <f t="shared" si="8"/>
        <v>129.75</v>
      </c>
      <c r="AA68" s="183">
        <f t="shared" si="9"/>
        <v>0</v>
      </c>
      <c r="AB68" s="183">
        <f t="shared" si="10"/>
        <v>0</v>
      </c>
      <c r="AC68" s="183"/>
      <c r="AD68" s="183"/>
      <c r="AE68" s="183"/>
      <c r="AF68" s="183"/>
      <c r="AG68" s="183"/>
      <c r="AH68" s="183"/>
      <c r="AI68" s="183"/>
      <c r="AJ68" s="182" t="s">
        <v>314</v>
      </c>
    </row>
    <row r="69" ht="18" customHeight="1" spans="1:36">
      <c r="A69" s="182" t="s">
        <v>374</v>
      </c>
      <c r="B69" s="182" t="s">
        <v>374</v>
      </c>
      <c r="C69" s="182" t="s">
        <v>167</v>
      </c>
      <c r="D69" s="182" t="s">
        <v>168</v>
      </c>
      <c r="E69" s="183">
        <v>119.74</v>
      </c>
      <c r="F69" s="183">
        <f t="shared" si="11"/>
        <v>863.624505</v>
      </c>
      <c r="G69" s="183">
        <f t="shared" si="6"/>
        <v>7.21249795390012</v>
      </c>
      <c r="H69" s="183">
        <v>277.691746</v>
      </c>
      <c r="I69" s="182">
        <v>0</v>
      </c>
      <c r="J69" s="183">
        <v>0</v>
      </c>
      <c r="K69" s="182">
        <v>0</v>
      </c>
      <c r="L69" s="183">
        <v>0</v>
      </c>
      <c r="M69" s="182">
        <v>0</v>
      </c>
      <c r="N69" s="183">
        <v>0</v>
      </c>
      <c r="O69" s="183">
        <v>0</v>
      </c>
      <c r="P69" s="183">
        <v>0</v>
      </c>
      <c r="Q69" s="183">
        <v>109.102946</v>
      </c>
      <c r="R69" s="183">
        <v>476.829813</v>
      </c>
      <c r="S69" s="183">
        <v>0</v>
      </c>
      <c r="T69" s="183">
        <v>0</v>
      </c>
      <c r="U69" s="183">
        <v>0</v>
      </c>
      <c r="V69" s="183">
        <v>0</v>
      </c>
      <c r="W69" s="183">
        <v>0</v>
      </c>
      <c r="X69" s="182">
        <v>0</v>
      </c>
      <c r="Y69" s="183">
        <f t="shared" si="7"/>
        <v>754.521559</v>
      </c>
      <c r="Z69" s="183">
        <f t="shared" si="8"/>
        <v>119.74</v>
      </c>
      <c r="AA69" s="183">
        <f t="shared" si="9"/>
        <v>0</v>
      </c>
      <c r="AB69" s="183">
        <f t="shared" si="10"/>
        <v>109.102946</v>
      </c>
      <c r="AC69" s="183"/>
      <c r="AD69" s="183"/>
      <c r="AE69" s="183"/>
      <c r="AF69" s="183"/>
      <c r="AG69" s="183"/>
      <c r="AH69" s="183"/>
      <c r="AI69" s="183"/>
      <c r="AJ69" s="182" t="s">
        <v>314</v>
      </c>
    </row>
    <row r="70" ht="18" customHeight="1" spans="1:36">
      <c r="A70" s="182" t="s">
        <v>375</v>
      </c>
      <c r="B70" s="182" t="s">
        <v>375</v>
      </c>
      <c r="C70" s="182" t="s">
        <v>376</v>
      </c>
      <c r="D70" s="182" t="s">
        <v>377</v>
      </c>
      <c r="E70" s="183">
        <v>79.76</v>
      </c>
      <c r="F70" s="183">
        <f t="shared" si="11"/>
        <v>520.542835</v>
      </c>
      <c r="G70" s="183">
        <f t="shared" si="6"/>
        <v>6.52636453109328</v>
      </c>
      <c r="H70" s="183">
        <v>253.953484</v>
      </c>
      <c r="I70" s="182">
        <v>0</v>
      </c>
      <c r="J70" s="183">
        <v>0</v>
      </c>
      <c r="K70" s="182">
        <v>0</v>
      </c>
      <c r="L70" s="183">
        <v>0</v>
      </c>
      <c r="M70" s="182">
        <v>0</v>
      </c>
      <c r="N70" s="183">
        <v>262.285388</v>
      </c>
      <c r="O70" s="183">
        <v>0</v>
      </c>
      <c r="P70" s="183">
        <v>0</v>
      </c>
      <c r="Q70" s="183">
        <v>4.303963</v>
      </c>
      <c r="R70" s="183">
        <v>0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2">
        <v>0</v>
      </c>
      <c r="Y70" s="183">
        <f t="shared" si="7"/>
        <v>516.238872</v>
      </c>
      <c r="Z70" s="183">
        <f t="shared" si="8"/>
        <v>79.76</v>
      </c>
      <c r="AA70" s="183">
        <f t="shared" si="9"/>
        <v>0</v>
      </c>
      <c r="AB70" s="183">
        <f t="shared" si="10"/>
        <v>4.303963</v>
      </c>
      <c r="AC70" s="183"/>
      <c r="AD70" s="183"/>
      <c r="AE70" s="183"/>
      <c r="AF70" s="183"/>
      <c r="AG70" s="183"/>
      <c r="AH70" s="183"/>
      <c r="AI70" s="183"/>
      <c r="AJ70" s="182" t="s">
        <v>314</v>
      </c>
    </row>
    <row r="71" ht="18" customHeight="1" spans="1:36">
      <c r="A71" s="182" t="s">
        <v>378</v>
      </c>
      <c r="B71" s="182" t="s">
        <v>378</v>
      </c>
      <c r="C71" s="182" t="s">
        <v>376</v>
      </c>
      <c r="D71" s="182" t="s">
        <v>377</v>
      </c>
      <c r="E71" s="183">
        <v>92.86</v>
      </c>
      <c r="F71" s="183">
        <f t="shared" si="11"/>
        <v>800.976819</v>
      </c>
      <c r="G71" s="183">
        <f t="shared" si="6"/>
        <v>8.62563880034461</v>
      </c>
      <c r="H71" s="183">
        <v>335.371553</v>
      </c>
      <c r="I71" s="182">
        <v>0</v>
      </c>
      <c r="J71" s="183">
        <v>0</v>
      </c>
      <c r="K71" s="182">
        <v>0</v>
      </c>
      <c r="L71" s="183">
        <v>0</v>
      </c>
      <c r="M71" s="182">
        <v>0</v>
      </c>
      <c r="N71" s="183">
        <v>0</v>
      </c>
      <c r="O71" s="183">
        <v>0</v>
      </c>
      <c r="P71" s="183">
        <v>0</v>
      </c>
      <c r="Q71" s="183">
        <v>158.389757</v>
      </c>
      <c r="R71" s="183">
        <v>307.215509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2">
        <v>0</v>
      </c>
      <c r="Y71" s="183">
        <f t="shared" si="7"/>
        <v>642.587062</v>
      </c>
      <c r="Z71" s="183">
        <f t="shared" si="8"/>
        <v>92.86</v>
      </c>
      <c r="AA71" s="183">
        <f t="shared" si="9"/>
        <v>0</v>
      </c>
      <c r="AB71" s="183">
        <f t="shared" si="10"/>
        <v>158.389757</v>
      </c>
      <c r="AC71" s="183"/>
      <c r="AD71" s="183"/>
      <c r="AE71" s="183"/>
      <c r="AF71" s="183"/>
      <c r="AG71" s="183"/>
      <c r="AH71" s="183"/>
      <c r="AI71" s="183"/>
      <c r="AJ71" s="182" t="s">
        <v>314</v>
      </c>
    </row>
    <row r="72" ht="18" customHeight="1" spans="1:36">
      <c r="A72" s="182" t="s">
        <v>379</v>
      </c>
      <c r="B72" s="182" t="s">
        <v>379</v>
      </c>
      <c r="C72" s="182" t="s">
        <v>376</v>
      </c>
      <c r="D72" s="182" t="s">
        <v>170</v>
      </c>
      <c r="E72" s="183">
        <v>149.09</v>
      </c>
      <c r="F72" s="183">
        <f t="shared" si="11"/>
        <v>1518.639686</v>
      </c>
      <c r="G72" s="183">
        <f t="shared" si="6"/>
        <v>10.1860600040244</v>
      </c>
      <c r="H72" s="183">
        <v>573.140168</v>
      </c>
      <c r="I72" s="182">
        <v>0</v>
      </c>
      <c r="J72" s="183">
        <v>0</v>
      </c>
      <c r="K72" s="182">
        <v>0</v>
      </c>
      <c r="L72" s="183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43.530312</v>
      </c>
      <c r="R72" s="183">
        <v>901.969206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2">
        <v>0</v>
      </c>
      <c r="Y72" s="183">
        <f t="shared" si="7"/>
        <v>1475.109374</v>
      </c>
      <c r="Z72" s="183">
        <f t="shared" si="8"/>
        <v>149.09</v>
      </c>
      <c r="AA72" s="183">
        <f t="shared" si="9"/>
        <v>0</v>
      </c>
      <c r="AB72" s="183">
        <f t="shared" si="10"/>
        <v>43.530312</v>
      </c>
      <c r="AC72" s="183"/>
      <c r="AD72" s="183"/>
      <c r="AE72" s="183"/>
      <c r="AF72" s="183"/>
      <c r="AG72" s="183"/>
      <c r="AH72" s="183"/>
      <c r="AI72" s="183"/>
      <c r="AJ72" s="182" t="s">
        <v>314</v>
      </c>
    </row>
    <row r="73" ht="18" customHeight="1" spans="1:36">
      <c r="A73" s="182" t="s">
        <v>380</v>
      </c>
      <c r="B73" s="182" t="s">
        <v>380</v>
      </c>
      <c r="C73" s="182" t="s">
        <v>375</v>
      </c>
      <c r="D73" s="182" t="s">
        <v>378</v>
      </c>
      <c r="E73" s="183">
        <v>82.63</v>
      </c>
      <c r="F73" s="183">
        <f t="shared" si="11"/>
        <v>1284.688729</v>
      </c>
      <c r="G73" s="183">
        <f t="shared" si="6"/>
        <v>15.5474855258381</v>
      </c>
      <c r="H73" s="183">
        <v>790.652309</v>
      </c>
      <c r="I73" s="182">
        <v>0</v>
      </c>
      <c r="J73" s="183">
        <v>0</v>
      </c>
      <c r="K73" s="182">
        <v>0</v>
      </c>
      <c r="L73" s="183">
        <v>0</v>
      </c>
      <c r="M73" s="182">
        <v>0</v>
      </c>
      <c r="N73" s="183">
        <v>0</v>
      </c>
      <c r="O73" s="183">
        <v>0</v>
      </c>
      <c r="P73" s="183">
        <v>0</v>
      </c>
      <c r="Q73" s="183">
        <v>9.706724</v>
      </c>
      <c r="R73" s="183">
        <v>484.329696</v>
      </c>
      <c r="S73" s="183">
        <v>0</v>
      </c>
      <c r="T73" s="183">
        <v>0</v>
      </c>
      <c r="U73" s="183">
        <v>0</v>
      </c>
      <c r="V73" s="183">
        <v>0</v>
      </c>
      <c r="W73" s="183">
        <v>0</v>
      </c>
      <c r="X73" s="182">
        <v>0</v>
      </c>
      <c r="Y73" s="183">
        <f t="shared" si="7"/>
        <v>1274.982005</v>
      </c>
      <c r="Z73" s="183">
        <f t="shared" si="8"/>
        <v>82.63</v>
      </c>
      <c r="AA73" s="183">
        <f t="shared" si="9"/>
        <v>0</v>
      </c>
      <c r="AB73" s="183">
        <f t="shared" si="10"/>
        <v>9.706724</v>
      </c>
      <c r="AC73" s="183"/>
      <c r="AD73" s="183"/>
      <c r="AE73" s="183"/>
      <c r="AF73" s="183"/>
      <c r="AG73" s="183"/>
      <c r="AH73" s="183"/>
      <c r="AI73" s="183"/>
      <c r="AJ73" s="182" t="s">
        <v>314</v>
      </c>
    </row>
    <row r="74" ht="18" customHeight="1" spans="1:36">
      <c r="A74" s="182" t="s">
        <v>380</v>
      </c>
      <c r="B74" s="182" t="s">
        <v>380</v>
      </c>
      <c r="C74" s="182" t="s">
        <v>378</v>
      </c>
      <c r="D74" s="182" t="s">
        <v>379</v>
      </c>
      <c r="E74" s="183">
        <v>94.6</v>
      </c>
      <c r="F74" s="183">
        <f t="shared" si="11"/>
        <v>763.339853</v>
      </c>
      <c r="G74" s="183">
        <f t="shared" si="6"/>
        <v>8.0691316384778</v>
      </c>
      <c r="H74" s="183">
        <v>763.339853</v>
      </c>
      <c r="I74" s="182">
        <v>0</v>
      </c>
      <c r="J74" s="183">
        <v>0</v>
      </c>
      <c r="K74" s="182">
        <v>0</v>
      </c>
      <c r="L74" s="183">
        <v>0</v>
      </c>
      <c r="M74" s="182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2">
        <v>0</v>
      </c>
      <c r="Y74" s="183">
        <f t="shared" si="7"/>
        <v>763.339853</v>
      </c>
      <c r="Z74" s="183">
        <f t="shared" si="8"/>
        <v>94.6</v>
      </c>
      <c r="AA74" s="183">
        <f t="shared" si="9"/>
        <v>0</v>
      </c>
      <c r="AB74" s="183">
        <f t="shared" si="10"/>
        <v>0</v>
      </c>
      <c r="AC74" s="183"/>
      <c r="AD74" s="183"/>
      <c r="AE74" s="183"/>
      <c r="AF74" s="183"/>
      <c r="AG74" s="183"/>
      <c r="AH74" s="183"/>
      <c r="AI74" s="183"/>
      <c r="AJ74" s="182" t="s">
        <v>314</v>
      </c>
    </row>
    <row r="75" ht="18" customHeight="1" spans="1:36">
      <c r="A75" s="182" t="s">
        <v>380</v>
      </c>
      <c r="B75" s="182" t="s">
        <v>380</v>
      </c>
      <c r="C75" s="182" t="s">
        <v>379</v>
      </c>
      <c r="D75" s="182" t="s">
        <v>170</v>
      </c>
      <c r="E75" s="183">
        <v>83.35</v>
      </c>
      <c r="F75" s="183">
        <f t="shared" si="11"/>
        <v>813.506951</v>
      </c>
      <c r="G75" s="183">
        <f t="shared" si="6"/>
        <v>9.76013138572286</v>
      </c>
      <c r="H75" s="183">
        <v>335.290684</v>
      </c>
      <c r="I75" s="182">
        <v>0</v>
      </c>
      <c r="J75" s="183">
        <v>0</v>
      </c>
      <c r="K75" s="182">
        <v>0</v>
      </c>
      <c r="L75" s="183">
        <v>0</v>
      </c>
      <c r="M75" s="182">
        <v>0</v>
      </c>
      <c r="N75" s="183">
        <v>478.216267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2">
        <v>0</v>
      </c>
      <c r="Y75" s="183">
        <f t="shared" si="7"/>
        <v>813.506951</v>
      </c>
      <c r="Z75" s="183">
        <f t="shared" si="8"/>
        <v>83.35</v>
      </c>
      <c r="AA75" s="183">
        <f t="shared" si="9"/>
        <v>0</v>
      </c>
      <c r="AB75" s="183">
        <f t="shared" si="10"/>
        <v>0</v>
      </c>
      <c r="AC75" s="183"/>
      <c r="AD75" s="183"/>
      <c r="AE75" s="183"/>
      <c r="AF75" s="183"/>
      <c r="AG75" s="183"/>
      <c r="AH75" s="183"/>
      <c r="AI75" s="183"/>
      <c r="AJ75" s="182" t="s">
        <v>314</v>
      </c>
    </row>
    <row r="76" ht="18" customHeight="1" spans="1:36">
      <c r="A76" s="182" t="s">
        <v>381</v>
      </c>
      <c r="B76" s="182" t="s">
        <v>381</v>
      </c>
      <c r="C76" s="182" t="s">
        <v>379</v>
      </c>
      <c r="D76" s="182" t="s">
        <v>380</v>
      </c>
      <c r="E76" s="183">
        <v>89.3</v>
      </c>
      <c r="F76" s="183">
        <f t="shared" si="11"/>
        <v>476.851592</v>
      </c>
      <c r="G76" s="183">
        <f t="shared" si="6"/>
        <v>5.33988344904815</v>
      </c>
      <c r="H76" s="183">
        <v>440.104691</v>
      </c>
      <c r="I76" s="182">
        <v>0</v>
      </c>
      <c r="J76" s="183">
        <v>0</v>
      </c>
      <c r="K76" s="182">
        <v>0</v>
      </c>
      <c r="L76" s="183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36.746901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2">
        <v>0</v>
      </c>
      <c r="Y76" s="183">
        <f t="shared" si="7"/>
        <v>476.851592</v>
      </c>
      <c r="Z76" s="183">
        <f t="shared" si="8"/>
        <v>89.3</v>
      </c>
      <c r="AA76" s="183">
        <f t="shared" si="9"/>
        <v>0</v>
      </c>
      <c r="AB76" s="183">
        <f t="shared" si="10"/>
        <v>0</v>
      </c>
      <c r="AC76" s="183"/>
      <c r="AD76" s="183"/>
      <c r="AE76" s="183"/>
      <c r="AF76" s="183"/>
      <c r="AG76" s="183"/>
      <c r="AH76" s="183"/>
      <c r="AI76" s="183"/>
      <c r="AJ76" s="182" t="s">
        <v>314</v>
      </c>
    </row>
    <row r="77" ht="18" customHeight="1" spans="1:36">
      <c r="A77" s="182" t="s">
        <v>175</v>
      </c>
      <c r="B77" s="182" t="s">
        <v>175</v>
      </c>
      <c r="C77" s="182" t="s">
        <v>382</v>
      </c>
      <c r="D77" s="182" t="s">
        <v>171</v>
      </c>
      <c r="E77" s="183">
        <v>446.15</v>
      </c>
      <c r="F77" s="183">
        <f t="shared" si="11"/>
        <v>7739.106657</v>
      </c>
      <c r="G77" s="183">
        <f t="shared" si="6"/>
        <v>17.3464230796817</v>
      </c>
      <c r="H77" s="183">
        <v>2346.244254</v>
      </c>
      <c r="I77" s="182">
        <v>0</v>
      </c>
      <c r="J77" s="183">
        <v>0</v>
      </c>
      <c r="K77" s="182">
        <v>0</v>
      </c>
      <c r="L77" s="183">
        <v>0</v>
      </c>
      <c r="M77" s="182">
        <v>0</v>
      </c>
      <c r="N77" s="183">
        <v>0</v>
      </c>
      <c r="O77" s="183">
        <v>0</v>
      </c>
      <c r="P77" s="183">
        <v>0</v>
      </c>
      <c r="Q77" s="183">
        <v>5392.862403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0</v>
      </c>
      <c r="X77" s="182">
        <v>0</v>
      </c>
      <c r="Y77" s="183">
        <f t="shared" si="7"/>
        <v>2346.244254</v>
      </c>
      <c r="Z77" s="183">
        <f t="shared" si="8"/>
        <v>446.15</v>
      </c>
      <c r="AA77" s="183">
        <f t="shared" si="9"/>
        <v>0</v>
      </c>
      <c r="AB77" s="183">
        <f t="shared" si="10"/>
        <v>5392.862403</v>
      </c>
      <c r="AC77" s="183"/>
      <c r="AD77" s="183"/>
      <c r="AE77" s="183"/>
      <c r="AF77" s="183"/>
      <c r="AG77" s="183"/>
      <c r="AH77" s="183"/>
      <c r="AI77" s="183"/>
      <c r="AJ77" s="182" t="s">
        <v>314</v>
      </c>
    </row>
    <row r="78" ht="18" customHeight="1" spans="1:36">
      <c r="A78" s="182" t="s">
        <v>383</v>
      </c>
      <c r="B78" s="182" t="s">
        <v>383</v>
      </c>
      <c r="C78" s="182" t="s">
        <v>138</v>
      </c>
      <c r="D78" s="182" t="s">
        <v>384</v>
      </c>
      <c r="E78" s="183">
        <v>267.31</v>
      </c>
      <c r="F78" s="183">
        <f t="shared" si="11"/>
        <v>2838.011908</v>
      </c>
      <c r="G78" s="183">
        <f t="shared" si="6"/>
        <v>10.6169313082189</v>
      </c>
      <c r="H78" s="183">
        <v>1162.535178</v>
      </c>
      <c r="I78" s="182">
        <v>0</v>
      </c>
      <c r="J78" s="183">
        <v>0</v>
      </c>
      <c r="K78" s="182">
        <v>0</v>
      </c>
      <c r="L78" s="183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94.179493</v>
      </c>
      <c r="R78" s="183">
        <v>1560.223783</v>
      </c>
      <c r="S78" s="183">
        <v>0</v>
      </c>
      <c r="T78" s="183">
        <v>0</v>
      </c>
      <c r="U78" s="183">
        <v>0</v>
      </c>
      <c r="V78" s="183">
        <v>0</v>
      </c>
      <c r="W78" s="183">
        <v>10.536727</v>
      </c>
      <c r="X78" s="182">
        <v>0</v>
      </c>
      <c r="Y78" s="183">
        <f t="shared" si="7"/>
        <v>2722.758961</v>
      </c>
      <c r="Z78" s="183">
        <f t="shared" si="8"/>
        <v>267.31</v>
      </c>
      <c r="AA78" s="183">
        <f t="shared" si="9"/>
        <v>21.073454</v>
      </c>
      <c r="AB78" s="183">
        <f t="shared" si="10"/>
        <v>94.179493</v>
      </c>
      <c r="AC78" s="183"/>
      <c r="AD78" s="183"/>
      <c r="AE78" s="183"/>
      <c r="AF78" s="183"/>
      <c r="AG78" s="183"/>
      <c r="AH78" s="183"/>
      <c r="AI78" s="183"/>
      <c r="AJ78" s="182" t="s">
        <v>314</v>
      </c>
    </row>
    <row r="79" ht="18" customHeight="1" spans="1:36">
      <c r="A79" s="182" t="s">
        <v>385</v>
      </c>
      <c r="B79" s="182" t="s">
        <v>385</v>
      </c>
      <c r="C79" s="182" t="s">
        <v>383</v>
      </c>
      <c r="D79" s="182" t="s">
        <v>357</v>
      </c>
      <c r="E79" s="183">
        <v>154.81</v>
      </c>
      <c r="F79" s="183">
        <f t="shared" si="11"/>
        <v>472.303036</v>
      </c>
      <c r="G79" s="183">
        <f t="shared" si="6"/>
        <v>3.05085612040566</v>
      </c>
      <c r="H79" s="183">
        <v>0</v>
      </c>
      <c r="I79" s="182">
        <v>0</v>
      </c>
      <c r="J79" s="183">
        <v>0</v>
      </c>
      <c r="K79" s="182">
        <v>0</v>
      </c>
      <c r="L79" s="183">
        <v>451.201729</v>
      </c>
      <c r="M79" s="182">
        <v>0</v>
      </c>
      <c r="N79" s="183">
        <v>0</v>
      </c>
      <c r="O79" s="183">
        <v>0</v>
      </c>
      <c r="P79" s="183">
        <v>0</v>
      </c>
      <c r="Q79" s="183">
        <v>14.881105</v>
      </c>
      <c r="R79" s="183">
        <v>6.220202</v>
      </c>
      <c r="S79" s="183">
        <v>0</v>
      </c>
      <c r="T79" s="183">
        <v>0</v>
      </c>
      <c r="U79" s="183">
        <v>0</v>
      </c>
      <c r="V79" s="183">
        <v>0</v>
      </c>
      <c r="W79" s="183">
        <v>0</v>
      </c>
      <c r="X79" s="182">
        <v>0</v>
      </c>
      <c r="Y79" s="183">
        <f t="shared" si="7"/>
        <v>457.421931</v>
      </c>
      <c r="Z79" s="183">
        <f t="shared" si="8"/>
        <v>154.81</v>
      </c>
      <c r="AA79" s="183">
        <f t="shared" si="9"/>
        <v>0</v>
      </c>
      <c r="AB79" s="183">
        <f t="shared" si="10"/>
        <v>14.881105</v>
      </c>
      <c r="AC79" s="183"/>
      <c r="AD79" s="183"/>
      <c r="AE79" s="183"/>
      <c r="AF79" s="183"/>
      <c r="AG79" s="183"/>
      <c r="AH79" s="183"/>
      <c r="AI79" s="183"/>
      <c r="AJ79" s="182" t="s">
        <v>314</v>
      </c>
    </row>
    <row r="80" ht="18" customHeight="1" spans="1:36">
      <c r="A80" s="182" t="s">
        <v>386</v>
      </c>
      <c r="B80" s="182" t="s">
        <v>386</v>
      </c>
      <c r="C80" s="182" t="s">
        <v>138</v>
      </c>
      <c r="D80" s="182" t="s">
        <v>383</v>
      </c>
      <c r="E80" s="183">
        <v>52.27</v>
      </c>
      <c r="F80" s="183">
        <f t="shared" si="11"/>
        <v>280.743561</v>
      </c>
      <c r="G80" s="183">
        <f t="shared" si="6"/>
        <v>5.37102661182323</v>
      </c>
      <c r="H80" s="183">
        <v>114.384779</v>
      </c>
      <c r="I80" s="182">
        <v>0</v>
      </c>
      <c r="J80" s="183">
        <v>0</v>
      </c>
      <c r="K80" s="182">
        <v>0</v>
      </c>
      <c r="L80" s="183">
        <v>0</v>
      </c>
      <c r="M80" s="182">
        <v>0</v>
      </c>
      <c r="N80" s="183">
        <v>122.676131</v>
      </c>
      <c r="O80" s="183">
        <v>0</v>
      </c>
      <c r="P80" s="183">
        <v>0</v>
      </c>
      <c r="Q80" s="183">
        <v>43.682651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2">
        <v>0</v>
      </c>
      <c r="Y80" s="183">
        <f t="shared" si="7"/>
        <v>237.06091</v>
      </c>
      <c r="Z80" s="183">
        <f t="shared" si="8"/>
        <v>52.27</v>
      </c>
      <c r="AA80" s="183">
        <f t="shared" si="9"/>
        <v>0</v>
      </c>
      <c r="AB80" s="183">
        <f t="shared" si="10"/>
        <v>43.682651</v>
      </c>
      <c r="AC80" s="183"/>
      <c r="AD80" s="183"/>
      <c r="AE80" s="183"/>
      <c r="AF80" s="183"/>
      <c r="AG80" s="183"/>
      <c r="AH80" s="183"/>
      <c r="AI80" s="183"/>
      <c r="AJ80" s="182" t="s">
        <v>314</v>
      </c>
    </row>
    <row r="81" ht="18" customHeight="1" spans="1:36">
      <c r="A81" s="182" t="s">
        <v>243</v>
      </c>
      <c r="B81" s="182" t="s">
        <v>243</v>
      </c>
      <c r="C81" s="182" t="s">
        <v>387</v>
      </c>
      <c r="D81" s="182" t="s">
        <v>230</v>
      </c>
      <c r="E81" s="183">
        <v>932.56</v>
      </c>
      <c r="F81" s="183">
        <f t="shared" si="11"/>
        <v>6669.153574</v>
      </c>
      <c r="G81" s="183">
        <f t="shared" si="6"/>
        <v>7.15144717122759</v>
      </c>
      <c r="H81" s="183">
        <v>4637.693774</v>
      </c>
      <c r="I81" s="182">
        <v>0</v>
      </c>
      <c r="J81" s="183">
        <v>0</v>
      </c>
      <c r="K81" s="182">
        <v>0</v>
      </c>
      <c r="L81" s="183">
        <v>0</v>
      </c>
      <c r="M81" s="182">
        <v>0</v>
      </c>
      <c r="N81" s="183">
        <v>826.217308</v>
      </c>
      <c r="O81" s="183">
        <v>0</v>
      </c>
      <c r="P81" s="183">
        <v>0</v>
      </c>
      <c r="Q81" s="183">
        <v>1131.413514</v>
      </c>
      <c r="R81" s="183">
        <v>0</v>
      </c>
      <c r="S81" s="183">
        <v>0</v>
      </c>
      <c r="T81" s="183">
        <v>0</v>
      </c>
      <c r="U81" s="183">
        <v>36.914489</v>
      </c>
      <c r="V81" s="183">
        <v>0</v>
      </c>
      <c r="W81" s="183">
        <v>0</v>
      </c>
      <c r="X81" s="182">
        <v>0</v>
      </c>
      <c r="Y81" s="183">
        <f t="shared" si="7"/>
        <v>5463.911082</v>
      </c>
      <c r="Z81" s="183">
        <f t="shared" si="8"/>
        <v>932.56</v>
      </c>
      <c r="AA81" s="183">
        <f t="shared" si="9"/>
        <v>73.828978</v>
      </c>
      <c r="AB81" s="183">
        <f t="shared" si="10"/>
        <v>1131.413514</v>
      </c>
      <c r="AC81" s="183"/>
      <c r="AD81" s="183"/>
      <c r="AE81" s="183"/>
      <c r="AF81" s="183"/>
      <c r="AG81" s="183"/>
      <c r="AH81" s="183"/>
      <c r="AI81" s="183"/>
      <c r="AJ81" s="182" t="s">
        <v>314</v>
      </c>
    </row>
    <row r="82" ht="18" customHeight="1" spans="1:36">
      <c r="A82" s="182" t="s">
        <v>388</v>
      </c>
      <c r="B82" s="182" t="s">
        <v>388</v>
      </c>
      <c r="C82" s="182" t="s">
        <v>389</v>
      </c>
      <c r="D82" s="182" t="s">
        <v>390</v>
      </c>
      <c r="E82" s="183">
        <v>44.17</v>
      </c>
      <c r="F82" s="183">
        <f t="shared" si="11"/>
        <v>452.698678</v>
      </c>
      <c r="G82" s="183">
        <f t="shared" si="6"/>
        <v>10.2490078786507</v>
      </c>
      <c r="H82" s="183">
        <v>452.698678</v>
      </c>
      <c r="I82" s="182">
        <v>0</v>
      </c>
      <c r="J82" s="183">
        <v>0</v>
      </c>
      <c r="K82" s="182">
        <v>0</v>
      </c>
      <c r="L82" s="183">
        <v>0</v>
      </c>
      <c r="M82" s="182">
        <v>0</v>
      </c>
      <c r="N82" s="183">
        <v>0</v>
      </c>
      <c r="O82" s="183">
        <v>0</v>
      </c>
      <c r="P82" s="183">
        <v>0</v>
      </c>
      <c r="Q82" s="183">
        <v>0</v>
      </c>
      <c r="R82" s="183">
        <v>0</v>
      </c>
      <c r="S82" s="183">
        <v>0</v>
      </c>
      <c r="T82" s="183">
        <v>0</v>
      </c>
      <c r="U82" s="183">
        <v>0</v>
      </c>
      <c r="V82" s="183">
        <v>0</v>
      </c>
      <c r="W82" s="183">
        <v>0</v>
      </c>
      <c r="X82" s="182">
        <v>0</v>
      </c>
      <c r="Y82" s="183">
        <f t="shared" si="7"/>
        <v>452.698678</v>
      </c>
      <c r="Z82" s="183">
        <f t="shared" si="8"/>
        <v>44.17</v>
      </c>
      <c r="AA82" s="183">
        <f t="shared" si="9"/>
        <v>0</v>
      </c>
      <c r="AB82" s="183">
        <f t="shared" si="10"/>
        <v>0</v>
      </c>
      <c r="AC82" s="183"/>
      <c r="AD82" s="183"/>
      <c r="AE82" s="183"/>
      <c r="AF82" s="183"/>
      <c r="AG82" s="183"/>
      <c r="AH82" s="183"/>
      <c r="AI82" s="183"/>
      <c r="AJ82" s="182" t="s">
        <v>314</v>
      </c>
    </row>
    <row r="83" ht="18" customHeight="1" spans="1:36">
      <c r="A83" s="182" t="s">
        <v>391</v>
      </c>
      <c r="B83" s="182" t="s">
        <v>391</v>
      </c>
      <c r="C83" s="182" t="s">
        <v>392</v>
      </c>
      <c r="D83" s="182" t="s">
        <v>243</v>
      </c>
      <c r="E83" s="183">
        <v>36.11</v>
      </c>
      <c r="F83" s="183">
        <f t="shared" si="11"/>
        <v>85.870232</v>
      </c>
      <c r="G83" s="183">
        <f t="shared" si="6"/>
        <v>2.37801805594018</v>
      </c>
      <c r="H83" s="183">
        <v>85.870232</v>
      </c>
      <c r="I83" s="182">
        <v>0</v>
      </c>
      <c r="J83" s="183">
        <v>0</v>
      </c>
      <c r="K83" s="182">
        <v>0</v>
      </c>
      <c r="L83" s="183">
        <v>0</v>
      </c>
      <c r="M83" s="182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2">
        <v>0</v>
      </c>
      <c r="Y83" s="183">
        <f t="shared" si="7"/>
        <v>85.870232</v>
      </c>
      <c r="Z83" s="183">
        <f t="shared" si="8"/>
        <v>36.11</v>
      </c>
      <c r="AA83" s="183">
        <f t="shared" si="9"/>
        <v>0</v>
      </c>
      <c r="AB83" s="183">
        <f t="shared" si="10"/>
        <v>0</v>
      </c>
      <c r="AC83" s="183"/>
      <c r="AD83" s="183"/>
      <c r="AE83" s="183"/>
      <c r="AF83" s="183"/>
      <c r="AG83" s="183"/>
      <c r="AH83" s="183"/>
      <c r="AI83" s="183"/>
      <c r="AJ83" s="182" t="s">
        <v>314</v>
      </c>
    </row>
    <row r="84" ht="18" customHeight="1" spans="1:36">
      <c r="A84" s="182" t="s">
        <v>393</v>
      </c>
      <c r="B84" s="182" t="s">
        <v>393</v>
      </c>
      <c r="C84" s="182" t="s">
        <v>392</v>
      </c>
      <c r="D84" s="182" t="s">
        <v>243</v>
      </c>
      <c r="E84" s="183">
        <v>147.32</v>
      </c>
      <c r="F84" s="183">
        <f t="shared" si="11"/>
        <v>1210.693663</v>
      </c>
      <c r="G84" s="183">
        <f t="shared" si="6"/>
        <v>8.21812152457236</v>
      </c>
      <c r="H84" s="183">
        <v>493.189426</v>
      </c>
      <c r="I84" s="182">
        <v>0</v>
      </c>
      <c r="J84" s="183">
        <v>0</v>
      </c>
      <c r="K84" s="182">
        <v>0</v>
      </c>
      <c r="L84" s="183">
        <v>0</v>
      </c>
      <c r="M84" s="182">
        <v>0</v>
      </c>
      <c r="N84" s="183">
        <v>717.504237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2">
        <v>0</v>
      </c>
      <c r="Y84" s="183">
        <f t="shared" si="7"/>
        <v>1210.693663</v>
      </c>
      <c r="Z84" s="183">
        <f t="shared" si="8"/>
        <v>147.32</v>
      </c>
      <c r="AA84" s="183">
        <f t="shared" si="9"/>
        <v>0</v>
      </c>
      <c r="AB84" s="183">
        <f t="shared" si="10"/>
        <v>0</v>
      </c>
      <c r="AC84" s="183"/>
      <c r="AD84" s="183"/>
      <c r="AE84" s="183"/>
      <c r="AF84" s="183"/>
      <c r="AG84" s="183"/>
      <c r="AH84" s="183"/>
      <c r="AI84" s="183"/>
      <c r="AJ84" s="182" t="s">
        <v>314</v>
      </c>
    </row>
    <row r="85" ht="18" customHeight="1" spans="1:36">
      <c r="A85" s="182" t="s">
        <v>394</v>
      </c>
      <c r="B85" s="182" t="s">
        <v>394</v>
      </c>
      <c r="C85" s="182" t="s">
        <v>243</v>
      </c>
      <c r="D85" s="182" t="s">
        <v>336</v>
      </c>
      <c r="E85" s="183">
        <v>303.21</v>
      </c>
      <c r="F85" s="183">
        <f t="shared" si="11"/>
        <v>1793.078572</v>
      </c>
      <c r="G85" s="183">
        <f t="shared" si="6"/>
        <v>5.91365249167244</v>
      </c>
      <c r="H85" s="183">
        <v>1575.941987</v>
      </c>
      <c r="I85" s="182">
        <v>0</v>
      </c>
      <c r="J85" s="183">
        <v>0</v>
      </c>
      <c r="K85" s="182">
        <v>0</v>
      </c>
      <c r="L85" s="183">
        <v>0</v>
      </c>
      <c r="M85" s="182">
        <v>0</v>
      </c>
      <c r="N85" s="183">
        <v>0</v>
      </c>
      <c r="O85" s="183">
        <v>0</v>
      </c>
      <c r="P85" s="183">
        <v>0</v>
      </c>
      <c r="Q85" s="183">
        <v>217.136585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2">
        <v>0</v>
      </c>
      <c r="Y85" s="183">
        <f t="shared" si="7"/>
        <v>1575.941987</v>
      </c>
      <c r="Z85" s="183">
        <f t="shared" si="8"/>
        <v>303.21</v>
      </c>
      <c r="AA85" s="183">
        <f t="shared" si="9"/>
        <v>0</v>
      </c>
      <c r="AB85" s="183">
        <f t="shared" si="10"/>
        <v>217.136585</v>
      </c>
      <c r="AC85" s="183"/>
      <c r="AD85" s="183"/>
      <c r="AE85" s="183"/>
      <c r="AF85" s="183"/>
      <c r="AG85" s="183"/>
      <c r="AH85" s="183"/>
      <c r="AI85" s="183"/>
      <c r="AJ85" s="182" t="s">
        <v>314</v>
      </c>
    </row>
    <row r="86" ht="18" customHeight="1" spans="1:36">
      <c r="A86" s="182" t="s">
        <v>395</v>
      </c>
      <c r="B86" s="182" t="s">
        <v>395</v>
      </c>
      <c r="C86" s="182" t="s">
        <v>243</v>
      </c>
      <c r="D86" s="182" t="s">
        <v>392</v>
      </c>
      <c r="E86" s="183">
        <v>120.24</v>
      </c>
      <c r="F86" s="183">
        <f t="shared" si="11"/>
        <v>1227.674716</v>
      </c>
      <c r="G86" s="183">
        <f t="shared" si="6"/>
        <v>10.2102022288756</v>
      </c>
      <c r="H86" s="183">
        <v>974.821921</v>
      </c>
      <c r="I86" s="182">
        <v>0</v>
      </c>
      <c r="J86" s="183">
        <v>0</v>
      </c>
      <c r="K86" s="182">
        <v>0</v>
      </c>
      <c r="L86" s="183">
        <v>0</v>
      </c>
      <c r="M86" s="182">
        <v>0</v>
      </c>
      <c r="N86" s="183">
        <v>252.852795</v>
      </c>
      <c r="O86" s="183">
        <v>0</v>
      </c>
      <c r="P86" s="183">
        <v>0</v>
      </c>
      <c r="Q86" s="183">
        <v>0</v>
      </c>
      <c r="R86" s="183">
        <v>0</v>
      </c>
      <c r="S86" s="183">
        <v>0</v>
      </c>
      <c r="T86" s="183">
        <v>0</v>
      </c>
      <c r="U86" s="183">
        <v>0</v>
      </c>
      <c r="V86" s="183">
        <v>0</v>
      </c>
      <c r="W86" s="183">
        <v>0</v>
      </c>
      <c r="X86" s="182">
        <v>0</v>
      </c>
      <c r="Y86" s="183">
        <f t="shared" si="7"/>
        <v>1227.674716</v>
      </c>
      <c r="Z86" s="183">
        <f t="shared" si="8"/>
        <v>120.24</v>
      </c>
      <c r="AA86" s="183">
        <f t="shared" si="9"/>
        <v>0</v>
      </c>
      <c r="AB86" s="183">
        <f t="shared" si="10"/>
        <v>0</v>
      </c>
      <c r="AC86" s="183"/>
      <c r="AD86" s="183"/>
      <c r="AE86" s="183"/>
      <c r="AF86" s="183"/>
      <c r="AG86" s="183"/>
      <c r="AH86" s="183"/>
      <c r="AI86" s="183"/>
      <c r="AJ86" s="182" t="s">
        <v>314</v>
      </c>
    </row>
    <row r="87" ht="18" customHeight="1" spans="1:36">
      <c r="A87" s="182" t="s">
        <v>396</v>
      </c>
      <c r="B87" s="182" t="s">
        <v>396</v>
      </c>
      <c r="C87" s="182" t="s">
        <v>392</v>
      </c>
      <c r="D87" s="182" t="s">
        <v>243</v>
      </c>
      <c r="E87" s="183">
        <v>158.8</v>
      </c>
      <c r="F87" s="183">
        <f t="shared" si="11"/>
        <v>1282.612692</v>
      </c>
      <c r="G87" s="183">
        <f t="shared" si="6"/>
        <v>8.0769061209068</v>
      </c>
      <c r="H87" s="183">
        <v>750.121166</v>
      </c>
      <c r="I87" s="182">
        <v>0</v>
      </c>
      <c r="J87" s="183">
        <v>0</v>
      </c>
      <c r="K87" s="182">
        <v>0</v>
      </c>
      <c r="L87" s="183">
        <v>0</v>
      </c>
      <c r="M87" s="182">
        <v>0</v>
      </c>
      <c r="N87" s="183">
        <v>517.318699</v>
      </c>
      <c r="O87" s="183">
        <v>0</v>
      </c>
      <c r="P87" s="183">
        <v>0</v>
      </c>
      <c r="Q87" s="183">
        <v>15.172827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2">
        <v>0</v>
      </c>
      <c r="Y87" s="183">
        <f t="shared" si="7"/>
        <v>1267.439865</v>
      </c>
      <c r="Z87" s="183">
        <f t="shared" si="8"/>
        <v>158.8</v>
      </c>
      <c r="AA87" s="183">
        <f t="shared" si="9"/>
        <v>0</v>
      </c>
      <c r="AB87" s="183">
        <f t="shared" si="10"/>
        <v>15.172827</v>
      </c>
      <c r="AC87" s="183"/>
      <c r="AD87" s="183"/>
      <c r="AE87" s="183"/>
      <c r="AF87" s="183"/>
      <c r="AG87" s="183"/>
      <c r="AH87" s="183"/>
      <c r="AI87" s="183"/>
      <c r="AJ87" s="182" t="s">
        <v>314</v>
      </c>
    </row>
    <row r="88" ht="18" customHeight="1" spans="1:36">
      <c r="A88" s="182" t="s">
        <v>389</v>
      </c>
      <c r="B88" s="182" t="s">
        <v>389</v>
      </c>
      <c r="C88" s="182" t="s">
        <v>243</v>
      </c>
      <c r="D88" s="182" t="s">
        <v>242</v>
      </c>
      <c r="E88" s="183">
        <v>152.39</v>
      </c>
      <c r="F88" s="183">
        <f t="shared" si="11"/>
        <v>1451.563466</v>
      </c>
      <c r="G88" s="183">
        <f t="shared" si="6"/>
        <v>9.52531967976902</v>
      </c>
      <c r="H88" s="183">
        <v>602.429595</v>
      </c>
      <c r="I88" s="182">
        <v>0</v>
      </c>
      <c r="J88" s="183">
        <v>0</v>
      </c>
      <c r="K88" s="182">
        <v>0</v>
      </c>
      <c r="L88" s="183">
        <v>0</v>
      </c>
      <c r="M88" s="182">
        <v>0</v>
      </c>
      <c r="N88" s="183">
        <v>849.133871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2">
        <v>0</v>
      </c>
      <c r="Y88" s="183">
        <f t="shared" si="7"/>
        <v>1451.563466</v>
      </c>
      <c r="Z88" s="183">
        <f t="shared" si="8"/>
        <v>152.39</v>
      </c>
      <c r="AA88" s="183">
        <f t="shared" si="9"/>
        <v>0</v>
      </c>
      <c r="AB88" s="183">
        <f t="shared" si="10"/>
        <v>0</v>
      </c>
      <c r="AC88" s="183"/>
      <c r="AD88" s="183"/>
      <c r="AE88" s="183"/>
      <c r="AF88" s="183"/>
      <c r="AG88" s="183"/>
      <c r="AH88" s="183"/>
      <c r="AI88" s="183"/>
      <c r="AJ88" s="182" t="s">
        <v>314</v>
      </c>
    </row>
    <row r="89" ht="18" customHeight="1" spans="1:36">
      <c r="A89" s="182" t="s">
        <v>397</v>
      </c>
      <c r="B89" s="182" t="s">
        <v>397</v>
      </c>
      <c r="C89" s="182" t="s">
        <v>389</v>
      </c>
      <c r="D89" s="182" t="s">
        <v>392</v>
      </c>
      <c r="E89" s="183">
        <v>71.62</v>
      </c>
      <c r="F89" s="183">
        <f t="shared" si="11"/>
        <v>602.090557</v>
      </c>
      <c r="G89" s="183">
        <f t="shared" si="6"/>
        <v>8.40673774085451</v>
      </c>
      <c r="H89" s="183">
        <v>602.090557</v>
      </c>
      <c r="I89" s="182">
        <v>0</v>
      </c>
      <c r="J89" s="183">
        <v>0</v>
      </c>
      <c r="K89" s="182">
        <v>0</v>
      </c>
      <c r="L89" s="183">
        <v>0</v>
      </c>
      <c r="M89" s="182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2">
        <v>0</v>
      </c>
      <c r="Y89" s="183">
        <f t="shared" si="7"/>
        <v>602.090557</v>
      </c>
      <c r="Z89" s="183">
        <f t="shared" si="8"/>
        <v>71.62</v>
      </c>
      <c r="AA89" s="183">
        <f t="shared" si="9"/>
        <v>0</v>
      </c>
      <c r="AB89" s="183">
        <f t="shared" si="10"/>
        <v>0</v>
      </c>
      <c r="AC89" s="183"/>
      <c r="AD89" s="183"/>
      <c r="AE89" s="183"/>
      <c r="AF89" s="183"/>
      <c r="AG89" s="183"/>
      <c r="AH89" s="183"/>
      <c r="AI89" s="183"/>
      <c r="AJ89" s="182" t="s">
        <v>314</v>
      </c>
    </row>
    <row r="90" ht="18" customHeight="1" spans="1:36">
      <c r="A90" s="182" t="s">
        <v>390</v>
      </c>
      <c r="B90" s="182" t="s">
        <v>390</v>
      </c>
      <c r="C90" s="182" t="s">
        <v>397</v>
      </c>
      <c r="D90" s="182" t="s">
        <v>242</v>
      </c>
      <c r="E90" s="183">
        <v>103.84</v>
      </c>
      <c r="F90" s="183">
        <f t="shared" si="11"/>
        <v>1448.302663</v>
      </c>
      <c r="G90" s="183">
        <f t="shared" si="6"/>
        <v>13.9474447515408</v>
      </c>
      <c r="H90" s="183">
        <v>324.659363</v>
      </c>
      <c r="I90" s="182">
        <v>0</v>
      </c>
      <c r="J90" s="183">
        <v>0</v>
      </c>
      <c r="K90" s="182">
        <v>0</v>
      </c>
      <c r="L90" s="183">
        <v>0</v>
      </c>
      <c r="M90" s="182">
        <v>0</v>
      </c>
      <c r="N90" s="183">
        <v>1101.158823</v>
      </c>
      <c r="O90" s="183">
        <v>0</v>
      </c>
      <c r="P90" s="183">
        <v>0</v>
      </c>
      <c r="Q90" s="183">
        <v>22.484477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2">
        <v>0</v>
      </c>
      <c r="Y90" s="183">
        <f t="shared" si="7"/>
        <v>1425.818186</v>
      </c>
      <c r="Z90" s="183">
        <f t="shared" si="8"/>
        <v>103.84</v>
      </c>
      <c r="AA90" s="183">
        <f t="shared" si="9"/>
        <v>0</v>
      </c>
      <c r="AB90" s="183">
        <f t="shared" si="10"/>
        <v>22.484477</v>
      </c>
      <c r="AC90" s="183"/>
      <c r="AD90" s="183"/>
      <c r="AE90" s="183"/>
      <c r="AF90" s="183"/>
      <c r="AG90" s="183"/>
      <c r="AH90" s="183"/>
      <c r="AI90" s="183"/>
      <c r="AJ90" s="182" t="s">
        <v>314</v>
      </c>
    </row>
    <row r="91" ht="18" customHeight="1" spans="1:36">
      <c r="A91" s="182" t="s">
        <v>398</v>
      </c>
      <c r="B91" s="182" t="s">
        <v>398</v>
      </c>
      <c r="C91" s="182" t="s">
        <v>92</v>
      </c>
      <c r="D91" s="182" t="s">
        <v>399</v>
      </c>
      <c r="E91" s="183">
        <v>461.02</v>
      </c>
      <c r="F91" s="183">
        <f t="shared" si="11"/>
        <v>3854.573005</v>
      </c>
      <c r="G91" s="183">
        <f t="shared" si="6"/>
        <v>8.3609669970934</v>
      </c>
      <c r="H91" s="183">
        <v>1827.999729</v>
      </c>
      <c r="I91" s="182">
        <v>0</v>
      </c>
      <c r="J91" s="183">
        <v>0</v>
      </c>
      <c r="K91" s="182">
        <v>0</v>
      </c>
      <c r="L91" s="183">
        <v>0</v>
      </c>
      <c r="M91" s="182">
        <v>0</v>
      </c>
      <c r="N91" s="183">
        <v>0</v>
      </c>
      <c r="O91" s="183">
        <v>0</v>
      </c>
      <c r="P91" s="183">
        <v>0</v>
      </c>
      <c r="Q91" s="183">
        <v>1576.09845</v>
      </c>
      <c r="R91" s="183">
        <v>0</v>
      </c>
      <c r="S91" s="183">
        <v>450.474826</v>
      </c>
      <c r="T91" s="183">
        <v>0</v>
      </c>
      <c r="U91" s="183">
        <v>0</v>
      </c>
      <c r="V91" s="183">
        <v>0</v>
      </c>
      <c r="W91" s="183">
        <v>0</v>
      </c>
      <c r="X91" s="182">
        <v>0</v>
      </c>
      <c r="Y91" s="183">
        <f t="shared" si="7"/>
        <v>2278.474555</v>
      </c>
      <c r="Z91" s="183">
        <f t="shared" si="8"/>
        <v>461.02</v>
      </c>
      <c r="AA91" s="183">
        <f t="shared" si="9"/>
        <v>0</v>
      </c>
      <c r="AB91" s="183">
        <f t="shared" si="10"/>
        <v>1576.09845</v>
      </c>
      <c r="AC91" s="183"/>
      <c r="AD91" s="183"/>
      <c r="AE91" s="183"/>
      <c r="AF91" s="183"/>
      <c r="AG91" s="183"/>
      <c r="AH91" s="183"/>
      <c r="AI91" s="183"/>
      <c r="AJ91" s="182" t="s">
        <v>314</v>
      </c>
    </row>
    <row r="92" ht="18" customHeight="1" spans="1:36">
      <c r="A92" s="182" t="s">
        <v>400</v>
      </c>
      <c r="B92" s="182" t="s">
        <v>400</v>
      </c>
      <c r="C92" s="182" t="s">
        <v>401</v>
      </c>
      <c r="D92" s="182" t="s">
        <v>398</v>
      </c>
      <c r="E92" s="183">
        <v>62.19</v>
      </c>
      <c r="F92" s="183">
        <f t="shared" si="11"/>
        <v>345.755514</v>
      </c>
      <c r="G92" s="183">
        <f t="shared" si="6"/>
        <v>5.55966415822479</v>
      </c>
      <c r="H92" s="183">
        <v>289.189281</v>
      </c>
      <c r="I92" s="182">
        <v>0</v>
      </c>
      <c r="J92" s="183">
        <v>0</v>
      </c>
      <c r="K92" s="182">
        <v>0</v>
      </c>
      <c r="L92" s="183">
        <v>0</v>
      </c>
      <c r="M92" s="182">
        <v>0</v>
      </c>
      <c r="N92" s="183">
        <v>40.009129</v>
      </c>
      <c r="O92" s="183">
        <v>0</v>
      </c>
      <c r="P92" s="183">
        <v>0</v>
      </c>
      <c r="Q92" s="183">
        <v>16.557104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2">
        <v>0</v>
      </c>
      <c r="Y92" s="183">
        <f t="shared" si="7"/>
        <v>329.19841</v>
      </c>
      <c r="Z92" s="183">
        <f t="shared" si="8"/>
        <v>62.19</v>
      </c>
      <c r="AA92" s="183">
        <f t="shared" si="9"/>
        <v>0</v>
      </c>
      <c r="AB92" s="183">
        <f t="shared" si="10"/>
        <v>16.557104</v>
      </c>
      <c r="AC92" s="183"/>
      <c r="AD92" s="183"/>
      <c r="AE92" s="183"/>
      <c r="AF92" s="183"/>
      <c r="AG92" s="183"/>
      <c r="AH92" s="183"/>
      <c r="AI92" s="183"/>
      <c r="AJ92" s="182" t="s">
        <v>314</v>
      </c>
    </row>
    <row r="93" ht="18" customHeight="1" spans="1:36">
      <c r="A93" s="182" t="s">
        <v>402</v>
      </c>
      <c r="B93" s="182" t="s">
        <v>402</v>
      </c>
      <c r="C93" s="182" t="s">
        <v>401</v>
      </c>
      <c r="D93" s="182" t="s">
        <v>398</v>
      </c>
      <c r="E93" s="183">
        <v>75.42</v>
      </c>
      <c r="F93" s="183">
        <f t="shared" si="11"/>
        <v>452.270735</v>
      </c>
      <c r="G93" s="183">
        <f t="shared" si="6"/>
        <v>5.99669497480774</v>
      </c>
      <c r="H93" s="183">
        <v>339.621963</v>
      </c>
      <c r="I93" s="182">
        <v>0</v>
      </c>
      <c r="J93" s="183">
        <v>0</v>
      </c>
      <c r="K93" s="182">
        <v>0</v>
      </c>
      <c r="L93" s="183">
        <v>0</v>
      </c>
      <c r="M93" s="182">
        <v>0</v>
      </c>
      <c r="N93" s="183">
        <v>84.95122</v>
      </c>
      <c r="O93" s="183">
        <v>0</v>
      </c>
      <c r="P93" s="183">
        <v>0</v>
      </c>
      <c r="Q93" s="183">
        <v>27.697552</v>
      </c>
      <c r="R93" s="183">
        <v>0</v>
      </c>
      <c r="S93" s="183">
        <v>0</v>
      </c>
      <c r="T93" s="183">
        <v>0</v>
      </c>
      <c r="U93" s="183">
        <v>0</v>
      </c>
      <c r="V93" s="183">
        <v>0</v>
      </c>
      <c r="W93" s="183">
        <v>0</v>
      </c>
      <c r="X93" s="182">
        <v>0</v>
      </c>
      <c r="Y93" s="183">
        <f t="shared" si="7"/>
        <v>424.573183</v>
      </c>
      <c r="Z93" s="183">
        <f t="shared" si="8"/>
        <v>75.42</v>
      </c>
      <c r="AA93" s="183">
        <f t="shared" si="9"/>
        <v>0</v>
      </c>
      <c r="AB93" s="183">
        <f t="shared" si="10"/>
        <v>27.697552</v>
      </c>
      <c r="AC93" s="183"/>
      <c r="AD93" s="183"/>
      <c r="AE93" s="183"/>
      <c r="AF93" s="183"/>
      <c r="AG93" s="183"/>
      <c r="AH93" s="183"/>
      <c r="AI93" s="183"/>
      <c r="AJ93" s="182" t="s">
        <v>314</v>
      </c>
    </row>
    <row r="94" ht="18" customHeight="1" spans="1:36">
      <c r="A94" s="182" t="s">
        <v>399</v>
      </c>
      <c r="B94" s="182" t="s">
        <v>399</v>
      </c>
      <c r="C94" s="182" t="s">
        <v>139</v>
      </c>
      <c r="D94" s="182" t="s">
        <v>403</v>
      </c>
      <c r="E94" s="183">
        <v>386.84</v>
      </c>
      <c r="F94" s="183">
        <f t="shared" si="11"/>
        <v>3884.634955</v>
      </c>
      <c r="G94" s="183">
        <f t="shared" si="6"/>
        <v>10.0419681392824</v>
      </c>
      <c r="H94" s="183">
        <v>1815.22085</v>
      </c>
      <c r="I94" s="182">
        <v>0</v>
      </c>
      <c r="J94" s="183">
        <v>0</v>
      </c>
      <c r="K94" s="182">
        <v>0</v>
      </c>
      <c r="L94" s="183">
        <v>0</v>
      </c>
      <c r="M94" s="182">
        <v>0</v>
      </c>
      <c r="N94" s="183">
        <v>220.927092</v>
      </c>
      <c r="O94" s="183">
        <v>0</v>
      </c>
      <c r="P94" s="183">
        <v>0</v>
      </c>
      <c r="Q94" s="183">
        <v>1260.530887</v>
      </c>
      <c r="R94" s="183">
        <v>0</v>
      </c>
      <c r="S94" s="183">
        <v>587.956126</v>
      </c>
      <c r="T94" s="183">
        <v>0</v>
      </c>
      <c r="U94" s="183">
        <v>0</v>
      </c>
      <c r="V94" s="183">
        <v>0</v>
      </c>
      <c r="W94" s="183">
        <v>0</v>
      </c>
      <c r="X94" s="182">
        <v>0</v>
      </c>
      <c r="Y94" s="183">
        <f t="shared" si="7"/>
        <v>2624.104068</v>
      </c>
      <c r="Z94" s="183">
        <f t="shared" si="8"/>
        <v>386.84</v>
      </c>
      <c r="AA94" s="183">
        <f t="shared" si="9"/>
        <v>0</v>
      </c>
      <c r="AB94" s="183">
        <f t="shared" si="10"/>
        <v>1260.530887</v>
      </c>
      <c r="AC94" s="183"/>
      <c r="AD94" s="183"/>
      <c r="AE94" s="183"/>
      <c r="AF94" s="183"/>
      <c r="AG94" s="183"/>
      <c r="AH94" s="183"/>
      <c r="AI94" s="183"/>
      <c r="AJ94" s="182" t="s">
        <v>314</v>
      </c>
    </row>
    <row r="95" ht="18" customHeight="1" spans="1:36">
      <c r="A95" s="182" t="s">
        <v>401</v>
      </c>
      <c r="B95" s="182" t="s">
        <v>401</v>
      </c>
      <c r="C95" s="182" t="s">
        <v>404</v>
      </c>
      <c r="D95" s="182" t="s">
        <v>399</v>
      </c>
      <c r="E95" s="183">
        <v>96.22</v>
      </c>
      <c r="F95" s="183">
        <f t="shared" si="11"/>
        <v>1281.109134</v>
      </c>
      <c r="G95" s="183">
        <f t="shared" si="6"/>
        <v>13.3143747038038</v>
      </c>
      <c r="H95" s="183">
        <v>432.055803</v>
      </c>
      <c r="I95" s="182">
        <v>0</v>
      </c>
      <c r="J95" s="183">
        <v>0</v>
      </c>
      <c r="K95" s="182">
        <v>0</v>
      </c>
      <c r="L95" s="183">
        <v>0</v>
      </c>
      <c r="M95" s="182">
        <v>0</v>
      </c>
      <c r="N95" s="183">
        <v>849.053331</v>
      </c>
      <c r="O95" s="183">
        <v>0</v>
      </c>
      <c r="P95" s="183">
        <v>0</v>
      </c>
      <c r="Q95" s="183">
        <v>0</v>
      </c>
      <c r="R95" s="183">
        <v>0</v>
      </c>
      <c r="S95" s="183">
        <v>0</v>
      </c>
      <c r="T95" s="183">
        <v>0</v>
      </c>
      <c r="U95" s="183">
        <v>0</v>
      </c>
      <c r="V95" s="183">
        <v>0</v>
      </c>
      <c r="W95" s="183">
        <v>0</v>
      </c>
      <c r="X95" s="182">
        <v>0</v>
      </c>
      <c r="Y95" s="183">
        <f t="shared" si="7"/>
        <v>1281.109134</v>
      </c>
      <c r="Z95" s="183">
        <f t="shared" si="8"/>
        <v>96.22</v>
      </c>
      <c r="AA95" s="183">
        <f t="shared" si="9"/>
        <v>0</v>
      </c>
      <c r="AB95" s="183">
        <f t="shared" si="10"/>
        <v>0</v>
      </c>
      <c r="AC95" s="183"/>
      <c r="AD95" s="183"/>
      <c r="AE95" s="183"/>
      <c r="AF95" s="183"/>
      <c r="AG95" s="183"/>
      <c r="AH95" s="183"/>
      <c r="AI95" s="183"/>
      <c r="AJ95" s="182" t="s">
        <v>314</v>
      </c>
    </row>
    <row r="96" ht="18" customHeight="1" spans="1:36">
      <c r="A96" s="182" t="s">
        <v>404</v>
      </c>
      <c r="B96" s="182" t="s">
        <v>404</v>
      </c>
      <c r="C96" s="182" t="s">
        <v>398</v>
      </c>
      <c r="D96" s="182" t="s">
        <v>399</v>
      </c>
      <c r="E96" s="183">
        <v>182.34</v>
      </c>
      <c r="F96" s="183">
        <f t="shared" si="11"/>
        <v>1708.428372</v>
      </c>
      <c r="G96" s="183">
        <f t="shared" si="6"/>
        <v>9.36946567949983</v>
      </c>
      <c r="H96" s="183">
        <v>660.163902</v>
      </c>
      <c r="I96" s="182">
        <v>0</v>
      </c>
      <c r="J96" s="183">
        <v>0</v>
      </c>
      <c r="K96" s="182">
        <v>0</v>
      </c>
      <c r="L96" s="183">
        <v>0</v>
      </c>
      <c r="M96" s="182">
        <v>0</v>
      </c>
      <c r="N96" s="183">
        <v>304.418162</v>
      </c>
      <c r="O96" s="183">
        <v>0</v>
      </c>
      <c r="P96" s="183">
        <v>0</v>
      </c>
      <c r="Q96" s="183">
        <v>743.846308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2">
        <v>0</v>
      </c>
      <c r="Y96" s="183">
        <f t="shared" si="7"/>
        <v>964.582064</v>
      </c>
      <c r="Z96" s="183">
        <f t="shared" si="8"/>
        <v>182.34</v>
      </c>
      <c r="AA96" s="183">
        <f t="shared" si="9"/>
        <v>0</v>
      </c>
      <c r="AB96" s="183">
        <f t="shared" si="10"/>
        <v>743.846308</v>
      </c>
      <c r="AC96" s="183"/>
      <c r="AD96" s="183"/>
      <c r="AE96" s="183"/>
      <c r="AF96" s="183"/>
      <c r="AG96" s="183"/>
      <c r="AH96" s="183"/>
      <c r="AI96" s="183"/>
      <c r="AJ96" s="182" t="s">
        <v>314</v>
      </c>
    </row>
    <row r="97" ht="18" customHeight="1" spans="1:36">
      <c r="A97" s="182" t="s">
        <v>405</v>
      </c>
      <c r="B97" s="182" t="s">
        <v>405</v>
      </c>
      <c r="C97" s="182" t="s">
        <v>399</v>
      </c>
      <c r="D97" s="182" t="s">
        <v>406</v>
      </c>
      <c r="E97" s="183">
        <v>282.19</v>
      </c>
      <c r="F97" s="183">
        <f t="shared" si="11"/>
        <v>1629.862401</v>
      </c>
      <c r="G97" s="183">
        <f t="shared" si="6"/>
        <v>5.77576243311244</v>
      </c>
      <c r="H97" s="183">
        <v>1375.638345</v>
      </c>
      <c r="I97" s="182">
        <v>0</v>
      </c>
      <c r="J97" s="183">
        <v>0</v>
      </c>
      <c r="K97" s="182">
        <v>0</v>
      </c>
      <c r="L97" s="183">
        <v>0</v>
      </c>
      <c r="M97" s="182">
        <v>0</v>
      </c>
      <c r="N97" s="183">
        <v>0</v>
      </c>
      <c r="O97" s="183">
        <v>0</v>
      </c>
      <c r="P97" s="183">
        <v>0</v>
      </c>
      <c r="Q97" s="183">
        <v>148.379126</v>
      </c>
      <c r="R97" s="183">
        <v>105.84493</v>
      </c>
      <c r="S97" s="183">
        <v>0</v>
      </c>
      <c r="T97" s="183">
        <v>0</v>
      </c>
      <c r="U97" s="183">
        <v>0</v>
      </c>
      <c r="V97" s="183">
        <v>0</v>
      </c>
      <c r="W97" s="183">
        <v>0</v>
      </c>
      <c r="X97" s="182">
        <v>0</v>
      </c>
      <c r="Y97" s="183">
        <f t="shared" si="7"/>
        <v>1481.483275</v>
      </c>
      <c r="Z97" s="183">
        <f t="shared" si="8"/>
        <v>282.19</v>
      </c>
      <c r="AA97" s="183">
        <f t="shared" si="9"/>
        <v>0</v>
      </c>
      <c r="AB97" s="183">
        <f t="shared" si="10"/>
        <v>148.379126</v>
      </c>
      <c r="AC97" s="183"/>
      <c r="AD97" s="183"/>
      <c r="AE97" s="183"/>
      <c r="AF97" s="183"/>
      <c r="AG97" s="183"/>
      <c r="AH97" s="183"/>
      <c r="AI97" s="183"/>
      <c r="AJ97" s="182" t="s">
        <v>314</v>
      </c>
    </row>
    <row r="98" ht="18" customHeight="1" spans="1:36">
      <c r="A98" s="182" t="s">
        <v>407</v>
      </c>
      <c r="B98" s="182" t="s">
        <v>407</v>
      </c>
      <c r="C98" s="182" t="s">
        <v>404</v>
      </c>
      <c r="D98" s="182" t="s">
        <v>401</v>
      </c>
      <c r="E98" s="183">
        <v>54.49</v>
      </c>
      <c r="F98" s="183">
        <f t="shared" si="11"/>
        <v>324.671013</v>
      </c>
      <c r="G98" s="183">
        <f t="shared" si="6"/>
        <v>5.95835957056341</v>
      </c>
      <c r="H98" s="183">
        <v>223.658262</v>
      </c>
      <c r="I98" s="182">
        <v>0</v>
      </c>
      <c r="J98" s="183">
        <v>0</v>
      </c>
      <c r="K98" s="182">
        <v>0</v>
      </c>
      <c r="L98" s="183">
        <v>0</v>
      </c>
      <c r="M98" s="182">
        <v>0</v>
      </c>
      <c r="N98" s="183">
        <v>70.967757</v>
      </c>
      <c r="O98" s="183">
        <v>0</v>
      </c>
      <c r="P98" s="183">
        <v>0</v>
      </c>
      <c r="Q98" s="183">
        <v>30.044994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2">
        <v>0</v>
      </c>
      <c r="Y98" s="183">
        <f t="shared" si="7"/>
        <v>294.626019</v>
      </c>
      <c r="Z98" s="183">
        <f t="shared" si="8"/>
        <v>54.49</v>
      </c>
      <c r="AA98" s="183">
        <f t="shared" si="9"/>
        <v>0</v>
      </c>
      <c r="AB98" s="183">
        <f t="shared" si="10"/>
        <v>30.044994</v>
      </c>
      <c r="AC98" s="183"/>
      <c r="AD98" s="183"/>
      <c r="AE98" s="183"/>
      <c r="AF98" s="183"/>
      <c r="AG98" s="183"/>
      <c r="AH98" s="183"/>
      <c r="AI98" s="183"/>
      <c r="AJ98" s="182" t="s">
        <v>314</v>
      </c>
    </row>
    <row r="99" ht="18" customHeight="1" spans="1:36">
      <c r="A99" s="182" t="s">
        <v>408</v>
      </c>
      <c r="B99" s="182" t="s">
        <v>408</v>
      </c>
      <c r="C99" s="182" t="s">
        <v>404</v>
      </c>
      <c r="D99" s="182" t="s">
        <v>401</v>
      </c>
      <c r="E99" s="183">
        <v>54.63</v>
      </c>
      <c r="F99" s="183">
        <f t="shared" si="11"/>
        <v>349.492116</v>
      </c>
      <c r="G99" s="183">
        <f t="shared" si="6"/>
        <v>6.39743942888523</v>
      </c>
      <c r="H99" s="183">
        <v>258.209552</v>
      </c>
      <c r="I99" s="182">
        <v>0</v>
      </c>
      <c r="J99" s="183">
        <v>0</v>
      </c>
      <c r="K99" s="182">
        <v>0</v>
      </c>
      <c r="L99" s="183">
        <v>0</v>
      </c>
      <c r="M99" s="182">
        <v>0</v>
      </c>
      <c r="N99" s="183">
        <v>63.115809</v>
      </c>
      <c r="O99" s="183">
        <v>0</v>
      </c>
      <c r="P99" s="183">
        <v>0</v>
      </c>
      <c r="Q99" s="183">
        <v>28.166755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2">
        <v>0</v>
      </c>
      <c r="Y99" s="183">
        <f t="shared" si="7"/>
        <v>321.325361</v>
      </c>
      <c r="Z99" s="183">
        <f t="shared" si="8"/>
        <v>54.63</v>
      </c>
      <c r="AA99" s="183">
        <f t="shared" si="9"/>
        <v>0</v>
      </c>
      <c r="AB99" s="183">
        <f t="shared" si="10"/>
        <v>28.166755</v>
      </c>
      <c r="AC99" s="183"/>
      <c r="AD99" s="183"/>
      <c r="AE99" s="183"/>
      <c r="AF99" s="183"/>
      <c r="AG99" s="183"/>
      <c r="AH99" s="183"/>
      <c r="AI99" s="183"/>
      <c r="AJ99" s="182" t="s">
        <v>314</v>
      </c>
    </row>
    <row r="100" ht="18" customHeight="1" spans="1:36">
      <c r="A100" s="182" t="s">
        <v>409</v>
      </c>
      <c r="B100" s="182" t="s">
        <v>409</v>
      </c>
      <c r="C100" s="182" t="s">
        <v>404</v>
      </c>
      <c r="D100" s="182" t="s">
        <v>401</v>
      </c>
      <c r="E100" s="183">
        <v>53.81</v>
      </c>
      <c r="F100" s="183">
        <f t="shared" si="11"/>
        <v>321.112014</v>
      </c>
      <c r="G100" s="183">
        <f t="shared" si="6"/>
        <v>5.96751559189742</v>
      </c>
      <c r="H100" s="183">
        <v>247.452163</v>
      </c>
      <c r="I100" s="182">
        <v>0</v>
      </c>
      <c r="J100" s="183">
        <v>0</v>
      </c>
      <c r="K100" s="182">
        <v>0</v>
      </c>
      <c r="L100" s="183">
        <v>0</v>
      </c>
      <c r="M100" s="182">
        <v>0</v>
      </c>
      <c r="N100" s="183">
        <v>54.455555</v>
      </c>
      <c r="O100" s="183">
        <v>0</v>
      </c>
      <c r="P100" s="183">
        <v>0</v>
      </c>
      <c r="Q100" s="183">
        <v>19.204296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2">
        <v>0</v>
      </c>
      <c r="Y100" s="183">
        <f t="shared" si="7"/>
        <v>301.907718</v>
      </c>
      <c r="Z100" s="183">
        <f t="shared" si="8"/>
        <v>53.81</v>
      </c>
      <c r="AA100" s="183">
        <f t="shared" si="9"/>
        <v>0</v>
      </c>
      <c r="AB100" s="183">
        <f t="shared" si="10"/>
        <v>19.204296</v>
      </c>
      <c r="AC100" s="183"/>
      <c r="AD100" s="183"/>
      <c r="AE100" s="183"/>
      <c r="AF100" s="183"/>
      <c r="AG100" s="183"/>
      <c r="AH100" s="183"/>
      <c r="AI100" s="183"/>
      <c r="AJ100" s="182" t="s">
        <v>314</v>
      </c>
    </row>
    <row r="101" ht="18" customHeight="1" spans="1:36">
      <c r="A101" s="182" t="s">
        <v>410</v>
      </c>
      <c r="B101" s="182" t="s">
        <v>410</v>
      </c>
      <c r="C101" s="182" t="s">
        <v>401</v>
      </c>
      <c r="D101" s="182" t="s">
        <v>398</v>
      </c>
      <c r="E101" s="183">
        <v>48.88</v>
      </c>
      <c r="F101" s="183">
        <f t="shared" si="11"/>
        <v>235.963213</v>
      </c>
      <c r="G101" s="183">
        <f t="shared" si="6"/>
        <v>4.82739797463175</v>
      </c>
      <c r="H101" s="183">
        <v>228.207014</v>
      </c>
      <c r="I101" s="182">
        <v>0</v>
      </c>
      <c r="J101" s="183">
        <v>0</v>
      </c>
      <c r="K101" s="182">
        <v>0</v>
      </c>
      <c r="L101" s="183">
        <v>0</v>
      </c>
      <c r="M101" s="182">
        <v>0</v>
      </c>
      <c r="N101" s="183">
        <v>4.599571</v>
      </c>
      <c r="O101" s="183">
        <v>0</v>
      </c>
      <c r="P101" s="183">
        <v>0</v>
      </c>
      <c r="Q101" s="183">
        <v>3.156628</v>
      </c>
      <c r="R101" s="183">
        <v>0</v>
      </c>
      <c r="S101" s="183">
        <v>0</v>
      </c>
      <c r="T101" s="183">
        <v>0</v>
      </c>
      <c r="U101" s="183">
        <v>0</v>
      </c>
      <c r="V101" s="183">
        <v>0</v>
      </c>
      <c r="W101" s="183">
        <v>0</v>
      </c>
      <c r="X101" s="182">
        <v>0</v>
      </c>
      <c r="Y101" s="183">
        <f t="shared" si="7"/>
        <v>232.806585</v>
      </c>
      <c r="Z101" s="183">
        <f t="shared" si="8"/>
        <v>48.88</v>
      </c>
      <c r="AA101" s="183">
        <f t="shared" si="9"/>
        <v>0</v>
      </c>
      <c r="AB101" s="183">
        <f t="shared" si="10"/>
        <v>3.156628</v>
      </c>
      <c r="AC101" s="183"/>
      <c r="AD101" s="183"/>
      <c r="AE101" s="183"/>
      <c r="AF101" s="183"/>
      <c r="AG101" s="183"/>
      <c r="AH101" s="183"/>
      <c r="AI101" s="183"/>
      <c r="AJ101" s="182" t="s">
        <v>314</v>
      </c>
    </row>
    <row r="102" ht="18" customHeight="1" spans="1:36">
      <c r="A102" s="182" t="s">
        <v>411</v>
      </c>
      <c r="B102" s="182" t="s">
        <v>411</v>
      </c>
      <c r="C102" s="182" t="s">
        <v>168</v>
      </c>
      <c r="D102" s="182" t="s">
        <v>412</v>
      </c>
      <c r="E102" s="183">
        <v>142.81</v>
      </c>
      <c r="F102" s="183">
        <f t="shared" si="11"/>
        <v>306.520036</v>
      </c>
      <c r="G102" s="183">
        <f t="shared" si="6"/>
        <v>2.14634854702052</v>
      </c>
      <c r="H102" s="183">
        <v>245.833454</v>
      </c>
      <c r="I102" s="182">
        <v>0</v>
      </c>
      <c r="J102" s="183">
        <v>0</v>
      </c>
      <c r="K102" s="182">
        <v>0</v>
      </c>
      <c r="L102" s="183">
        <v>0</v>
      </c>
      <c r="M102" s="182">
        <v>0</v>
      </c>
      <c r="N102" s="183">
        <v>0</v>
      </c>
      <c r="O102" s="183">
        <v>0</v>
      </c>
      <c r="P102" s="183">
        <v>0</v>
      </c>
      <c r="Q102" s="183">
        <v>0</v>
      </c>
      <c r="R102" s="183">
        <v>0</v>
      </c>
      <c r="S102" s="183">
        <v>0</v>
      </c>
      <c r="T102" s="183">
        <v>0</v>
      </c>
      <c r="U102" s="183">
        <v>30.343291</v>
      </c>
      <c r="V102" s="183">
        <v>0</v>
      </c>
      <c r="W102" s="183">
        <v>0</v>
      </c>
      <c r="X102" s="182">
        <v>0</v>
      </c>
      <c r="Y102" s="183">
        <f t="shared" si="7"/>
        <v>245.833454</v>
      </c>
      <c r="Z102" s="183">
        <f t="shared" si="8"/>
        <v>142.81</v>
      </c>
      <c r="AA102" s="183">
        <f t="shared" si="9"/>
        <v>60.686582</v>
      </c>
      <c r="AB102" s="183">
        <f t="shared" si="10"/>
        <v>0</v>
      </c>
      <c r="AC102" s="183"/>
      <c r="AD102" s="183"/>
      <c r="AE102" s="183"/>
      <c r="AF102" s="183"/>
      <c r="AG102" s="183"/>
      <c r="AH102" s="183"/>
      <c r="AI102" s="183"/>
      <c r="AJ102" s="182" t="s">
        <v>314</v>
      </c>
    </row>
    <row r="103" ht="18" customHeight="1" spans="1:36">
      <c r="A103" s="182" t="s">
        <v>413</v>
      </c>
      <c r="B103" s="182" t="s">
        <v>413</v>
      </c>
      <c r="C103" s="182" t="s">
        <v>168</v>
      </c>
      <c r="D103" s="182" t="s">
        <v>411</v>
      </c>
      <c r="E103" s="183">
        <v>56.43</v>
      </c>
      <c r="F103" s="183">
        <f t="shared" si="11"/>
        <v>274.615969</v>
      </c>
      <c r="G103" s="183">
        <f t="shared" si="6"/>
        <v>4.86648890660996</v>
      </c>
      <c r="H103" s="183">
        <v>182.748345</v>
      </c>
      <c r="I103" s="182">
        <v>0</v>
      </c>
      <c r="J103" s="183">
        <v>0</v>
      </c>
      <c r="K103" s="182">
        <v>0</v>
      </c>
      <c r="L103" s="183">
        <v>0</v>
      </c>
      <c r="M103" s="182">
        <v>0</v>
      </c>
      <c r="N103" s="183">
        <v>0</v>
      </c>
      <c r="O103" s="183">
        <v>0</v>
      </c>
      <c r="P103" s="183">
        <v>0</v>
      </c>
      <c r="Q103" s="183">
        <v>0</v>
      </c>
      <c r="R103" s="183">
        <v>0</v>
      </c>
      <c r="S103" s="183">
        <v>0</v>
      </c>
      <c r="T103" s="183">
        <v>0</v>
      </c>
      <c r="U103" s="183">
        <v>45.933812</v>
      </c>
      <c r="V103" s="183">
        <v>0</v>
      </c>
      <c r="W103" s="183">
        <v>0</v>
      </c>
      <c r="X103" s="182">
        <v>0</v>
      </c>
      <c r="Y103" s="183">
        <f t="shared" si="7"/>
        <v>182.748345</v>
      </c>
      <c r="Z103" s="183">
        <f t="shared" si="8"/>
        <v>56.43</v>
      </c>
      <c r="AA103" s="183">
        <f t="shared" si="9"/>
        <v>91.867624</v>
      </c>
      <c r="AB103" s="183">
        <f t="shared" si="10"/>
        <v>0</v>
      </c>
      <c r="AC103" s="183"/>
      <c r="AD103" s="183"/>
      <c r="AE103" s="183"/>
      <c r="AF103" s="183"/>
      <c r="AG103" s="183"/>
      <c r="AH103" s="183"/>
      <c r="AI103" s="183"/>
      <c r="AJ103" s="182" t="s">
        <v>314</v>
      </c>
    </row>
    <row r="104" ht="18" customHeight="1" spans="1:36">
      <c r="A104" s="182" t="s">
        <v>414</v>
      </c>
      <c r="B104" s="182" t="s">
        <v>414</v>
      </c>
      <c r="C104" s="182" t="s">
        <v>178</v>
      </c>
      <c r="D104" s="182" t="s">
        <v>168</v>
      </c>
      <c r="E104" s="183">
        <v>111.75</v>
      </c>
      <c r="F104" s="183">
        <f t="shared" si="11"/>
        <v>1201.483285</v>
      </c>
      <c r="G104" s="183">
        <f t="shared" si="6"/>
        <v>10.7515282774049</v>
      </c>
      <c r="H104" s="183">
        <v>483.082708</v>
      </c>
      <c r="I104" s="182">
        <v>0</v>
      </c>
      <c r="J104" s="183">
        <v>0</v>
      </c>
      <c r="K104" s="182">
        <v>0</v>
      </c>
      <c r="L104" s="183">
        <v>0</v>
      </c>
      <c r="M104" s="182">
        <v>0</v>
      </c>
      <c r="N104" s="183">
        <v>379.25505</v>
      </c>
      <c r="O104" s="183">
        <v>0</v>
      </c>
      <c r="P104" s="183">
        <v>0</v>
      </c>
      <c r="Q104" s="183">
        <v>101.052235</v>
      </c>
      <c r="R104" s="183">
        <v>238.093292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2">
        <v>0</v>
      </c>
      <c r="Y104" s="183">
        <f t="shared" si="7"/>
        <v>1100.43105</v>
      </c>
      <c r="Z104" s="183">
        <f t="shared" si="8"/>
        <v>111.75</v>
      </c>
      <c r="AA104" s="183">
        <f t="shared" si="9"/>
        <v>0</v>
      </c>
      <c r="AB104" s="183">
        <f t="shared" si="10"/>
        <v>101.052235</v>
      </c>
      <c r="AC104" s="183"/>
      <c r="AD104" s="183"/>
      <c r="AE104" s="183"/>
      <c r="AF104" s="183"/>
      <c r="AG104" s="183"/>
      <c r="AH104" s="183"/>
      <c r="AI104" s="183"/>
      <c r="AJ104" s="182" t="s">
        <v>314</v>
      </c>
    </row>
    <row r="105" ht="18" customHeight="1" spans="1:36">
      <c r="A105" s="182" t="s">
        <v>415</v>
      </c>
      <c r="B105" s="182" t="s">
        <v>415</v>
      </c>
      <c r="C105" s="182" t="s">
        <v>168</v>
      </c>
      <c r="D105" s="182" t="s">
        <v>178</v>
      </c>
      <c r="E105" s="183">
        <v>107.07</v>
      </c>
      <c r="F105" s="183">
        <f t="shared" si="11"/>
        <v>1275.508019</v>
      </c>
      <c r="G105" s="183">
        <f t="shared" si="6"/>
        <v>11.9128422433922</v>
      </c>
      <c r="H105" s="183">
        <v>1275.508019</v>
      </c>
      <c r="I105" s="182">
        <v>0</v>
      </c>
      <c r="J105" s="183">
        <v>0</v>
      </c>
      <c r="K105" s="182">
        <v>0</v>
      </c>
      <c r="L105" s="183">
        <v>0</v>
      </c>
      <c r="M105" s="182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2">
        <v>0</v>
      </c>
      <c r="Y105" s="183">
        <f t="shared" si="7"/>
        <v>1275.508019</v>
      </c>
      <c r="Z105" s="183">
        <f t="shared" si="8"/>
        <v>107.07</v>
      </c>
      <c r="AA105" s="183">
        <f t="shared" si="9"/>
        <v>0</v>
      </c>
      <c r="AB105" s="183">
        <f t="shared" si="10"/>
        <v>0</v>
      </c>
      <c r="AC105" s="183"/>
      <c r="AD105" s="183"/>
      <c r="AE105" s="183"/>
      <c r="AF105" s="183"/>
      <c r="AG105" s="183"/>
      <c r="AH105" s="183"/>
      <c r="AI105" s="183"/>
      <c r="AJ105" s="182" t="s">
        <v>314</v>
      </c>
    </row>
    <row r="106" ht="18" customHeight="1" spans="1:36">
      <c r="A106" s="182" t="s">
        <v>412</v>
      </c>
      <c r="B106" s="182" t="s">
        <v>412</v>
      </c>
      <c r="C106" s="182" t="s">
        <v>168</v>
      </c>
      <c r="D106" s="182" t="s">
        <v>336</v>
      </c>
      <c r="E106" s="183">
        <v>232.6</v>
      </c>
      <c r="F106" s="183">
        <f t="shared" si="11"/>
        <v>471.625971</v>
      </c>
      <c r="G106" s="183">
        <f t="shared" si="6"/>
        <v>2.02762670249355</v>
      </c>
      <c r="H106" s="183">
        <v>471.625971</v>
      </c>
      <c r="I106" s="182">
        <v>0</v>
      </c>
      <c r="J106" s="183">
        <v>0</v>
      </c>
      <c r="K106" s="182">
        <v>0</v>
      </c>
      <c r="L106" s="183">
        <v>0</v>
      </c>
      <c r="M106" s="182">
        <v>0</v>
      </c>
      <c r="N106" s="183">
        <v>0</v>
      </c>
      <c r="O106" s="183">
        <v>0</v>
      </c>
      <c r="P106" s="183">
        <v>0</v>
      </c>
      <c r="Q106" s="183">
        <v>0</v>
      </c>
      <c r="R106" s="183">
        <v>0</v>
      </c>
      <c r="S106" s="183">
        <v>0</v>
      </c>
      <c r="T106" s="183">
        <v>0</v>
      </c>
      <c r="U106" s="183">
        <v>0</v>
      </c>
      <c r="V106" s="183">
        <v>0</v>
      </c>
      <c r="W106" s="183">
        <v>0</v>
      </c>
      <c r="X106" s="182">
        <v>0</v>
      </c>
      <c r="Y106" s="183">
        <f t="shared" si="7"/>
        <v>471.625971</v>
      </c>
      <c r="Z106" s="183">
        <f t="shared" si="8"/>
        <v>232.6</v>
      </c>
      <c r="AA106" s="183">
        <f t="shared" si="9"/>
        <v>0</v>
      </c>
      <c r="AB106" s="183">
        <f t="shared" si="10"/>
        <v>0</v>
      </c>
      <c r="AC106" s="183"/>
      <c r="AD106" s="183"/>
      <c r="AE106" s="183"/>
      <c r="AF106" s="183"/>
      <c r="AG106" s="183"/>
      <c r="AH106" s="183"/>
      <c r="AI106" s="183"/>
      <c r="AJ106" s="182" t="s">
        <v>314</v>
      </c>
    </row>
    <row r="107" ht="18" customHeight="1" spans="1:36">
      <c r="A107" s="182" t="s">
        <v>416</v>
      </c>
      <c r="B107" s="182" t="s">
        <v>416</v>
      </c>
      <c r="C107" s="182" t="s">
        <v>154</v>
      </c>
      <c r="D107" s="182" t="s">
        <v>417</v>
      </c>
      <c r="E107" s="183">
        <v>101.16</v>
      </c>
      <c r="F107" s="183">
        <f t="shared" si="11"/>
        <v>363.106047</v>
      </c>
      <c r="G107" s="183">
        <f t="shared" si="6"/>
        <v>3.58942316132859</v>
      </c>
      <c r="H107" s="183">
        <v>363.106047</v>
      </c>
      <c r="I107" s="182">
        <v>0</v>
      </c>
      <c r="J107" s="183">
        <v>0</v>
      </c>
      <c r="K107" s="182">
        <v>0</v>
      </c>
      <c r="L107" s="183">
        <v>0</v>
      </c>
      <c r="M107" s="182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2">
        <v>0</v>
      </c>
      <c r="Y107" s="183">
        <f t="shared" si="7"/>
        <v>363.106047</v>
      </c>
      <c r="Z107" s="183">
        <f t="shared" si="8"/>
        <v>101.16</v>
      </c>
      <c r="AA107" s="183">
        <f t="shared" si="9"/>
        <v>0</v>
      </c>
      <c r="AB107" s="183">
        <f t="shared" si="10"/>
        <v>0</v>
      </c>
      <c r="AC107" s="183"/>
      <c r="AD107" s="183"/>
      <c r="AE107" s="183"/>
      <c r="AF107" s="183"/>
      <c r="AG107" s="183"/>
      <c r="AH107" s="183"/>
      <c r="AI107" s="183"/>
      <c r="AJ107" s="182" t="s">
        <v>314</v>
      </c>
    </row>
    <row r="108" ht="18" customHeight="1" spans="1:36">
      <c r="A108" s="182" t="s">
        <v>418</v>
      </c>
      <c r="B108" s="182" t="s">
        <v>418</v>
      </c>
      <c r="C108" s="182" t="s">
        <v>419</v>
      </c>
      <c r="D108" s="182" t="s">
        <v>357</v>
      </c>
      <c r="E108" s="183">
        <v>75.32</v>
      </c>
      <c r="F108" s="183">
        <f t="shared" si="11"/>
        <v>541.466771</v>
      </c>
      <c r="G108" s="183">
        <f t="shared" si="6"/>
        <v>7.18888437334041</v>
      </c>
      <c r="H108" s="183">
        <v>281.109485</v>
      </c>
      <c r="I108" s="182">
        <v>0</v>
      </c>
      <c r="J108" s="183">
        <v>0</v>
      </c>
      <c r="K108" s="182">
        <v>0</v>
      </c>
      <c r="L108" s="183">
        <v>0</v>
      </c>
      <c r="M108" s="182">
        <v>0</v>
      </c>
      <c r="N108" s="183">
        <v>124.657932</v>
      </c>
      <c r="O108" s="183">
        <v>0</v>
      </c>
      <c r="P108" s="183">
        <v>0</v>
      </c>
      <c r="Q108" s="183">
        <v>135.699354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2">
        <v>0</v>
      </c>
      <c r="Y108" s="183">
        <f t="shared" si="7"/>
        <v>405.767417</v>
      </c>
      <c r="Z108" s="183">
        <f t="shared" si="8"/>
        <v>75.32</v>
      </c>
      <c r="AA108" s="183">
        <f t="shared" si="9"/>
        <v>0</v>
      </c>
      <c r="AB108" s="183">
        <f t="shared" si="10"/>
        <v>135.699354</v>
      </c>
      <c r="AC108" s="183"/>
      <c r="AD108" s="183"/>
      <c r="AE108" s="183"/>
      <c r="AF108" s="183"/>
      <c r="AG108" s="183"/>
      <c r="AH108" s="183"/>
      <c r="AI108" s="183"/>
      <c r="AJ108" s="182" t="s">
        <v>314</v>
      </c>
    </row>
    <row r="109" ht="18" customHeight="1" spans="1:36">
      <c r="A109" s="182" t="s">
        <v>420</v>
      </c>
      <c r="B109" s="182" t="s">
        <v>420</v>
      </c>
      <c r="C109" s="182" t="s">
        <v>165</v>
      </c>
      <c r="D109" s="182" t="s">
        <v>421</v>
      </c>
      <c r="E109" s="183">
        <v>173.73</v>
      </c>
      <c r="F109" s="183">
        <f t="shared" si="11"/>
        <v>2271.529393</v>
      </c>
      <c r="G109" s="183">
        <f t="shared" si="6"/>
        <v>13.0750555056697</v>
      </c>
      <c r="H109" s="183">
        <v>1518.592546</v>
      </c>
      <c r="I109" s="182">
        <v>0</v>
      </c>
      <c r="J109" s="183">
        <v>0</v>
      </c>
      <c r="K109" s="182">
        <v>0</v>
      </c>
      <c r="L109" s="183">
        <v>0</v>
      </c>
      <c r="M109" s="182">
        <v>0</v>
      </c>
      <c r="N109" s="183">
        <v>482.036171</v>
      </c>
      <c r="O109" s="183">
        <v>0</v>
      </c>
      <c r="P109" s="183">
        <v>0</v>
      </c>
      <c r="Q109" s="183">
        <v>73.771716</v>
      </c>
      <c r="R109" s="183">
        <v>197.12896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2">
        <v>0</v>
      </c>
      <c r="Y109" s="183">
        <f t="shared" si="7"/>
        <v>2197.757677</v>
      </c>
      <c r="Z109" s="183">
        <f t="shared" si="8"/>
        <v>173.73</v>
      </c>
      <c r="AA109" s="183">
        <f t="shared" si="9"/>
        <v>0</v>
      </c>
      <c r="AB109" s="183">
        <f t="shared" si="10"/>
        <v>73.771716</v>
      </c>
      <c r="AC109" s="183"/>
      <c r="AD109" s="183"/>
      <c r="AE109" s="183"/>
      <c r="AF109" s="183"/>
      <c r="AG109" s="183"/>
      <c r="AH109" s="183"/>
      <c r="AI109" s="183"/>
      <c r="AJ109" s="182" t="s">
        <v>314</v>
      </c>
    </row>
    <row r="110" ht="18" customHeight="1" spans="1:36">
      <c r="A110" s="182" t="s">
        <v>422</v>
      </c>
      <c r="B110" s="182" t="s">
        <v>422</v>
      </c>
      <c r="C110" s="182" t="s">
        <v>85</v>
      </c>
      <c r="D110" s="182" t="s">
        <v>138</v>
      </c>
      <c r="E110" s="183">
        <v>185.34</v>
      </c>
      <c r="F110" s="183">
        <f t="shared" si="11"/>
        <v>1638.029385</v>
      </c>
      <c r="G110" s="183">
        <f t="shared" si="6"/>
        <v>8.83797013596633</v>
      </c>
      <c r="H110" s="183">
        <v>879.394219</v>
      </c>
      <c r="I110" s="182">
        <v>0</v>
      </c>
      <c r="J110" s="183">
        <v>0</v>
      </c>
      <c r="K110" s="182">
        <v>0</v>
      </c>
      <c r="L110" s="183">
        <v>0</v>
      </c>
      <c r="M110" s="182">
        <v>0</v>
      </c>
      <c r="N110" s="183">
        <v>739.44569</v>
      </c>
      <c r="O110" s="183">
        <v>0</v>
      </c>
      <c r="P110" s="183">
        <v>0</v>
      </c>
      <c r="Q110" s="183">
        <v>19.189476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2">
        <v>0</v>
      </c>
      <c r="Y110" s="183">
        <f t="shared" si="7"/>
        <v>1618.839909</v>
      </c>
      <c r="Z110" s="183">
        <f t="shared" si="8"/>
        <v>185.34</v>
      </c>
      <c r="AA110" s="183">
        <f t="shared" si="9"/>
        <v>0</v>
      </c>
      <c r="AB110" s="183">
        <f t="shared" si="10"/>
        <v>19.189476</v>
      </c>
      <c r="AC110" s="183"/>
      <c r="AD110" s="183"/>
      <c r="AE110" s="183"/>
      <c r="AF110" s="183"/>
      <c r="AG110" s="183"/>
      <c r="AH110" s="183"/>
      <c r="AI110" s="183"/>
      <c r="AJ110" s="182" t="s">
        <v>314</v>
      </c>
    </row>
    <row r="111" ht="18" customHeight="1" spans="1:36">
      <c r="A111" s="182" t="s">
        <v>423</v>
      </c>
      <c r="B111" s="182" t="s">
        <v>423</v>
      </c>
      <c r="C111" s="182" t="s">
        <v>138</v>
      </c>
      <c r="D111" s="182" t="s">
        <v>424</v>
      </c>
      <c r="E111" s="183">
        <v>25.3</v>
      </c>
      <c r="F111" s="183">
        <f t="shared" si="11"/>
        <v>93.977474</v>
      </c>
      <c r="G111" s="183">
        <f t="shared" si="6"/>
        <v>3.71452466403162</v>
      </c>
      <c r="H111" s="183">
        <v>93.977474</v>
      </c>
      <c r="I111" s="182">
        <v>0</v>
      </c>
      <c r="J111" s="183">
        <v>0</v>
      </c>
      <c r="K111" s="182">
        <v>0</v>
      </c>
      <c r="L111" s="183">
        <v>0</v>
      </c>
      <c r="M111" s="182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2">
        <v>0</v>
      </c>
      <c r="Y111" s="183">
        <f t="shared" si="7"/>
        <v>93.977474</v>
      </c>
      <c r="Z111" s="183">
        <f t="shared" si="8"/>
        <v>25.3</v>
      </c>
      <c r="AA111" s="183">
        <f t="shared" si="9"/>
        <v>0</v>
      </c>
      <c r="AB111" s="183">
        <f t="shared" si="10"/>
        <v>0</v>
      </c>
      <c r="AC111" s="183"/>
      <c r="AD111" s="183"/>
      <c r="AE111" s="183"/>
      <c r="AF111" s="183"/>
      <c r="AG111" s="183"/>
      <c r="AH111" s="183"/>
      <c r="AI111" s="183"/>
      <c r="AJ111" s="182" t="s">
        <v>314</v>
      </c>
    </row>
    <row r="112" ht="18" customHeight="1" spans="1:36">
      <c r="A112" s="182" t="s">
        <v>425</v>
      </c>
      <c r="B112" s="182" t="s">
        <v>425</v>
      </c>
      <c r="C112" s="182" t="s">
        <v>83</v>
      </c>
      <c r="D112" s="182" t="s">
        <v>179</v>
      </c>
      <c r="E112" s="183">
        <v>551.06</v>
      </c>
      <c r="F112" s="183">
        <f t="shared" si="11"/>
        <v>2804.633485</v>
      </c>
      <c r="G112" s="183">
        <f t="shared" si="6"/>
        <v>5.08952470692847</v>
      </c>
      <c r="H112" s="183">
        <v>2804.633485</v>
      </c>
      <c r="I112" s="182">
        <v>0</v>
      </c>
      <c r="J112" s="183">
        <v>0</v>
      </c>
      <c r="K112" s="182">
        <v>0</v>
      </c>
      <c r="L112" s="183">
        <v>0</v>
      </c>
      <c r="M112" s="182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2">
        <v>0</v>
      </c>
      <c r="Y112" s="183">
        <f t="shared" si="7"/>
        <v>2804.633485</v>
      </c>
      <c r="Z112" s="183">
        <f t="shared" si="8"/>
        <v>551.06</v>
      </c>
      <c r="AA112" s="183">
        <f t="shared" si="9"/>
        <v>0</v>
      </c>
      <c r="AB112" s="183">
        <f t="shared" si="10"/>
        <v>0</v>
      </c>
      <c r="AC112" s="183"/>
      <c r="AD112" s="183"/>
      <c r="AE112" s="183"/>
      <c r="AF112" s="183"/>
      <c r="AG112" s="183"/>
      <c r="AH112" s="183"/>
      <c r="AI112" s="183"/>
      <c r="AJ112" s="182" t="s">
        <v>314</v>
      </c>
    </row>
    <row r="113" ht="18" customHeight="1" spans="1:36">
      <c r="A113" s="182" t="s">
        <v>180</v>
      </c>
      <c r="B113" s="182" t="s">
        <v>180</v>
      </c>
      <c r="C113" s="182" t="s">
        <v>182</v>
      </c>
      <c r="D113" s="182" t="s">
        <v>179</v>
      </c>
      <c r="E113" s="183">
        <v>681.74</v>
      </c>
      <c r="F113" s="183">
        <f t="shared" si="11"/>
        <v>35459.193104</v>
      </c>
      <c r="G113" s="183">
        <f t="shared" si="6"/>
        <v>52.0127806847185</v>
      </c>
      <c r="H113" s="183">
        <v>13471.581088</v>
      </c>
      <c r="I113" s="182">
        <v>2</v>
      </c>
      <c r="J113" s="183">
        <v>7011.926789</v>
      </c>
      <c r="K113" s="182">
        <v>2</v>
      </c>
      <c r="L113" s="183">
        <v>522.714317</v>
      </c>
      <c r="M113" s="182">
        <v>2</v>
      </c>
      <c r="N113" s="183">
        <v>4386.566145</v>
      </c>
      <c r="O113" s="183">
        <v>2004.809047</v>
      </c>
      <c r="P113" s="183">
        <v>181.450901</v>
      </c>
      <c r="Q113" s="183">
        <v>1530.953941</v>
      </c>
      <c r="R113" s="183">
        <v>6271.264836</v>
      </c>
      <c r="S113" s="183">
        <v>0</v>
      </c>
      <c r="T113" s="183">
        <v>10.691487</v>
      </c>
      <c r="U113" s="183">
        <v>0</v>
      </c>
      <c r="V113" s="183">
        <v>28.271533</v>
      </c>
      <c r="W113" s="183">
        <v>0</v>
      </c>
      <c r="X113" s="182">
        <v>2</v>
      </c>
      <c r="Y113" s="183">
        <f t="shared" si="7"/>
        <v>31664.053175</v>
      </c>
      <c r="Z113" s="183">
        <f t="shared" si="8"/>
        <v>681.74</v>
      </c>
      <c r="AA113" s="183">
        <f t="shared" si="9"/>
        <v>77.92604</v>
      </c>
      <c r="AB113" s="183">
        <f t="shared" si="10"/>
        <v>3717.213889</v>
      </c>
      <c r="AC113" s="183"/>
      <c r="AD113" s="183"/>
      <c r="AE113" s="183"/>
      <c r="AF113" s="183"/>
      <c r="AG113" s="183"/>
      <c r="AH113" s="183"/>
      <c r="AI113" s="183"/>
      <c r="AJ113" s="182" t="s">
        <v>314</v>
      </c>
    </row>
    <row r="114" ht="18" customHeight="1" spans="1:36">
      <c r="A114" s="182" t="s">
        <v>180</v>
      </c>
      <c r="B114" s="182" t="s">
        <v>183</v>
      </c>
      <c r="C114" s="182"/>
      <c r="D114" s="182"/>
      <c r="E114" s="183">
        <v>40.93</v>
      </c>
      <c r="F114" s="183">
        <f t="shared" si="11"/>
        <v>1900.501678</v>
      </c>
      <c r="G114" s="183">
        <f t="shared" si="6"/>
        <v>46.4329752748595</v>
      </c>
      <c r="H114" s="183">
        <v>1900.501678</v>
      </c>
      <c r="I114" s="182">
        <v>0</v>
      </c>
      <c r="J114" s="183">
        <v>0</v>
      </c>
      <c r="K114" s="182">
        <v>0</v>
      </c>
      <c r="L114" s="183">
        <v>0</v>
      </c>
      <c r="M114" s="182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2">
        <v>0</v>
      </c>
      <c r="Y114" s="183">
        <f t="shared" si="7"/>
        <v>1900.501678</v>
      </c>
      <c r="Z114" s="183">
        <f t="shared" si="8"/>
        <v>40.93</v>
      </c>
      <c r="AA114" s="183">
        <f t="shared" si="9"/>
        <v>0</v>
      </c>
      <c r="AB114" s="183">
        <f t="shared" si="10"/>
        <v>0</v>
      </c>
      <c r="AC114" s="183"/>
      <c r="AD114" s="183"/>
      <c r="AE114" s="183"/>
      <c r="AF114" s="183"/>
      <c r="AG114" s="183"/>
      <c r="AH114" s="183"/>
      <c r="AI114" s="183"/>
      <c r="AJ114" s="182" t="s">
        <v>314</v>
      </c>
    </row>
    <row r="115" ht="18" customHeight="1" spans="1:36">
      <c r="A115" s="182" t="s">
        <v>426</v>
      </c>
      <c r="B115" s="182" t="s">
        <v>426</v>
      </c>
      <c r="C115" s="182" t="s">
        <v>427</v>
      </c>
      <c r="D115" s="182" t="s">
        <v>151</v>
      </c>
      <c r="E115" s="183">
        <v>41.18</v>
      </c>
      <c r="F115" s="183">
        <f t="shared" si="11"/>
        <v>244.335956</v>
      </c>
      <c r="G115" s="183">
        <f t="shared" si="6"/>
        <v>5.9333646430306</v>
      </c>
      <c r="H115" s="183">
        <v>137.00414</v>
      </c>
      <c r="I115" s="182">
        <v>0</v>
      </c>
      <c r="J115" s="183">
        <v>0</v>
      </c>
      <c r="K115" s="182">
        <v>0</v>
      </c>
      <c r="L115" s="183">
        <v>0</v>
      </c>
      <c r="M115" s="182">
        <v>0</v>
      </c>
      <c r="N115" s="183">
        <v>8.188385</v>
      </c>
      <c r="O115" s="183">
        <v>0</v>
      </c>
      <c r="P115" s="183">
        <v>0</v>
      </c>
      <c r="Q115" s="183">
        <v>99.143431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2">
        <v>0</v>
      </c>
      <c r="Y115" s="183">
        <f t="shared" si="7"/>
        <v>145.192525</v>
      </c>
      <c r="Z115" s="183">
        <f t="shared" si="8"/>
        <v>41.18</v>
      </c>
      <c r="AA115" s="183">
        <f t="shared" si="9"/>
        <v>0</v>
      </c>
      <c r="AB115" s="183">
        <f t="shared" si="10"/>
        <v>99.143431</v>
      </c>
      <c r="AC115" s="183"/>
      <c r="AD115" s="183"/>
      <c r="AE115" s="183"/>
      <c r="AF115" s="183"/>
      <c r="AG115" s="183"/>
      <c r="AH115" s="183"/>
      <c r="AI115" s="183"/>
      <c r="AJ115" s="182" t="s">
        <v>314</v>
      </c>
    </row>
    <row r="116" ht="18" customHeight="1" spans="1:36">
      <c r="A116" s="182" t="s">
        <v>426</v>
      </c>
      <c r="B116" s="182" t="s">
        <v>426</v>
      </c>
      <c r="C116" s="182" t="s">
        <v>151</v>
      </c>
      <c r="D116" s="182" t="s">
        <v>428</v>
      </c>
      <c r="E116" s="183">
        <v>108.18</v>
      </c>
      <c r="F116" s="183">
        <f t="shared" si="11"/>
        <v>806.428182</v>
      </c>
      <c r="G116" s="183">
        <f t="shared" si="6"/>
        <v>7.45450343871325</v>
      </c>
      <c r="H116" s="183">
        <v>560.625279</v>
      </c>
      <c r="I116" s="182">
        <v>0</v>
      </c>
      <c r="J116" s="183">
        <v>0</v>
      </c>
      <c r="K116" s="182">
        <v>0</v>
      </c>
      <c r="L116" s="183">
        <v>0</v>
      </c>
      <c r="M116" s="182">
        <v>0</v>
      </c>
      <c r="N116" s="183">
        <v>121.286731</v>
      </c>
      <c r="O116" s="183">
        <v>0</v>
      </c>
      <c r="P116" s="183">
        <v>0</v>
      </c>
      <c r="Q116" s="183">
        <v>124.516172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2">
        <v>0</v>
      </c>
      <c r="Y116" s="183">
        <f t="shared" si="7"/>
        <v>681.91201</v>
      </c>
      <c r="Z116" s="183">
        <f t="shared" si="8"/>
        <v>108.18</v>
      </c>
      <c r="AA116" s="183">
        <f t="shared" si="9"/>
        <v>0</v>
      </c>
      <c r="AB116" s="183">
        <f t="shared" si="10"/>
        <v>124.516172</v>
      </c>
      <c r="AC116" s="183"/>
      <c r="AD116" s="183"/>
      <c r="AE116" s="183"/>
      <c r="AF116" s="183"/>
      <c r="AG116" s="183"/>
      <c r="AH116" s="183"/>
      <c r="AI116" s="183"/>
      <c r="AJ116" s="182" t="s">
        <v>314</v>
      </c>
    </row>
    <row r="117" ht="18" customHeight="1" spans="1:36">
      <c r="A117" s="182" t="s">
        <v>428</v>
      </c>
      <c r="B117" s="182" t="s">
        <v>428</v>
      </c>
      <c r="C117" s="182" t="s">
        <v>80</v>
      </c>
      <c r="D117" s="182" t="s">
        <v>429</v>
      </c>
      <c r="E117" s="183">
        <v>99.5</v>
      </c>
      <c r="F117" s="183">
        <f t="shared" si="11"/>
        <v>1762.955376</v>
      </c>
      <c r="G117" s="183">
        <f t="shared" si="6"/>
        <v>17.7181444824121</v>
      </c>
      <c r="H117" s="183">
        <v>733.05206</v>
      </c>
      <c r="I117" s="182">
        <v>0</v>
      </c>
      <c r="J117" s="183">
        <v>0</v>
      </c>
      <c r="K117" s="182">
        <v>0</v>
      </c>
      <c r="L117" s="183">
        <v>0</v>
      </c>
      <c r="M117" s="182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1029.903316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2">
        <v>0</v>
      </c>
      <c r="Y117" s="183">
        <f t="shared" si="7"/>
        <v>1762.955376</v>
      </c>
      <c r="Z117" s="183">
        <f t="shared" si="8"/>
        <v>99.5</v>
      </c>
      <c r="AA117" s="183">
        <f t="shared" si="9"/>
        <v>0</v>
      </c>
      <c r="AB117" s="183">
        <f t="shared" si="10"/>
        <v>0</v>
      </c>
      <c r="AC117" s="183"/>
      <c r="AD117" s="183"/>
      <c r="AE117" s="183"/>
      <c r="AF117" s="183"/>
      <c r="AG117" s="183"/>
      <c r="AH117" s="183"/>
      <c r="AI117" s="183"/>
      <c r="AJ117" s="182" t="s">
        <v>314</v>
      </c>
    </row>
    <row r="118" ht="18" customHeight="1" spans="1:36">
      <c r="A118" s="182" t="s">
        <v>430</v>
      </c>
      <c r="B118" s="182" t="s">
        <v>430</v>
      </c>
      <c r="C118" s="182" t="s">
        <v>426</v>
      </c>
      <c r="D118" s="182" t="s">
        <v>429</v>
      </c>
      <c r="E118" s="183">
        <v>78.42</v>
      </c>
      <c r="F118" s="183">
        <f t="shared" si="11"/>
        <v>683.345494</v>
      </c>
      <c r="G118" s="183">
        <f t="shared" si="6"/>
        <v>8.71391856669217</v>
      </c>
      <c r="H118" s="183">
        <v>501.034518</v>
      </c>
      <c r="I118" s="182">
        <v>0</v>
      </c>
      <c r="J118" s="183">
        <v>0</v>
      </c>
      <c r="K118" s="182">
        <v>0</v>
      </c>
      <c r="L118" s="183">
        <v>0</v>
      </c>
      <c r="M118" s="182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182.310976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2">
        <v>0</v>
      </c>
      <c r="Y118" s="183">
        <f t="shared" si="7"/>
        <v>683.345494</v>
      </c>
      <c r="Z118" s="183">
        <f t="shared" si="8"/>
        <v>78.42</v>
      </c>
      <c r="AA118" s="183">
        <f t="shared" si="9"/>
        <v>0</v>
      </c>
      <c r="AB118" s="183">
        <f t="shared" si="10"/>
        <v>0</v>
      </c>
      <c r="AC118" s="183"/>
      <c r="AD118" s="183"/>
      <c r="AE118" s="183"/>
      <c r="AF118" s="183"/>
      <c r="AG118" s="183"/>
      <c r="AH118" s="183"/>
      <c r="AI118" s="183"/>
      <c r="AJ118" s="182" t="s">
        <v>314</v>
      </c>
    </row>
    <row r="119" ht="18" customHeight="1" spans="1:36">
      <c r="A119" s="182" t="s">
        <v>429</v>
      </c>
      <c r="B119" s="182" t="s">
        <v>429</v>
      </c>
      <c r="C119" s="182" t="s">
        <v>426</v>
      </c>
      <c r="D119" s="182" t="s">
        <v>151</v>
      </c>
      <c r="E119" s="183">
        <v>453.63</v>
      </c>
      <c r="F119" s="183">
        <f t="shared" si="11"/>
        <v>4410.774481</v>
      </c>
      <c r="G119" s="183">
        <f t="shared" si="6"/>
        <v>9.72328655732646</v>
      </c>
      <c r="H119" s="183">
        <v>1597.258473</v>
      </c>
      <c r="I119" s="182">
        <v>0</v>
      </c>
      <c r="J119" s="183">
        <v>0</v>
      </c>
      <c r="K119" s="182">
        <v>0</v>
      </c>
      <c r="L119" s="183">
        <v>0</v>
      </c>
      <c r="M119" s="182">
        <v>0</v>
      </c>
      <c r="N119" s="183">
        <v>0</v>
      </c>
      <c r="O119" s="183">
        <v>0</v>
      </c>
      <c r="P119" s="183">
        <v>0</v>
      </c>
      <c r="Q119" s="183">
        <v>141.428653</v>
      </c>
      <c r="R119" s="183">
        <v>2672.087355</v>
      </c>
      <c r="S119" s="183">
        <v>0</v>
      </c>
      <c r="T119" s="183">
        <v>0</v>
      </c>
      <c r="U119" s="183">
        <v>0</v>
      </c>
      <c r="V119" s="183">
        <v>0</v>
      </c>
      <c r="W119" s="183">
        <v>0</v>
      </c>
      <c r="X119" s="182">
        <v>0</v>
      </c>
      <c r="Y119" s="183">
        <f t="shared" si="7"/>
        <v>4269.345828</v>
      </c>
      <c r="Z119" s="183">
        <f t="shared" si="8"/>
        <v>453.63</v>
      </c>
      <c r="AA119" s="183">
        <f t="shared" si="9"/>
        <v>0</v>
      </c>
      <c r="AB119" s="183">
        <f t="shared" si="10"/>
        <v>141.428653</v>
      </c>
      <c r="AC119" s="183"/>
      <c r="AD119" s="183"/>
      <c r="AE119" s="183"/>
      <c r="AF119" s="183"/>
      <c r="AG119" s="183"/>
      <c r="AH119" s="183"/>
      <c r="AI119" s="183"/>
      <c r="AJ119" s="182" t="s">
        <v>314</v>
      </c>
    </row>
    <row r="120" ht="18" customHeight="1" spans="1:36">
      <c r="A120" s="182" t="s">
        <v>431</v>
      </c>
      <c r="B120" s="182" t="s">
        <v>431</v>
      </c>
      <c r="C120" s="182" t="s">
        <v>429</v>
      </c>
      <c r="D120" s="182" t="s">
        <v>432</v>
      </c>
      <c r="E120" s="183">
        <v>67.79</v>
      </c>
      <c r="F120" s="183">
        <f t="shared" si="11"/>
        <v>743.782569</v>
      </c>
      <c r="G120" s="183">
        <f t="shared" si="6"/>
        <v>10.9718626493583</v>
      </c>
      <c r="H120" s="183">
        <v>622.322223</v>
      </c>
      <c r="I120" s="182">
        <v>0</v>
      </c>
      <c r="J120" s="183">
        <v>0</v>
      </c>
      <c r="K120" s="182">
        <v>0</v>
      </c>
      <c r="L120" s="183">
        <v>0</v>
      </c>
      <c r="M120" s="182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121.460346</v>
      </c>
      <c r="S120" s="183">
        <v>0</v>
      </c>
      <c r="T120" s="183">
        <v>0</v>
      </c>
      <c r="U120" s="183">
        <v>0</v>
      </c>
      <c r="V120" s="183">
        <v>0</v>
      </c>
      <c r="W120" s="183">
        <v>0</v>
      </c>
      <c r="X120" s="182">
        <v>0</v>
      </c>
      <c r="Y120" s="183">
        <f t="shared" si="7"/>
        <v>743.782569</v>
      </c>
      <c r="Z120" s="183">
        <f t="shared" si="8"/>
        <v>67.79</v>
      </c>
      <c r="AA120" s="183">
        <f t="shared" si="9"/>
        <v>0</v>
      </c>
      <c r="AB120" s="183">
        <f t="shared" si="10"/>
        <v>0</v>
      </c>
      <c r="AC120" s="183"/>
      <c r="AD120" s="183"/>
      <c r="AE120" s="183"/>
      <c r="AF120" s="183"/>
      <c r="AG120" s="183"/>
      <c r="AH120" s="183"/>
      <c r="AI120" s="183"/>
      <c r="AJ120" s="182" t="s">
        <v>314</v>
      </c>
    </row>
    <row r="121" ht="18" customHeight="1" spans="1:36">
      <c r="A121" s="182" t="s">
        <v>427</v>
      </c>
      <c r="B121" s="182" t="s">
        <v>427</v>
      </c>
      <c r="C121" s="182" t="s">
        <v>206</v>
      </c>
      <c r="D121" s="182" t="s">
        <v>433</v>
      </c>
      <c r="E121" s="183">
        <v>163.11</v>
      </c>
      <c r="F121" s="183">
        <f t="shared" si="11"/>
        <v>3273.994967</v>
      </c>
      <c r="G121" s="183">
        <f t="shared" si="6"/>
        <v>20.0723129605787</v>
      </c>
      <c r="H121" s="183">
        <v>642.859714</v>
      </c>
      <c r="I121" s="182">
        <v>0</v>
      </c>
      <c r="J121" s="183">
        <v>0</v>
      </c>
      <c r="K121" s="182">
        <v>0</v>
      </c>
      <c r="L121" s="183">
        <v>0</v>
      </c>
      <c r="M121" s="182">
        <v>0</v>
      </c>
      <c r="N121" s="183">
        <v>0</v>
      </c>
      <c r="O121" s="183">
        <v>0</v>
      </c>
      <c r="P121" s="183">
        <v>0</v>
      </c>
      <c r="Q121" s="183">
        <v>1359.647619</v>
      </c>
      <c r="R121" s="183">
        <v>1271.487634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2">
        <v>0</v>
      </c>
      <c r="Y121" s="183">
        <f t="shared" si="7"/>
        <v>1914.347348</v>
      </c>
      <c r="Z121" s="183">
        <f t="shared" si="8"/>
        <v>163.11</v>
      </c>
      <c r="AA121" s="183">
        <f t="shared" si="9"/>
        <v>0</v>
      </c>
      <c r="AB121" s="183">
        <f t="shared" si="10"/>
        <v>1359.647619</v>
      </c>
      <c r="AC121" s="183"/>
      <c r="AD121" s="183"/>
      <c r="AE121" s="183"/>
      <c r="AF121" s="183"/>
      <c r="AG121" s="183"/>
      <c r="AH121" s="183"/>
      <c r="AI121" s="183"/>
      <c r="AJ121" s="182" t="s">
        <v>314</v>
      </c>
    </row>
    <row r="122" ht="18" customHeight="1" spans="1:36">
      <c r="A122" s="182" t="s">
        <v>433</v>
      </c>
      <c r="B122" s="182" t="s">
        <v>433</v>
      </c>
      <c r="C122" s="182" t="s">
        <v>336</v>
      </c>
      <c r="D122" s="182" t="s">
        <v>151</v>
      </c>
      <c r="E122" s="183">
        <v>96.24</v>
      </c>
      <c r="F122" s="183">
        <f t="shared" si="11"/>
        <v>517.53535</v>
      </c>
      <c r="G122" s="183">
        <f t="shared" si="6"/>
        <v>5.37754935577722</v>
      </c>
      <c r="H122" s="183">
        <v>390.647143</v>
      </c>
      <c r="I122" s="182">
        <v>0</v>
      </c>
      <c r="J122" s="183">
        <v>0</v>
      </c>
      <c r="K122" s="182">
        <v>0</v>
      </c>
      <c r="L122" s="183">
        <v>0</v>
      </c>
      <c r="M122" s="182">
        <v>0</v>
      </c>
      <c r="N122" s="183">
        <v>0</v>
      </c>
      <c r="O122" s="183">
        <v>0</v>
      </c>
      <c r="P122" s="183">
        <v>0</v>
      </c>
      <c r="Q122" s="183">
        <v>46.475485</v>
      </c>
      <c r="R122" s="183">
        <v>80.412722</v>
      </c>
      <c r="S122" s="183">
        <v>0</v>
      </c>
      <c r="T122" s="183">
        <v>0</v>
      </c>
      <c r="U122" s="183">
        <v>0</v>
      </c>
      <c r="V122" s="183">
        <v>0</v>
      </c>
      <c r="W122" s="183">
        <v>0</v>
      </c>
      <c r="X122" s="182">
        <v>0</v>
      </c>
      <c r="Y122" s="183">
        <f t="shared" si="7"/>
        <v>471.059865</v>
      </c>
      <c r="Z122" s="183">
        <f t="shared" si="8"/>
        <v>96.24</v>
      </c>
      <c r="AA122" s="183">
        <f t="shared" si="9"/>
        <v>0</v>
      </c>
      <c r="AB122" s="183">
        <f t="shared" si="10"/>
        <v>46.475485</v>
      </c>
      <c r="AC122" s="183"/>
      <c r="AD122" s="183"/>
      <c r="AE122" s="183"/>
      <c r="AF122" s="183"/>
      <c r="AG122" s="183"/>
      <c r="AH122" s="183"/>
      <c r="AI122" s="183"/>
      <c r="AJ122" s="182" t="s">
        <v>314</v>
      </c>
    </row>
    <row r="123" ht="18" customHeight="1" spans="1:36">
      <c r="A123" s="182" t="s">
        <v>434</v>
      </c>
      <c r="B123" s="182" t="s">
        <v>434</v>
      </c>
      <c r="C123" s="182" t="s">
        <v>382</v>
      </c>
      <c r="D123" s="182" t="s">
        <v>427</v>
      </c>
      <c r="E123" s="183">
        <v>107.22</v>
      </c>
      <c r="F123" s="183">
        <f t="shared" si="11"/>
        <v>630.412496</v>
      </c>
      <c r="G123" s="183">
        <f t="shared" si="6"/>
        <v>5.87961663868681</v>
      </c>
      <c r="H123" s="183">
        <v>615.604528</v>
      </c>
      <c r="I123" s="182">
        <v>0</v>
      </c>
      <c r="J123" s="183">
        <v>0</v>
      </c>
      <c r="K123" s="182">
        <v>0</v>
      </c>
      <c r="L123" s="183">
        <v>0</v>
      </c>
      <c r="M123" s="182">
        <v>0</v>
      </c>
      <c r="N123" s="183">
        <v>0</v>
      </c>
      <c r="O123" s="183">
        <v>0</v>
      </c>
      <c r="P123" s="183">
        <v>0</v>
      </c>
      <c r="Q123" s="183">
        <v>14.807968</v>
      </c>
      <c r="R123" s="183">
        <v>0</v>
      </c>
      <c r="S123" s="183">
        <v>0</v>
      </c>
      <c r="T123" s="183">
        <v>0</v>
      </c>
      <c r="U123" s="183">
        <v>0</v>
      </c>
      <c r="V123" s="183">
        <v>0</v>
      </c>
      <c r="W123" s="183">
        <v>0</v>
      </c>
      <c r="X123" s="182">
        <v>0</v>
      </c>
      <c r="Y123" s="183">
        <f t="shared" si="7"/>
        <v>615.604528</v>
      </c>
      <c r="Z123" s="183">
        <f t="shared" si="8"/>
        <v>107.22</v>
      </c>
      <c r="AA123" s="183">
        <f t="shared" si="9"/>
        <v>0</v>
      </c>
      <c r="AB123" s="183">
        <f t="shared" si="10"/>
        <v>14.807968</v>
      </c>
      <c r="AC123" s="183"/>
      <c r="AD123" s="183"/>
      <c r="AE123" s="183"/>
      <c r="AF123" s="183"/>
      <c r="AG123" s="183"/>
      <c r="AH123" s="183"/>
      <c r="AI123" s="183"/>
      <c r="AJ123" s="182" t="s">
        <v>314</v>
      </c>
    </row>
    <row r="124" ht="18" customHeight="1" spans="1:36">
      <c r="A124" s="182" t="s">
        <v>435</v>
      </c>
      <c r="B124" s="182" t="s">
        <v>435</v>
      </c>
      <c r="C124" s="182" t="s">
        <v>155</v>
      </c>
      <c r="D124" s="182" t="s">
        <v>436</v>
      </c>
      <c r="E124" s="183">
        <v>288.35</v>
      </c>
      <c r="F124" s="183">
        <f t="shared" si="11"/>
        <v>5348.083477</v>
      </c>
      <c r="G124" s="183">
        <f t="shared" si="6"/>
        <v>18.5471943020635</v>
      </c>
      <c r="H124" s="183">
        <v>2059.149078</v>
      </c>
      <c r="I124" s="182">
        <v>0</v>
      </c>
      <c r="J124" s="183">
        <v>0</v>
      </c>
      <c r="K124" s="182">
        <v>0</v>
      </c>
      <c r="L124" s="183">
        <v>0</v>
      </c>
      <c r="M124" s="182">
        <v>0</v>
      </c>
      <c r="N124" s="183">
        <v>0</v>
      </c>
      <c r="O124" s="183">
        <v>0</v>
      </c>
      <c r="P124" s="183">
        <v>0</v>
      </c>
      <c r="Q124" s="183">
        <v>1539.794438</v>
      </c>
      <c r="R124" s="183">
        <v>541.214339</v>
      </c>
      <c r="S124" s="183">
        <v>1207.925622</v>
      </c>
      <c r="T124" s="183">
        <v>0</v>
      </c>
      <c r="U124" s="183">
        <v>0</v>
      </c>
      <c r="V124" s="183">
        <v>0</v>
      </c>
      <c r="W124" s="183">
        <v>0</v>
      </c>
      <c r="X124" s="182">
        <v>0</v>
      </c>
      <c r="Y124" s="183">
        <f t="shared" si="7"/>
        <v>3808.289039</v>
      </c>
      <c r="Z124" s="183">
        <f t="shared" si="8"/>
        <v>288.35</v>
      </c>
      <c r="AA124" s="183">
        <f t="shared" si="9"/>
        <v>0</v>
      </c>
      <c r="AB124" s="183">
        <f t="shared" si="10"/>
        <v>1539.794438</v>
      </c>
      <c r="AC124" s="183"/>
      <c r="AD124" s="183"/>
      <c r="AE124" s="183"/>
      <c r="AF124" s="183"/>
      <c r="AG124" s="183"/>
      <c r="AH124" s="183"/>
      <c r="AI124" s="183"/>
      <c r="AJ124" s="182" t="s">
        <v>314</v>
      </c>
    </row>
    <row r="125" ht="18" customHeight="1" spans="1:36">
      <c r="A125" s="182" t="s">
        <v>437</v>
      </c>
      <c r="B125" s="182" t="s">
        <v>437</v>
      </c>
      <c r="C125" s="182" t="s">
        <v>155</v>
      </c>
      <c r="D125" s="182" t="s">
        <v>417</v>
      </c>
      <c r="E125" s="183">
        <v>128.63</v>
      </c>
      <c r="F125" s="183">
        <f t="shared" si="11"/>
        <v>755.449344</v>
      </c>
      <c r="G125" s="183">
        <f t="shared" si="6"/>
        <v>5.87304162326051</v>
      </c>
      <c r="H125" s="183">
        <v>755.449344</v>
      </c>
      <c r="I125" s="182">
        <v>0</v>
      </c>
      <c r="J125" s="183">
        <v>0</v>
      </c>
      <c r="K125" s="182">
        <v>0</v>
      </c>
      <c r="L125" s="183">
        <v>0</v>
      </c>
      <c r="M125" s="182">
        <v>0</v>
      </c>
      <c r="N125" s="183">
        <v>0</v>
      </c>
      <c r="O125" s="183">
        <v>0</v>
      </c>
      <c r="P125" s="183">
        <v>0</v>
      </c>
      <c r="Q125" s="183">
        <v>0</v>
      </c>
      <c r="R125" s="183">
        <v>0</v>
      </c>
      <c r="S125" s="183">
        <v>0</v>
      </c>
      <c r="T125" s="183">
        <v>0</v>
      </c>
      <c r="U125" s="183">
        <v>0</v>
      </c>
      <c r="V125" s="183">
        <v>0</v>
      </c>
      <c r="W125" s="183">
        <v>0</v>
      </c>
      <c r="X125" s="182">
        <v>0</v>
      </c>
      <c r="Y125" s="183">
        <f t="shared" si="7"/>
        <v>755.449344</v>
      </c>
      <c r="Z125" s="183">
        <f t="shared" si="8"/>
        <v>128.63</v>
      </c>
      <c r="AA125" s="183">
        <f t="shared" si="9"/>
        <v>0</v>
      </c>
      <c r="AB125" s="183">
        <f t="shared" si="10"/>
        <v>0</v>
      </c>
      <c r="AC125" s="183"/>
      <c r="AD125" s="183"/>
      <c r="AE125" s="183"/>
      <c r="AF125" s="183"/>
      <c r="AG125" s="183"/>
      <c r="AH125" s="183"/>
      <c r="AI125" s="183"/>
      <c r="AJ125" s="182" t="s">
        <v>314</v>
      </c>
    </row>
    <row r="126" ht="18" customHeight="1" spans="1:36">
      <c r="A126" s="182" t="s">
        <v>438</v>
      </c>
      <c r="B126" s="182" t="s">
        <v>438</v>
      </c>
      <c r="C126" s="182" t="s">
        <v>333</v>
      </c>
      <c r="D126" s="182" t="s">
        <v>113</v>
      </c>
      <c r="E126" s="183">
        <v>144.85</v>
      </c>
      <c r="F126" s="183">
        <f t="shared" si="11"/>
        <v>3073.910029</v>
      </c>
      <c r="G126" s="183">
        <f t="shared" si="6"/>
        <v>21.221332613048</v>
      </c>
      <c r="H126" s="183">
        <v>630.547444</v>
      </c>
      <c r="I126" s="182">
        <v>0</v>
      </c>
      <c r="J126" s="183">
        <v>0</v>
      </c>
      <c r="K126" s="182">
        <v>0</v>
      </c>
      <c r="L126" s="183">
        <v>0</v>
      </c>
      <c r="M126" s="182">
        <v>0</v>
      </c>
      <c r="N126" s="183">
        <v>0</v>
      </c>
      <c r="O126" s="183">
        <v>0</v>
      </c>
      <c r="P126" s="183">
        <v>0</v>
      </c>
      <c r="Q126" s="183">
        <v>750.319973</v>
      </c>
      <c r="R126" s="183">
        <v>639.088109</v>
      </c>
      <c r="S126" s="183">
        <v>1053.954503</v>
      </c>
      <c r="T126" s="183">
        <v>0</v>
      </c>
      <c r="U126" s="183">
        <v>0</v>
      </c>
      <c r="V126" s="183">
        <v>0</v>
      </c>
      <c r="W126" s="183">
        <v>0</v>
      </c>
      <c r="X126" s="182">
        <v>0</v>
      </c>
      <c r="Y126" s="183">
        <f t="shared" si="7"/>
        <v>2323.590056</v>
      </c>
      <c r="Z126" s="183">
        <f t="shared" si="8"/>
        <v>144.85</v>
      </c>
      <c r="AA126" s="183">
        <f t="shared" si="9"/>
        <v>0</v>
      </c>
      <c r="AB126" s="183">
        <f t="shared" si="10"/>
        <v>750.319973</v>
      </c>
      <c r="AC126" s="183"/>
      <c r="AD126" s="183"/>
      <c r="AE126" s="183"/>
      <c r="AF126" s="183"/>
      <c r="AG126" s="183"/>
      <c r="AH126" s="183"/>
      <c r="AI126" s="183"/>
      <c r="AJ126" s="182" t="s">
        <v>314</v>
      </c>
    </row>
    <row r="127" ht="18" customHeight="1" spans="1:36">
      <c r="A127" s="182" t="s">
        <v>439</v>
      </c>
      <c r="B127" s="182" t="s">
        <v>439</v>
      </c>
      <c r="C127" s="182" t="s">
        <v>370</v>
      </c>
      <c r="D127" s="182" t="s">
        <v>376</v>
      </c>
      <c r="E127" s="183">
        <v>252.19</v>
      </c>
      <c r="F127" s="183">
        <f t="shared" si="11"/>
        <v>2159.315704</v>
      </c>
      <c r="G127" s="183">
        <f t="shared" si="6"/>
        <v>8.56225744081843</v>
      </c>
      <c r="H127" s="183">
        <v>1059.561543</v>
      </c>
      <c r="I127" s="182">
        <v>0</v>
      </c>
      <c r="J127" s="183">
        <v>0</v>
      </c>
      <c r="K127" s="182">
        <v>0</v>
      </c>
      <c r="L127" s="183">
        <v>0</v>
      </c>
      <c r="M127" s="182">
        <v>0</v>
      </c>
      <c r="N127" s="183">
        <v>82.828615</v>
      </c>
      <c r="O127" s="183">
        <v>0</v>
      </c>
      <c r="P127" s="183">
        <v>0</v>
      </c>
      <c r="Q127" s="183">
        <v>511.468392</v>
      </c>
      <c r="R127" s="183">
        <v>300.587373</v>
      </c>
      <c r="S127" s="183">
        <v>204.869781</v>
      </c>
      <c r="T127" s="183">
        <v>0</v>
      </c>
      <c r="U127" s="183">
        <v>0</v>
      </c>
      <c r="V127" s="183">
        <v>0</v>
      </c>
      <c r="W127" s="183">
        <v>0</v>
      </c>
      <c r="X127" s="182">
        <v>0</v>
      </c>
      <c r="Y127" s="183">
        <f t="shared" si="7"/>
        <v>1647.847312</v>
      </c>
      <c r="Z127" s="183">
        <f t="shared" si="8"/>
        <v>252.19</v>
      </c>
      <c r="AA127" s="183">
        <f t="shared" si="9"/>
        <v>0</v>
      </c>
      <c r="AB127" s="183">
        <f t="shared" si="10"/>
        <v>511.468392</v>
      </c>
      <c r="AC127" s="183"/>
      <c r="AD127" s="183"/>
      <c r="AE127" s="183"/>
      <c r="AF127" s="183"/>
      <c r="AG127" s="183"/>
      <c r="AH127" s="183"/>
      <c r="AI127" s="183"/>
      <c r="AJ127" s="182" t="s">
        <v>314</v>
      </c>
    </row>
    <row r="128" ht="18" customHeight="1" spans="1:36">
      <c r="A128" s="182" t="s">
        <v>440</v>
      </c>
      <c r="B128" s="182" t="s">
        <v>440</v>
      </c>
      <c r="C128" s="182" t="s">
        <v>441</v>
      </c>
      <c r="D128" s="182" t="s">
        <v>202</v>
      </c>
      <c r="E128" s="183">
        <v>238.95</v>
      </c>
      <c r="F128" s="183">
        <f t="shared" si="11"/>
        <v>3193.164554</v>
      </c>
      <c r="G128" s="183">
        <f t="shared" si="6"/>
        <v>13.3633168194183</v>
      </c>
      <c r="H128" s="183">
        <v>2507.217273</v>
      </c>
      <c r="I128" s="182">
        <v>0</v>
      </c>
      <c r="J128" s="183">
        <v>0</v>
      </c>
      <c r="K128" s="182">
        <v>0</v>
      </c>
      <c r="L128" s="183">
        <v>0</v>
      </c>
      <c r="M128" s="182">
        <v>0</v>
      </c>
      <c r="N128" s="183">
        <v>0</v>
      </c>
      <c r="O128" s="183">
        <v>0</v>
      </c>
      <c r="P128" s="183">
        <v>0</v>
      </c>
      <c r="Q128" s="183">
        <v>612.155305</v>
      </c>
      <c r="R128" s="183">
        <v>0</v>
      </c>
      <c r="S128" s="183">
        <v>0</v>
      </c>
      <c r="T128" s="183">
        <v>0</v>
      </c>
      <c r="U128" s="183">
        <v>36.895988</v>
      </c>
      <c r="V128" s="183">
        <v>0</v>
      </c>
      <c r="W128" s="183">
        <v>0</v>
      </c>
      <c r="X128" s="182">
        <v>0</v>
      </c>
      <c r="Y128" s="183">
        <f t="shared" si="7"/>
        <v>2507.217273</v>
      </c>
      <c r="Z128" s="183">
        <f t="shared" si="8"/>
        <v>238.95</v>
      </c>
      <c r="AA128" s="183">
        <f t="shared" si="9"/>
        <v>73.791976</v>
      </c>
      <c r="AB128" s="183">
        <f t="shared" si="10"/>
        <v>612.155305</v>
      </c>
      <c r="AC128" s="183"/>
      <c r="AD128" s="183"/>
      <c r="AE128" s="183"/>
      <c r="AF128" s="183"/>
      <c r="AG128" s="183"/>
      <c r="AH128" s="183"/>
      <c r="AI128" s="183"/>
      <c r="AJ128" s="182" t="s">
        <v>314</v>
      </c>
    </row>
    <row r="129" ht="18" customHeight="1" spans="1:36">
      <c r="A129" s="182" t="s">
        <v>442</v>
      </c>
      <c r="B129" s="182" t="s">
        <v>442</v>
      </c>
      <c r="C129" s="182" t="s">
        <v>441</v>
      </c>
      <c r="D129" s="182" t="s">
        <v>202</v>
      </c>
      <c r="E129" s="183">
        <v>219.15</v>
      </c>
      <c r="F129" s="183">
        <f t="shared" si="11"/>
        <v>1846.624108</v>
      </c>
      <c r="G129" s="183">
        <f t="shared" si="6"/>
        <v>8.42630211270819</v>
      </c>
      <c r="H129" s="183">
        <v>1397.947002</v>
      </c>
      <c r="I129" s="182">
        <v>0</v>
      </c>
      <c r="J129" s="183">
        <v>0</v>
      </c>
      <c r="K129" s="182">
        <v>0</v>
      </c>
      <c r="L129" s="183">
        <v>0</v>
      </c>
      <c r="M129" s="182">
        <v>0</v>
      </c>
      <c r="N129" s="183">
        <v>52.716525</v>
      </c>
      <c r="O129" s="183">
        <v>0</v>
      </c>
      <c r="P129" s="183">
        <v>0</v>
      </c>
      <c r="Q129" s="183">
        <v>124.815653</v>
      </c>
      <c r="R129" s="183">
        <v>50.37488</v>
      </c>
      <c r="S129" s="183">
        <v>0</v>
      </c>
      <c r="T129" s="183">
        <v>0</v>
      </c>
      <c r="U129" s="183">
        <v>110.385024</v>
      </c>
      <c r="V129" s="183">
        <v>0</v>
      </c>
      <c r="W129" s="183">
        <v>0</v>
      </c>
      <c r="X129" s="182">
        <v>0</v>
      </c>
      <c r="Y129" s="183">
        <f t="shared" si="7"/>
        <v>1501.038407</v>
      </c>
      <c r="Z129" s="183">
        <f t="shared" si="8"/>
        <v>219.15</v>
      </c>
      <c r="AA129" s="183">
        <f t="shared" si="9"/>
        <v>220.770048</v>
      </c>
      <c r="AB129" s="183">
        <f t="shared" si="10"/>
        <v>124.815653</v>
      </c>
      <c r="AC129" s="183"/>
      <c r="AD129" s="183"/>
      <c r="AE129" s="183"/>
      <c r="AF129" s="183"/>
      <c r="AG129" s="183"/>
      <c r="AH129" s="183"/>
      <c r="AI129" s="183"/>
      <c r="AJ129" s="182" t="s">
        <v>314</v>
      </c>
    </row>
    <row r="130" ht="18" customHeight="1" spans="1:36">
      <c r="A130" s="182" t="s">
        <v>443</v>
      </c>
      <c r="B130" s="182" t="s">
        <v>443</v>
      </c>
      <c r="C130" s="182" t="s">
        <v>441</v>
      </c>
      <c r="D130" s="182" t="s">
        <v>442</v>
      </c>
      <c r="E130" s="183">
        <v>84.54</v>
      </c>
      <c r="F130" s="183">
        <f t="shared" si="11"/>
        <v>1212.586016</v>
      </c>
      <c r="G130" s="183">
        <f t="shared" si="6"/>
        <v>14.3433406198249</v>
      </c>
      <c r="H130" s="183">
        <v>707.968345</v>
      </c>
      <c r="I130" s="182">
        <v>0</v>
      </c>
      <c r="J130" s="183">
        <v>0</v>
      </c>
      <c r="K130" s="182">
        <v>0</v>
      </c>
      <c r="L130" s="183">
        <v>0</v>
      </c>
      <c r="M130" s="182">
        <v>0</v>
      </c>
      <c r="N130" s="183">
        <v>0</v>
      </c>
      <c r="O130" s="183">
        <v>0</v>
      </c>
      <c r="P130" s="183">
        <v>0</v>
      </c>
      <c r="Q130" s="183">
        <v>330.951791</v>
      </c>
      <c r="R130" s="183">
        <v>173.66588</v>
      </c>
      <c r="S130" s="183">
        <v>0</v>
      </c>
      <c r="T130" s="183">
        <v>0</v>
      </c>
      <c r="U130" s="183">
        <v>0</v>
      </c>
      <c r="V130" s="183">
        <v>0</v>
      </c>
      <c r="W130" s="183">
        <v>0</v>
      </c>
      <c r="X130" s="182">
        <v>0</v>
      </c>
      <c r="Y130" s="183">
        <f t="shared" si="7"/>
        <v>881.634225</v>
      </c>
      <c r="Z130" s="183">
        <f t="shared" si="8"/>
        <v>84.54</v>
      </c>
      <c r="AA130" s="183">
        <f t="shared" si="9"/>
        <v>0</v>
      </c>
      <c r="AB130" s="183">
        <f t="shared" si="10"/>
        <v>330.951791</v>
      </c>
      <c r="AC130" s="183"/>
      <c r="AD130" s="183"/>
      <c r="AE130" s="183"/>
      <c r="AF130" s="183"/>
      <c r="AG130" s="183"/>
      <c r="AH130" s="183"/>
      <c r="AI130" s="183"/>
      <c r="AJ130" s="182" t="s">
        <v>314</v>
      </c>
    </row>
    <row r="131" ht="18" customHeight="1" spans="1:36">
      <c r="A131" s="182" t="s">
        <v>444</v>
      </c>
      <c r="B131" s="182" t="s">
        <v>444</v>
      </c>
      <c r="C131" s="182" t="s">
        <v>440</v>
      </c>
      <c r="D131" s="182" t="s">
        <v>442</v>
      </c>
      <c r="E131" s="183">
        <v>106.6</v>
      </c>
      <c r="F131" s="183">
        <f t="shared" si="11"/>
        <v>2528.704547</v>
      </c>
      <c r="G131" s="183">
        <f t="shared" ref="G131:G194" si="12">F131/E131</f>
        <v>23.7214310225141</v>
      </c>
      <c r="H131" s="183">
        <v>1327.846234</v>
      </c>
      <c r="I131" s="182">
        <v>0</v>
      </c>
      <c r="J131" s="183">
        <v>0</v>
      </c>
      <c r="K131" s="182">
        <v>0</v>
      </c>
      <c r="L131" s="183">
        <v>0</v>
      </c>
      <c r="M131" s="182">
        <v>0</v>
      </c>
      <c r="N131" s="183">
        <v>0</v>
      </c>
      <c r="O131" s="183">
        <v>77.62233</v>
      </c>
      <c r="P131" s="183">
        <v>0</v>
      </c>
      <c r="Q131" s="183">
        <v>1006.263551</v>
      </c>
      <c r="R131" s="183">
        <v>116.972432</v>
      </c>
      <c r="S131" s="183">
        <v>0</v>
      </c>
      <c r="T131" s="183">
        <v>0</v>
      </c>
      <c r="U131" s="183">
        <v>0</v>
      </c>
      <c r="V131" s="183">
        <v>0</v>
      </c>
      <c r="W131" s="183">
        <v>0</v>
      </c>
      <c r="X131" s="182">
        <v>0</v>
      </c>
      <c r="Y131" s="183">
        <f t="shared" ref="Y131:Y194" si="13">(H131+J131+L131+N131+R131+S131)</f>
        <v>1444.818666</v>
      </c>
      <c r="Z131" s="183">
        <f t="shared" ref="Z131:Z194" si="14">E131</f>
        <v>106.6</v>
      </c>
      <c r="AA131" s="183">
        <f t="shared" ref="AA131:AA194" si="15">(T131+U131+V131+W131)*2</f>
        <v>0</v>
      </c>
      <c r="AB131" s="183">
        <f t="shared" ref="AB131:AB194" si="16">O131+P131+Q131</f>
        <v>1083.885881</v>
      </c>
      <c r="AC131" s="183"/>
      <c r="AD131" s="183"/>
      <c r="AE131" s="183"/>
      <c r="AF131" s="183"/>
      <c r="AG131" s="183"/>
      <c r="AH131" s="183"/>
      <c r="AI131" s="183"/>
      <c r="AJ131" s="182" t="s">
        <v>314</v>
      </c>
    </row>
    <row r="132" ht="18" customHeight="1" spans="1:36">
      <c r="A132" s="182" t="s">
        <v>445</v>
      </c>
      <c r="B132" s="182" t="s">
        <v>445</v>
      </c>
      <c r="C132" s="182" t="s">
        <v>441</v>
      </c>
      <c r="D132" s="182" t="s">
        <v>442</v>
      </c>
      <c r="E132" s="183">
        <v>47.55</v>
      </c>
      <c r="F132" s="183">
        <f t="shared" ref="F132:F195" si="17">H132+J132+L132+N132+O132+P132+Q132+R132+S132+AA132</f>
        <v>464.52883</v>
      </c>
      <c r="G132" s="183">
        <f t="shared" si="12"/>
        <v>9.76927087276551</v>
      </c>
      <c r="H132" s="183">
        <v>407.753719</v>
      </c>
      <c r="I132" s="182">
        <v>0</v>
      </c>
      <c r="J132" s="183">
        <v>0</v>
      </c>
      <c r="K132" s="182">
        <v>0</v>
      </c>
      <c r="L132" s="183">
        <v>0</v>
      </c>
      <c r="M132" s="182">
        <v>0</v>
      </c>
      <c r="N132" s="183">
        <v>0</v>
      </c>
      <c r="O132" s="183">
        <v>0</v>
      </c>
      <c r="P132" s="183">
        <v>0</v>
      </c>
      <c r="Q132" s="183">
        <v>29.566671</v>
      </c>
      <c r="R132" s="183">
        <v>27.20844</v>
      </c>
      <c r="S132" s="183">
        <v>0</v>
      </c>
      <c r="T132" s="183">
        <v>0</v>
      </c>
      <c r="U132" s="183">
        <v>0</v>
      </c>
      <c r="V132" s="183">
        <v>0</v>
      </c>
      <c r="W132" s="183">
        <v>0</v>
      </c>
      <c r="X132" s="182">
        <v>0</v>
      </c>
      <c r="Y132" s="183">
        <f t="shared" si="13"/>
        <v>434.962159</v>
      </c>
      <c r="Z132" s="183">
        <f t="shared" si="14"/>
        <v>47.55</v>
      </c>
      <c r="AA132" s="183">
        <f t="shared" si="15"/>
        <v>0</v>
      </c>
      <c r="AB132" s="183">
        <f t="shared" si="16"/>
        <v>29.566671</v>
      </c>
      <c r="AC132" s="183"/>
      <c r="AD132" s="183"/>
      <c r="AE132" s="183"/>
      <c r="AF132" s="183"/>
      <c r="AG132" s="183"/>
      <c r="AH132" s="183"/>
      <c r="AI132" s="183"/>
      <c r="AJ132" s="182" t="s">
        <v>314</v>
      </c>
    </row>
    <row r="133" ht="18" customHeight="1" spans="1:36">
      <c r="A133" s="182" t="s">
        <v>446</v>
      </c>
      <c r="B133" s="182" t="s">
        <v>446</v>
      </c>
      <c r="C133" s="182" t="s">
        <v>442</v>
      </c>
      <c r="D133" s="182" t="s">
        <v>447</v>
      </c>
      <c r="E133" s="183">
        <v>55.6</v>
      </c>
      <c r="F133" s="183">
        <f t="shared" si="17"/>
        <v>1066.263951</v>
      </c>
      <c r="G133" s="183">
        <f t="shared" si="12"/>
        <v>19.1774091906475</v>
      </c>
      <c r="H133" s="183">
        <v>275.678787</v>
      </c>
      <c r="I133" s="182">
        <v>0</v>
      </c>
      <c r="J133" s="183">
        <v>0</v>
      </c>
      <c r="K133" s="182">
        <v>0</v>
      </c>
      <c r="L133" s="183">
        <v>0</v>
      </c>
      <c r="M133" s="182">
        <v>0</v>
      </c>
      <c r="N133" s="183">
        <v>0</v>
      </c>
      <c r="O133" s="183">
        <v>0</v>
      </c>
      <c r="P133" s="183">
        <v>0</v>
      </c>
      <c r="Q133" s="183">
        <v>30.91407</v>
      </c>
      <c r="R133" s="183">
        <v>759.671094</v>
      </c>
      <c r="S133" s="183">
        <v>0</v>
      </c>
      <c r="T133" s="183">
        <v>0</v>
      </c>
      <c r="U133" s="183">
        <v>0</v>
      </c>
      <c r="V133" s="183">
        <v>0</v>
      </c>
      <c r="W133" s="183">
        <v>0</v>
      </c>
      <c r="X133" s="182">
        <v>0</v>
      </c>
      <c r="Y133" s="183">
        <f t="shared" si="13"/>
        <v>1035.349881</v>
      </c>
      <c r="Z133" s="183">
        <f t="shared" si="14"/>
        <v>55.6</v>
      </c>
      <c r="AA133" s="183">
        <f t="shared" si="15"/>
        <v>0</v>
      </c>
      <c r="AB133" s="183">
        <f t="shared" si="16"/>
        <v>30.91407</v>
      </c>
      <c r="AC133" s="183"/>
      <c r="AD133" s="183"/>
      <c r="AE133" s="183"/>
      <c r="AF133" s="183"/>
      <c r="AG133" s="183"/>
      <c r="AH133" s="183"/>
      <c r="AI133" s="183"/>
      <c r="AJ133" s="182" t="s">
        <v>314</v>
      </c>
    </row>
    <row r="134" ht="18" customHeight="1" spans="1:36">
      <c r="A134" s="182" t="s">
        <v>448</v>
      </c>
      <c r="B134" s="182" t="s">
        <v>448</v>
      </c>
      <c r="C134" s="182" t="s">
        <v>442</v>
      </c>
      <c r="D134" s="182" t="s">
        <v>447</v>
      </c>
      <c r="E134" s="183">
        <v>58.51</v>
      </c>
      <c r="F134" s="183">
        <f t="shared" si="17"/>
        <v>686.333385</v>
      </c>
      <c r="G134" s="183">
        <f t="shared" si="12"/>
        <v>11.7301894547941</v>
      </c>
      <c r="H134" s="183">
        <v>552.830694</v>
      </c>
      <c r="I134" s="182">
        <v>0</v>
      </c>
      <c r="J134" s="183">
        <v>0</v>
      </c>
      <c r="K134" s="182">
        <v>0</v>
      </c>
      <c r="L134" s="183">
        <v>0</v>
      </c>
      <c r="M134" s="182">
        <v>0</v>
      </c>
      <c r="N134" s="183">
        <v>0</v>
      </c>
      <c r="O134" s="183">
        <v>0</v>
      </c>
      <c r="P134" s="183">
        <v>0</v>
      </c>
      <c r="Q134" s="183">
        <v>35.010837</v>
      </c>
      <c r="R134" s="183">
        <v>98.491854</v>
      </c>
      <c r="S134" s="183">
        <v>0</v>
      </c>
      <c r="T134" s="183">
        <v>0</v>
      </c>
      <c r="U134" s="183">
        <v>0</v>
      </c>
      <c r="V134" s="183">
        <v>0</v>
      </c>
      <c r="W134" s="183">
        <v>0</v>
      </c>
      <c r="X134" s="182">
        <v>0</v>
      </c>
      <c r="Y134" s="183">
        <f t="shared" si="13"/>
        <v>651.322548</v>
      </c>
      <c r="Z134" s="183">
        <f t="shared" si="14"/>
        <v>58.51</v>
      </c>
      <c r="AA134" s="183">
        <f t="shared" si="15"/>
        <v>0</v>
      </c>
      <c r="AB134" s="183">
        <f t="shared" si="16"/>
        <v>35.010837</v>
      </c>
      <c r="AC134" s="183"/>
      <c r="AD134" s="183"/>
      <c r="AE134" s="183"/>
      <c r="AF134" s="183"/>
      <c r="AG134" s="183"/>
      <c r="AH134" s="183"/>
      <c r="AI134" s="183"/>
      <c r="AJ134" s="182" t="s">
        <v>314</v>
      </c>
    </row>
    <row r="135" ht="18" customHeight="1" spans="1:36">
      <c r="A135" s="182" t="s">
        <v>177</v>
      </c>
      <c r="B135" s="182" t="s">
        <v>177</v>
      </c>
      <c r="C135" s="182" t="s">
        <v>202</v>
      </c>
      <c r="D135" s="182" t="s">
        <v>168</v>
      </c>
      <c r="E135" s="183">
        <v>156.92</v>
      </c>
      <c r="F135" s="183">
        <f t="shared" si="17"/>
        <v>555.456396</v>
      </c>
      <c r="G135" s="183">
        <f t="shared" si="12"/>
        <v>3.53974251848075</v>
      </c>
      <c r="H135" s="183">
        <v>555.456396</v>
      </c>
      <c r="I135" s="182">
        <v>0</v>
      </c>
      <c r="J135" s="183">
        <v>0</v>
      </c>
      <c r="K135" s="182">
        <v>0</v>
      </c>
      <c r="L135" s="183">
        <v>0</v>
      </c>
      <c r="M135" s="182">
        <v>0</v>
      </c>
      <c r="N135" s="183">
        <v>0</v>
      </c>
      <c r="O135" s="183">
        <v>0</v>
      </c>
      <c r="P135" s="183">
        <v>0</v>
      </c>
      <c r="Q135" s="183">
        <v>0</v>
      </c>
      <c r="R135" s="183">
        <v>0</v>
      </c>
      <c r="S135" s="183">
        <v>0</v>
      </c>
      <c r="T135" s="183">
        <v>0</v>
      </c>
      <c r="U135" s="183">
        <v>0</v>
      </c>
      <c r="V135" s="183">
        <v>0</v>
      </c>
      <c r="W135" s="183">
        <v>0</v>
      </c>
      <c r="X135" s="182">
        <v>0</v>
      </c>
      <c r="Y135" s="183">
        <f t="shared" si="13"/>
        <v>555.456396</v>
      </c>
      <c r="Z135" s="183">
        <f t="shared" si="14"/>
        <v>156.92</v>
      </c>
      <c r="AA135" s="183">
        <f t="shared" si="15"/>
        <v>0</v>
      </c>
      <c r="AB135" s="183">
        <f t="shared" si="16"/>
        <v>0</v>
      </c>
      <c r="AC135" s="183"/>
      <c r="AD135" s="183"/>
      <c r="AE135" s="183"/>
      <c r="AF135" s="183"/>
      <c r="AG135" s="183"/>
      <c r="AH135" s="183"/>
      <c r="AI135" s="183"/>
      <c r="AJ135" s="182" t="s">
        <v>314</v>
      </c>
    </row>
    <row r="136" ht="18" customHeight="1" spans="1:36">
      <c r="A136" s="182" t="s">
        <v>449</v>
      </c>
      <c r="B136" s="182" t="s">
        <v>449</v>
      </c>
      <c r="C136" s="182" t="s">
        <v>439</v>
      </c>
      <c r="D136" s="182" t="s">
        <v>450</v>
      </c>
      <c r="E136" s="183">
        <v>106.92</v>
      </c>
      <c r="F136" s="183">
        <f t="shared" si="17"/>
        <v>1024.697643</v>
      </c>
      <c r="G136" s="183">
        <f t="shared" si="12"/>
        <v>9.5837789281706</v>
      </c>
      <c r="H136" s="183">
        <v>338.693525</v>
      </c>
      <c r="I136" s="182">
        <v>0</v>
      </c>
      <c r="J136" s="183">
        <v>0</v>
      </c>
      <c r="K136" s="182">
        <v>0</v>
      </c>
      <c r="L136" s="183">
        <v>0</v>
      </c>
      <c r="M136" s="182">
        <v>0</v>
      </c>
      <c r="N136" s="183">
        <v>316.855886</v>
      </c>
      <c r="O136" s="183">
        <v>0</v>
      </c>
      <c r="P136" s="183">
        <v>0</v>
      </c>
      <c r="Q136" s="183">
        <v>369.148232</v>
      </c>
      <c r="R136" s="183">
        <v>0</v>
      </c>
      <c r="S136" s="183">
        <v>0</v>
      </c>
      <c r="T136" s="183">
        <v>0</v>
      </c>
      <c r="U136" s="183">
        <v>0</v>
      </c>
      <c r="V136" s="183">
        <v>0</v>
      </c>
      <c r="W136" s="183">
        <v>0</v>
      </c>
      <c r="X136" s="182">
        <v>0</v>
      </c>
      <c r="Y136" s="183">
        <f t="shared" si="13"/>
        <v>655.549411</v>
      </c>
      <c r="Z136" s="183">
        <f t="shared" si="14"/>
        <v>106.92</v>
      </c>
      <c r="AA136" s="183">
        <f t="shared" si="15"/>
        <v>0</v>
      </c>
      <c r="AB136" s="183">
        <f t="shared" si="16"/>
        <v>369.148232</v>
      </c>
      <c r="AC136" s="183"/>
      <c r="AD136" s="183"/>
      <c r="AE136" s="183"/>
      <c r="AF136" s="183"/>
      <c r="AG136" s="183"/>
      <c r="AH136" s="183"/>
      <c r="AI136" s="183"/>
      <c r="AJ136" s="182" t="s">
        <v>314</v>
      </c>
    </row>
    <row r="137" ht="18" customHeight="1" spans="1:36">
      <c r="A137" s="182" t="s">
        <v>450</v>
      </c>
      <c r="B137" s="182" t="s">
        <v>450</v>
      </c>
      <c r="C137" s="182" t="s">
        <v>370</v>
      </c>
      <c r="D137" s="182" t="s">
        <v>439</v>
      </c>
      <c r="E137" s="183">
        <v>157.27</v>
      </c>
      <c r="F137" s="183">
        <f t="shared" si="17"/>
        <v>1256.081422</v>
      </c>
      <c r="G137" s="183">
        <f t="shared" si="12"/>
        <v>7.98678337890252</v>
      </c>
      <c r="H137" s="183">
        <v>839.641658</v>
      </c>
      <c r="I137" s="182">
        <v>0</v>
      </c>
      <c r="J137" s="183">
        <v>0</v>
      </c>
      <c r="K137" s="182">
        <v>0</v>
      </c>
      <c r="L137" s="183">
        <v>0</v>
      </c>
      <c r="M137" s="182">
        <v>0</v>
      </c>
      <c r="N137" s="183">
        <v>44.693038</v>
      </c>
      <c r="O137" s="183">
        <v>0</v>
      </c>
      <c r="P137" s="183">
        <v>0</v>
      </c>
      <c r="Q137" s="183">
        <v>27.533162</v>
      </c>
      <c r="R137" s="183">
        <v>344.213564</v>
      </c>
      <c r="S137" s="183">
        <v>0</v>
      </c>
      <c r="T137" s="183">
        <v>0</v>
      </c>
      <c r="U137" s="183">
        <v>0</v>
      </c>
      <c r="V137" s="183">
        <v>0</v>
      </c>
      <c r="W137" s="183">
        <v>0</v>
      </c>
      <c r="X137" s="182">
        <v>0</v>
      </c>
      <c r="Y137" s="183">
        <f t="shared" si="13"/>
        <v>1228.54826</v>
      </c>
      <c r="Z137" s="183">
        <f t="shared" si="14"/>
        <v>157.27</v>
      </c>
      <c r="AA137" s="183">
        <f t="shared" si="15"/>
        <v>0</v>
      </c>
      <c r="AB137" s="183">
        <f t="shared" si="16"/>
        <v>27.533162</v>
      </c>
      <c r="AC137" s="183"/>
      <c r="AD137" s="183"/>
      <c r="AE137" s="183"/>
      <c r="AF137" s="183"/>
      <c r="AG137" s="183"/>
      <c r="AH137" s="183"/>
      <c r="AI137" s="183"/>
      <c r="AJ137" s="182" t="s">
        <v>314</v>
      </c>
    </row>
    <row r="138" ht="18" customHeight="1" spans="1:36">
      <c r="A138" s="182" t="s">
        <v>451</v>
      </c>
      <c r="B138" s="182" t="s">
        <v>451</v>
      </c>
      <c r="C138" s="182" t="s">
        <v>439</v>
      </c>
      <c r="D138" s="182" t="s">
        <v>452</v>
      </c>
      <c r="E138" s="183">
        <v>77.05</v>
      </c>
      <c r="F138" s="183">
        <f t="shared" si="17"/>
        <v>817.08216</v>
      </c>
      <c r="G138" s="183">
        <f t="shared" si="12"/>
        <v>10.6045705386113</v>
      </c>
      <c r="H138" s="183">
        <v>817.08216</v>
      </c>
      <c r="I138" s="182">
        <v>0</v>
      </c>
      <c r="J138" s="183">
        <v>0</v>
      </c>
      <c r="K138" s="182">
        <v>0</v>
      </c>
      <c r="L138" s="183">
        <v>0</v>
      </c>
      <c r="M138" s="182">
        <v>0</v>
      </c>
      <c r="N138" s="183">
        <v>0</v>
      </c>
      <c r="O138" s="183">
        <v>0</v>
      </c>
      <c r="P138" s="183">
        <v>0</v>
      </c>
      <c r="Q138" s="183">
        <v>0</v>
      </c>
      <c r="R138" s="183">
        <v>0</v>
      </c>
      <c r="S138" s="183">
        <v>0</v>
      </c>
      <c r="T138" s="183">
        <v>0</v>
      </c>
      <c r="U138" s="183">
        <v>0</v>
      </c>
      <c r="V138" s="183">
        <v>0</v>
      </c>
      <c r="W138" s="183">
        <v>0</v>
      </c>
      <c r="X138" s="182">
        <v>0</v>
      </c>
      <c r="Y138" s="183">
        <f t="shared" si="13"/>
        <v>817.08216</v>
      </c>
      <c r="Z138" s="183">
        <f t="shared" si="14"/>
        <v>77.05</v>
      </c>
      <c r="AA138" s="183">
        <f t="shared" si="15"/>
        <v>0</v>
      </c>
      <c r="AB138" s="183">
        <f t="shared" si="16"/>
        <v>0</v>
      </c>
      <c r="AC138" s="183"/>
      <c r="AD138" s="183"/>
      <c r="AE138" s="183"/>
      <c r="AF138" s="183"/>
      <c r="AG138" s="183"/>
      <c r="AH138" s="183"/>
      <c r="AI138" s="183"/>
      <c r="AJ138" s="182" t="s">
        <v>314</v>
      </c>
    </row>
    <row r="139" ht="18" customHeight="1" spans="1:36">
      <c r="A139" s="182" t="s">
        <v>453</v>
      </c>
      <c r="B139" s="182" t="s">
        <v>453</v>
      </c>
      <c r="C139" s="182" t="s">
        <v>454</v>
      </c>
      <c r="D139" s="182" t="s">
        <v>370</v>
      </c>
      <c r="E139" s="183">
        <v>103.49</v>
      </c>
      <c r="F139" s="183">
        <f t="shared" si="17"/>
        <v>934.387372</v>
      </c>
      <c r="G139" s="183">
        <f t="shared" si="12"/>
        <v>9.02876965890424</v>
      </c>
      <c r="H139" s="183">
        <v>423.743529</v>
      </c>
      <c r="I139" s="182">
        <v>0</v>
      </c>
      <c r="J139" s="183">
        <v>0</v>
      </c>
      <c r="K139" s="182">
        <v>0</v>
      </c>
      <c r="L139" s="183">
        <v>0</v>
      </c>
      <c r="M139" s="182">
        <v>0</v>
      </c>
      <c r="N139" s="183">
        <v>0</v>
      </c>
      <c r="O139" s="183">
        <v>0</v>
      </c>
      <c r="P139" s="183">
        <v>0</v>
      </c>
      <c r="Q139" s="183">
        <v>510.643843</v>
      </c>
      <c r="R139" s="183">
        <v>0</v>
      </c>
      <c r="S139" s="183">
        <v>0</v>
      </c>
      <c r="T139" s="183">
        <v>0</v>
      </c>
      <c r="U139" s="183">
        <v>0</v>
      </c>
      <c r="V139" s="183">
        <v>0</v>
      </c>
      <c r="W139" s="183">
        <v>0</v>
      </c>
      <c r="X139" s="182">
        <v>0</v>
      </c>
      <c r="Y139" s="183">
        <f t="shared" si="13"/>
        <v>423.743529</v>
      </c>
      <c r="Z139" s="183">
        <f t="shared" si="14"/>
        <v>103.49</v>
      </c>
      <c r="AA139" s="183">
        <f t="shared" si="15"/>
        <v>0</v>
      </c>
      <c r="AB139" s="183">
        <f t="shared" si="16"/>
        <v>510.643843</v>
      </c>
      <c r="AC139" s="183"/>
      <c r="AD139" s="183"/>
      <c r="AE139" s="183"/>
      <c r="AF139" s="183"/>
      <c r="AG139" s="183"/>
      <c r="AH139" s="183"/>
      <c r="AI139" s="183"/>
      <c r="AJ139" s="182" t="s">
        <v>314</v>
      </c>
    </row>
    <row r="140" ht="18" customHeight="1" spans="1:36">
      <c r="A140" s="182" t="s">
        <v>455</v>
      </c>
      <c r="B140" s="182" t="s">
        <v>455</v>
      </c>
      <c r="C140" s="182" t="s">
        <v>454</v>
      </c>
      <c r="D140" s="182" t="s">
        <v>370</v>
      </c>
      <c r="E140" s="183">
        <v>75.04</v>
      </c>
      <c r="F140" s="183">
        <f t="shared" si="17"/>
        <v>219.674959</v>
      </c>
      <c r="G140" s="183">
        <f t="shared" si="12"/>
        <v>2.92743815298507</v>
      </c>
      <c r="H140" s="183">
        <v>219.674959</v>
      </c>
      <c r="I140" s="182">
        <v>0</v>
      </c>
      <c r="J140" s="183">
        <v>0</v>
      </c>
      <c r="K140" s="182">
        <v>0</v>
      </c>
      <c r="L140" s="183">
        <v>0</v>
      </c>
      <c r="M140" s="182">
        <v>0</v>
      </c>
      <c r="N140" s="183">
        <v>0</v>
      </c>
      <c r="O140" s="183">
        <v>0</v>
      </c>
      <c r="P140" s="183">
        <v>0</v>
      </c>
      <c r="Q140" s="183">
        <v>0</v>
      </c>
      <c r="R140" s="183">
        <v>0</v>
      </c>
      <c r="S140" s="183">
        <v>0</v>
      </c>
      <c r="T140" s="183">
        <v>0</v>
      </c>
      <c r="U140" s="183">
        <v>0</v>
      </c>
      <c r="V140" s="183">
        <v>0</v>
      </c>
      <c r="W140" s="183">
        <v>0</v>
      </c>
      <c r="X140" s="182">
        <v>0</v>
      </c>
      <c r="Y140" s="183">
        <f t="shared" si="13"/>
        <v>219.674959</v>
      </c>
      <c r="Z140" s="183">
        <f t="shared" si="14"/>
        <v>75.04</v>
      </c>
      <c r="AA140" s="183">
        <f t="shared" si="15"/>
        <v>0</v>
      </c>
      <c r="AB140" s="183">
        <f t="shared" si="16"/>
        <v>0</v>
      </c>
      <c r="AC140" s="183"/>
      <c r="AD140" s="183"/>
      <c r="AE140" s="183"/>
      <c r="AF140" s="183"/>
      <c r="AG140" s="183"/>
      <c r="AH140" s="183"/>
      <c r="AI140" s="183"/>
      <c r="AJ140" s="182" t="s">
        <v>314</v>
      </c>
    </row>
    <row r="141" ht="18" customHeight="1" spans="1:36">
      <c r="A141" s="182" t="s">
        <v>456</v>
      </c>
      <c r="B141" s="182" t="s">
        <v>456</v>
      </c>
      <c r="C141" s="182" t="s">
        <v>453</v>
      </c>
      <c r="D141" s="182" t="s">
        <v>455</v>
      </c>
      <c r="E141" s="183">
        <v>87.74</v>
      </c>
      <c r="F141" s="183">
        <f t="shared" si="17"/>
        <v>407.199575</v>
      </c>
      <c r="G141" s="183">
        <f t="shared" si="12"/>
        <v>4.64097988374744</v>
      </c>
      <c r="H141" s="183">
        <v>407.199575</v>
      </c>
      <c r="I141" s="182">
        <v>0</v>
      </c>
      <c r="J141" s="183">
        <v>0</v>
      </c>
      <c r="K141" s="182">
        <v>0</v>
      </c>
      <c r="L141" s="183">
        <v>0</v>
      </c>
      <c r="M141" s="182">
        <v>0</v>
      </c>
      <c r="N141" s="183">
        <v>0</v>
      </c>
      <c r="O141" s="183">
        <v>0</v>
      </c>
      <c r="P141" s="183">
        <v>0</v>
      </c>
      <c r="Q141" s="183">
        <v>0</v>
      </c>
      <c r="R141" s="183">
        <v>0</v>
      </c>
      <c r="S141" s="183">
        <v>0</v>
      </c>
      <c r="T141" s="183">
        <v>0</v>
      </c>
      <c r="U141" s="183">
        <v>0</v>
      </c>
      <c r="V141" s="183">
        <v>0</v>
      </c>
      <c r="W141" s="183">
        <v>0</v>
      </c>
      <c r="X141" s="182">
        <v>0</v>
      </c>
      <c r="Y141" s="183">
        <f t="shared" si="13"/>
        <v>407.199575</v>
      </c>
      <c r="Z141" s="183">
        <f t="shared" si="14"/>
        <v>87.74</v>
      </c>
      <c r="AA141" s="183">
        <f t="shared" si="15"/>
        <v>0</v>
      </c>
      <c r="AB141" s="183">
        <f t="shared" si="16"/>
        <v>0</v>
      </c>
      <c r="AC141" s="183"/>
      <c r="AD141" s="183"/>
      <c r="AE141" s="183"/>
      <c r="AF141" s="183"/>
      <c r="AG141" s="183"/>
      <c r="AH141" s="183"/>
      <c r="AI141" s="183"/>
      <c r="AJ141" s="182" t="s">
        <v>314</v>
      </c>
    </row>
    <row r="142" ht="18" customHeight="1" spans="1:36">
      <c r="A142" s="182" t="s">
        <v>457</v>
      </c>
      <c r="B142" s="182" t="s">
        <v>457</v>
      </c>
      <c r="C142" s="182" t="s">
        <v>453</v>
      </c>
      <c r="D142" s="182" t="s">
        <v>455</v>
      </c>
      <c r="E142" s="183">
        <v>87.58</v>
      </c>
      <c r="F142" s="183">
        <f t="shared" si="17"/>
        <v>264.114197</v>
      </c>
      <c r="G142" s="183">
        <f t="shared" si="12"/>
        <v>3.01569076273122</v>
      </c>
      <c r="H142" s="183">
        <v>264.114197</v>
      </c>
      <c r="I142" s="182">
        <v>0</v>
      </c>
      <c r="J142" s="183">
        <v>0</v>
      </c>
      <c r="K142" s="182">
        <v>0</v>
      </c>
      <c r="L142" s="183">
        <v>0</v>
      </c>
      <c r="M142" s="182">
        <v>0</v>
      </c>
      <c r="N142" s="183">
        <v>0</v>
      </c>
      <c r="O142" s="183">
        <v>0</v>
      </c>
      <c r="P142" s="183">
        <v>0</v>
      </c>
      <c r="Q142" s="183">
        <v>0</v>
      </c>
      <c r="R142" s="183">
        <v>0</v>
      </c>
      <c r="S142" s="183">
        <v>0</v>
      </c>
      <c r="T142" s="183">
        <v>0</v>
      </c>
      <c r="U142" s="183">
        <v>0</v>
      </c>
      <c r="V142" s="183">
        <v>0</v>
      </c>
      <c r="W142" s="183">
        <v>0</v>
      </c>
      <c r="X142" s="182">
        <v>0</v>
      </c>
      <c r="Y142" s="183">
        <f t="shared" si="13"/>
        <v>264.114197</v>
      </c>
      <c r="Z142" s="183">
        <f t="shared" si="14"/>
        <v>87.58</v>
      </c>
      <c r="AA142" s="183">
        <f t="shared" si="15"/>
        <v>0</v>
      </c>
      <c r="AB142" s="183">
        <f t="shared" si="16"/>
        <v>0</v>
      </c>
      <c r="AC142" s="183"/>
      <c r="AD142" s="183"/>
      <c r="AE142" s="183"/>
      <c r="AF142" s="183"/>
      <c r="AG142" s="183"/>
      <c r="AH142" s="183"/>
      <c r="AI142" s="183"/>
      <c r="AJ142" s="182" t="s">
        <v>314</v>
      </c>
    </row>
    <row r="143" ht="18" customHeight="1" spans="1:36">
      <c r="A143" s="182" t="s">
        <v>458</v>
      </c>
      <c r="B143" s="182" t="s">
        <v>458</v>
      </c>
      <c r="C143" s="182" t="s">
        <v>136</v>
      </c>
      <c r="D143" s="182" t="s">
        <v>138</v>
      </c>
      <c r="E143" s="183">
        <v>108.51</v>
      </c>
      <c r="F143" s="183">
        <f t="shared" si="17"/>
        <v>844.680658</v>
      </c>
      <c r="G143" s="183">
        <f t="shared" si="12"/>
        <v>7.78435773661414</v>
      </c>
      <c r="H143" s="183">
        <v>844.680658</v>
      </c>
      <c r="I143" s="182">
        <v>0</v>
      </c>
      <c r="J143" s="183">
        <v>0</v>
      </c>
      <c r="K143" s="182">
        <v>0</v>
      </c>
      <c r="L143" s="183">
        <v>0</v>
      </c>
      <c r="M143" s="182">
        <v>0</v>
      </c>
      <c r="N143" s="183">
        <v>0</v>
      </c>
      <c r="O143" s="183">
        <v>0</v>
      </c>
      <c r="P143" s="183">
        <v>0</v>
      </c>
      <c r="Q143" s="183">
        <v>0</v>
      </c>
      <c r="R143" s="183">
        <v>0</v>
      </c>
      <c r="S143" s="183">
        <v>0</v>
      </c>
      <c r="T143" s="183">
        <v>0</v>
      </c>
      <c r="U143" s="183">
        <v>0</v>
      </c>
      <c r="V143" s="183">
        <v>0</v>
      </c>
      <c r="W143" s="183">
        <v>0</v>
      </c>
      <c r="X143" s="182">
        <v>0</v>
      </c>
      <c r="Y143" s="183">
        <f t="shared" si="13"/>
        <v>844.680658</v>
      </c>
      <c r="Z143" s="183">
        <f t="shared" si="14"/>
        <v>108.51</v>
      </c>
      <c r="AA143" s="183">
        <f t="shared" si="15"/>
        <v>0</v>
      </c>
      <c r="AB143" s="183">
        <f t="shared" si="16"/>
        <v>0</v>
      </c>
      <c r="AC143" s="183"/>
      <c r="AD143" s="183"/>
      <c r="AE143" s="183"/>
      <c r="AF143" s="183"/>
      <c r="AG143" s="183"/>
      <c r="AH143" s="183"/>
      <c r="AI143" s="183"/>
      <c r="AJ143" s="182" t="s">
        <v>314</v>
      </c>
    </row>
    <row r="144" ht="18" customHeight="1" spans="1:36">
      <c r="A144" s="182" t="s">
        <v>459</v>
      </c>
      <c r="B144" s="182" t="s">
        <v>459</v>
      </c>
      <c r="C144" s="182" t="s">
        <v>460</v>
      </c>
      <c r="D144" s="182" t="s">
        <v>138</v>
      </c>
      <c r="E144" s="183">
        <v>104.98</v>
      </c>
      <c r="F144" s="183">
        <f t="shared" si="17"/>
        <v>2552.360163</v>
      </c>
      <c r="G144" s="183">
        <f t="shared" si="12"/>
        <v>24.3128230424843</v>
      </c>
      <c r="H144" s="183">
        <v>529.758253</v>
      </c>
      <c r="I144" s="182">
        <v>0</v>
      </c>
      <c r="J144" s="183">
        <v>0</v>
      </c>
      <c r="K144" s="182">
        <v>0</v>
      </c>
      <c r="L144" s="183">
        <v>0</v>
      </c>
      <c r="M144" s="182">
        <v>0</v>
      </c>
      <c r="N144" s="183">
        <v>0</v>
      </c>
      <c r="O144" s="183">
        <v>0</v>
      </c>
      <c r="P144" s="183">
        <v>0</v>
      </c>
      <c r="Q144" s="183">
        <v>2022.60191</v>
      </c>
      <c r="R144" s="183">
        <v>0</v>
      </c>
      <c r="S144" s="183">
        <v>0</v>
      </c>
      <c r="T144" s="183">
        <v>0</v>
      </c>
      <c r="U144" s="183">
        <v>0</v>
      </c>
      <c r="V144" s="183">
        <v>0</v>
      </c>
      <c r="W144" s="183">
        <v>0</v>
      </c>
      <c r="X144" s="182">
        <v>0</v>
      </c>
      <c r="Y144" s="183">
        <f t="shared" si="13"/>
        <v>529.758253</v>
      </c>
      <c r="Z144" s="183">
        <f t="shared" si="14"/>
        <v>104.98</v>
      </c>
      <c r="AA144" s="183">
        <f t="shared" si="15"/>
        <v>0</v>
      </c>
      <c r="AB144" s="183">
        <f t="shared" si="16"/>
        <v>2022.60191</v>
      </c>
      <c r="AC144" s="183"/>
      <c r="AD144" s="183"/>
      <c r="AE144" s="183"/>
      <c r="AF144" s="183"/>
      <c r="AG144" s="183"/>
      <c r="AH144" s="183"/>
      <c r="AI144" s="183"/>
      <c r="AJ144" s="182" t="s">
        <v>314</v>
      </c>
    </row>
    <row r="145" ht="18" customHeight="1" spans="1:36">
      <c r="A145" s="182" t="s">
        <v>461</v>
      </c>
      <c r="B145" s="182" t="s">
        <v>461</v>
      </c>
      <c r="C145" s="182" t="s">
        <v>460</v>
      </c>
      <c r="D145" s="182" t="s">
        <v>138</v>
      </c>
      <c r="E145" s="183">
        <v>77.61</v>
      </c>
      <c r="F145" s="183">
        <f t="shared" si="17"/>
        <v>473.924128</v>
      </c>
      <c r="G145" s="183">
        <f t="shared" si="12"/>
        <v>6.10648277283855</v>
      </c>
      <c r="H145" s="183">
        <v>206.248221</v>
      </c>
      <c r="I145" s="182">
        <v>0</v>
      </c>
      <c r="J145" s="183">
        <v>0</v>
      </c>
      <c r="K145" s="182">
        <v>0</v>
      </c>
      <c r="L145" s="183">
        <v>0</v>
      </c>
      <c r="M145" s="182">
        <v>0</v>
      </c>
      <c r="N145" s="183">
        <v>0</v>
      </c>
      <c r="O145" s="183">
        <v>0</v>
      </c>
      <c r="P145" s="183">
        <v>0</v>
      </c>
      <c r="Q145" s="183">
        <v>0</v>
      </c>
      <c r="R145" s="183">
        <v>267.675907</v>
      </c>
      <c r="S145" s="183">
        <v>0</v>
      </c>
      <c r="T145" s="183">
        <v>0</v>
      </c>
      <c r="U145" s="183">
        <v>0</v>
      </c>
      <c r="V145" s="183">
        <v>0</v>
      </c>
      <c r="W145" s="183">
        <v>0</v>
      </c>
      <c r="X145" s="182">
        <v>0</v>
      </c>
      <c r="Y145" s="183">
        <f t="shared" si="13"/>
        <v>473.924128</v>
      </c>
      <c r="Z145" s="183">
        <f t="shared" si="14"/>
        <v>77.61</v>
      </c>
      <c r="AA145" s="183">
        <f t="shared" si="15"/>
        <v>0</v>
      </c>
      <c r="AB145" s="183">
        <f t="shared" si="16"/>
        <v>0</v>
      </c>
      <c r="AC145" s="183"/>
      <c r="AD145" s="183"/>
      <c r="AE145" s="183"/>
      <c r="AF145" s="183"/>
      <c r="AG145" s="183"/>
      <c r="AH145" s="183"/>
      <c r="AI145" s="183"/>
      <c r="AJ145" s="182" t="s">
        <v>314</v>
      </c>
    </row>
    <row r="146" ht="18" customHeight="1" spans="1:36">
      <c r="A146" s="182" t="s">
        <v>462</v>
      </c>
      <c r="B146" s="182" t="s">
        <v>462</v>
      </c>
      <c r="C146" s="182" t="s">
        <v>460</v>
      </c>
      <c r="D146" s="182" t="s">
        <v>136</v>
      </c>
      <c r="E146" s="183">
        <v>85.22</v>
      </c>
      <c r="F146" s="183">
        <f t="shared" si="17"/>
        <v>288.776666</v>
      </c>
      <c r="G146" s="183">
        <f t="shared" si="12"/>
        <v>3.38860204177423</v>
      </c>
      <c r="H146" s="183">
        <v>0</v>
      </c>
      <c r="I146" s="182">
        <v>0</v>
      </c>
      <c r="J146" s="183">
        <v>0</v>
      </c>
      <c r="K146" s="182">
        <v>0</v>
      </c>
      <c r="L146" s="183">
        <v>288.776666</v>
      </c>
      <c r="M146" s="182">
        <v>0</v>
      </c>
      <c r="N146" s="183">
        <v>0</v>
      </c>
      <c r="O146" s="183">
        <v>0</v>
      </c>
      <c r="P146" s="183">
        <v>0</v>
      </c>
      <c r="Q146" s="183">
        <v>0</v>
      </c>
      <c r="R146" s="183">
        <v>0</v>
      </c>
      <c r="S146" s="183">
        <v>0</v>
      </c>
      <c r="T146" s="183">
        <v>0</v>
      </c>
      <c r="U146" s="183">
        <v>0</v>
      </c>
      <c r="V146" s="183">
        <v>0</v>
      </c>
      <c r="W146" s="183">
        <v>0</v>
      </c>
      <c r="X146" s="182">
        <v>0</v>
      </c>
      <c r="Y146" s="183">
        <f t="shared" si="13"/>
        <v>288.776666</v>
      </c>
      <c r="Z146" s="183">
        <f t="shared" si="14"/>
        <v>85.22</v>
      </c>
      <c r="AA146" s="183">
        <f t="shared" si="15"/>
        <v>0</v>
      </c>
      <c r="AB146" s="183">
        <f t="shared" si="16"/>
        <v>0</v>
      </c>
      <c r="AC146" s="183"/>
      <c r="AD146" s="183"/>
      <c r="AE146" s="183"/>
      <c r="AF146" s="183"/>
      <c r="AG146" s="183"/>
      <c r="AH146" s="183"/>
      <c r="AI146" s="183"/>
      <c r="AJ146" s="182" t="s">
        <v>314</v>
      </c>
    </row>
    <row r="147" ht="18" customHeight="1" spans="1:36">
      <c r="A147" s="182" t="s">
        <v>463</v>
      </c>
      <c r="B147" s="182" t="s">
        <v>463</v>
      </c>
      <c r="C147" s="182" t="s">
        <v>111</v>
      </c>
      <c r="D147" s="182" t="s">
        <v>464</v>
      </c>
      <c r="E147" s="183">
        <v>106.92</v>
      </c>
      <c r="F147" s="183">
        <f t="shared" si="17"/>
        <v>736.513323</v>
      </c>
      <c r="G147" s="183">
        <f t="shared" si="12"/>
        <v>6.888452328844</v>
      </c>
      <c r="H147" s="183">
        <v>541.330054</v>
      </c>
      <c r="I147" s="182">
        <v>2</v>
      </c>
      <c r="J147" s="183">
        <v>0</v>
      </c>
      <c r="K147" s="182">
        <v>0</v>
      </c>
      <c r="L147" s="183">
        <v>0</v>
      </c>
      <c r="M147" s="182">
        <v>0</v>
      </c>
      <c r="N147" s="183">
        <v>0</v>
      </c>
      <c r="O147" s="183">
        <v>0</v>
      </c>
      <c r="P147" s="183">
        <v>0</v>
      </c>
      <c r="Q147" s="183">
        <v>195.183269</v>
      </c>
      <c r="R147" s="183">
        <v>0</v>
      </c>
      <c r="S147" s="183">
        <v>0</v>
      </c>
      <c r="T147" s="183">
        <v>0</v>
      </c>
      <c r="U147" s="183">
        <v>0</v>
      </c>
      <c r="V147" s="183">
        <v>0</v>
      </c>
      <c r="W147" s="183">
        <v>0</v>
      </c>
      <c r="X147" s="182">
        <v>0</v>
      </c>
      <c r="Y147" s="183">
        <f t="shared" si="13"/>
        <v>541.330054</v>
      </c>
      <c r="Z147" s="183">
        <f t="shared" si="14"/>
        <v>106.92</v>
      </c>
      <c r="AA147" s="183">
        <f t="shared" si="15"/>
        <v>0</v>
      </c>
      <c r="AB147" s="183">
        <f t="shared" si="16"/>
        <v>195.183269</v>
      </c>
      <c r="AC147" s="183"/>
      <c r="AD147" s="183"/>
      <c r="AE147" s="183"/>
      <c r="AF147" s="183"/>
      <c r="AG147" s="183"/>
      <c r="AH147" s="183"/>
      <c r="AI147" s="183"/>
      <c r="AJ147" s="182" t="s">
        <v>314</v>
      </c>
    </row>
    <row r="148" ht="18" customHeight="1" spans="1:36">
      <c r="A148" s="182" t="s">
        <v>465</v>
      </c>
      <c r="B148" s="182" t="s">
        <v>465</v>
      </c>
      <c r="C148" s="182" t="s">
        <v>230</v>
      </c>
      <c r="D148" s="182" t="s">
        <v>138</v>
      </c>
      <c r="E148" s="183">
        <v>185.72</v>
      </c>
      <c r="F148" s="183">
        <f t="shared" si="17"/>
        <v>1388.927568</v>
      </c>
      <c r="G148" s="183">
        <f t="shared" si="12"/>
        <v>7.47861063967263</v>
      </c>
      <c r="H148" s="183">
        <v>824.400935</v>
      </c>
      <c r="I148" s="182">
        <v>0</v>
      </c>
      <c r="J148" s="183">
        <v>0</v>
      </c>
      <c r="K148" s="182">
        <v>0</v>
      </c>
      <c r="L148" s="183">
        <v>0</v>
      </c>
      <c r="M148" s="182">
        <v>0</v>
      </c>
      <c r="N148" s="183">
        <v>0</v>
      </c>
      <c r="O148" s="183">
        <v>0</v>
      </c>
      <c r="P148" s="183">
        <v>0</v>
      </c>
      <c r="Q148" s="183">
        <v>523.021492</v>
      </c>
      <c r="R148" s="183">
        <v>0</v>
      </c>
      <c r="S148" s="183">
        <v>41.505141</v>
      </c>
      <c r="T148" s="183">
        <v>0</v>
      </c>
      <c r="U148" s="183">
        <v>0</v>
      </c>
      <c r="V148" s="183">
        <v>0</v>
      </c>
      <c r="W148" s="183">
        <v>0</v>
      </c>
      <c r="X148" s="182">
        <v>0</v>
      </c>
      <c r="Y148" s="183">
        <f t="shared" si="13"/>
        <v>865.906076</v>
      </c>
      <c r="Z148" s="183">
        <f t="shared" si="14"/>
        <v>185.72</v>
      </c>
      <c r="AA148" s="183">
        <f t="shared" si="15"/>
        <v>0</v>
      </c>
      <c r="AB148" s="183">
        <f t="shared" si="16"/>
        <v>523.021492</v>
      </c>
      <c r="AC148" s="183"/>
      <c r="AD148" s="183"/>
      <c r="AE148" s="183"/>
      <c r="AF148" s="183"/>
      <c r="AG148" s="183"/>
      <c r="AH148" s="183"/>
      <c r="AI148" s="183"/>
      <c r="AJ148" s="182" t="s">
        <v>314</v>
      </c>
    </row>
    <row r="149" ht="18" customHeight="1" spans="1:36">
      <c r="A149" s="182" t="s">
        <v>466</v>
      </c>
      <c r="B149" s="182" t="s">
        <v>466</v>
      </c>
      <c r="C149" s="182" t="s">
        <v>467</v>
      </c>
      <c r="D149" s="182" t="s">
        <v>230</v>
      </c>
      <c r="E149" s="183">
        <v>93.28</v>
      </c>
      <c r="F149" s="183">
        <f t="shared" si="17"/>
        <v>468.538519</v>
      </c>
      <c r="G149" s="183">
        <f t="shared" si="12"/>
        <v>5.02292580403087</v>
      </c>
      <c r="H149" s="183">
        <v>468.538519</v>
      </c>
      <c r="I149" s="182">
        <v>0</v>
      </c>
      <c r="J149" s="183">
        <v>0</v>
      </c>
      <c r="K149" s="182">
        <v>0</v>
      </c>
      <c r="L149" s="183">
        <v>0</v>
      </c>
      <c r="M149" s="182">
        <v>0</v>
      </c>
      <c r="N149" s="183">
        <v>0</v>
      </c>
      <c r="O149" s="183">
        <v>0</v>
      </c>
      <c r="P149" s="183">
        <v>0</v>
      </c>
      <c r="Q149" s="183">
        <v>0</v>
      </c>
      <c r="R149" s="183">
        <v>0</v>
      </c>
      <c r="S149" s="183">
        <v>0</v>
      </c>
      <c r="T149" s="183">
        <v>0</v>
      </c>
      <c r="U149" s="183">
        <v>0</v>
      </c>
      <c r="V149" s="183">
        <v>0</v>
      </c>
      <c r="W149" s="183">
        <v>0</v>
      </c>
      <c r="X149" s="182">
        <v>0</v>
      </c>
      <c r="Y149" s="183">
        <f t="shared" si="13"/>
        <v>468.538519</v>
      </c>
      <c r="Z149" s="183">
        <f t="shared" si="14"/>
        <v>93.28</v>
      </c>
      <c r="AA149" s="183">
        <f t="shared" si="15"/>
        <v>0</v>
      </c>
      <c r="AB149" s="183">
        <f t="shared" si="16"/>
        <v>0</v>
      </c>
      <c r="AC149" s="183"/>
      <c r="AD149" s="183"/>
      <c r="AE149" s="183"/>
      <c r="AF149" s="183"/>
      <c r="AG149" s="183"/>
      <c r="AH149" s="183"/>
      <c r="AI149" s="183"/>
      <c r="AJ149" s="182" t="s">
        <v>314</v>
      </c>
    </row>
    <row r="150" ht="18" customHeight="1" spans="1:36">
      <c r="A150" s="182" t="s">
        <v>468</v>
      </c>
      <c r="B150" s="182" t="s">
        <v>468</v>
      </c>
      <c r="C150" s="182" t="s">
        <v>384</v>
      </c>
      <c r="D150" s="182" t="s">
        <v>230</v>
      </c>
      <c r="E150" s="183">
        <v>121.89</v>
      </c>
      <c r="F150" s="183">
        <f t="shared" si="17"/>
        <v>1259.707983</v>
      </c>
      <c r="G150" s="183">
        <f t="shared" si="12"/>
        <v>10.3347935269505</v>
      </c>
      <c r="H150" s="183">
        <v>366.833317</v>
      </c>
      <c r="I150" s="182">
        <v>0</v>
      </c>
      <c r="J150" s="183">
        <v>0</v>
      </c>
      <c r="K150" s="182">
        <v>0</v>
      </c>
      <c r="L150" s="183">
        <v>0</v>
      </c>
      <c r="M150" s="182">
        <v>0</v>
      </c>
      <c r="N150" s="183">
        <v>336.965462</v>
      </c>
      <c r="O150" s="183">
        <v>0</v>
      </c>
      <c r="P150" s="183">
        <v>0</v>
      </c>
      <c r="Q150" s="183">
        <v>261.545614</v>
      </c>
      <c r="R150" s="183">
        <v>294.36359</v>
      </c>
      <c r="S150" s="183">
        <v>0</v>
      </c>
      <c r="T150" s="183">
        <v>0</v>
      </c>
      <c r="U150" s="183">
        <v>0</v>
      </c>
      <c r="V150" s="183">
        <v>0</v>
      </c>
      <c r="W150" s="183">
        <v>0</v>
      </c>
      <c r="X150" s="182">
        <v>0</v>
      </c>
      <c r="Y150" s="183">
        <f t="shared" si="13"/>
        <v>998.162369</v>
      </c>
      <c r="Z150" s="183">
        <f t="shared" si="14"/>
        <v>121.89</v>
      </c>
      <c r="AA150" s="183">
        <f t="shared" si="15"/>
        <v>0</v>
      </c>
      <c r="AB150" s="183">
        <f t="shared" si="16"/>
        <v>261.545614</v>
      </c>
      <c r="AC150" s="183"/>
      <c r="AD150" s="183"/>
      <c r="AE150" s="183"/>
      <c r="AF150" s="183"/>
      <c r="AG150" s="183"/>
      <c r="AH150" s="183"/>
      <c r="AI150" s="183"/>
      <c r="AJ150" s="182" t="s">
        <v>314</v>
      </c>
    </row>
    <row r="151" ht="18" customHeight="1" spans="1:36">
      <c r="A151" s="182" t="s">
        <v>469</v>
      </c>
      <c r="B151" s="182" t="s">
        <v>469</v>
      </c>
      <c r="C151" s="182" t="s">
        <v>230</v>
      </c>
      <c r="D151" s="182" t="s">
        <v>465</v>
      </c>
      <c r="E151" s="183">
        <v>100.78</v>
      </c>
      <c r="F151" s="183">
        <f t="shared" si="17"/>
        <v>358.379788</v>
      </c>
      <c r="G151" s="183">
        <f t="shared" si="12"/>
        <v>3.55606060726335</v>
      </c>
      <c r="H151" s="183">
        <v>358.379788</v>
      </c>
      <c r="I151" s="182">
        <v>0</v>
      </c>
      <c r="J151" s="183">
        <v>0</v>
      </c>
      <c r="K151" s="182">
        <v>0</v>
      </c>
      <c r="L151" s="183">
        <v>0</v>
      </c>
      <c r="M151" s="182">
        <v>0</v>
      </c>
      <c r="N151" s="183">
        <v>0</v>
      </c>
      <c r="O151" s="183">
        <v>0</v>
      </c>
      <c r="P151" s="183">
        <v>0</v>
      </c>
      <c r="Q151" s="183">
        <v>0</v>
      </c>
      <c r="R151" s="183">
        <v>0</v>
      </c>
      <c r="S151" s="183">
        <v>0</v>
      </c>
      <c r="T151" s="183">
        <v>0</v>
      </c>
      <c r="U151" s="183">
        <v>0</v>
      </c>
      <c r="V151" s="183">
        <v>0</v>
      </c>
      <c r="W151" s="183">
        <v>0</v>
      </c>
      <c r="X151" s="182">
        <v>0</v>
      </c>
      <c r="Y151" s="183">
        <f t="shared" si="13"/>
        <v>358.379788</v>
      </c>
      <c r="Z151" s="183">
        <f t="shared" si="14"/>
        <v>100.78</v>
      </c>
      <c r="AA151" s="183">
        <f t="shared" si="15"/>
        <v>0</v>
      </c>
      <c r="AB151" s="183">
        <f t="shared" si="16"/>
        <v>0</v>
      </c>
      <c r="AC151" s="183"/>
      <c r="AD151" s="183"/>
      <c r="AE151" s="183"/>
      <c r="AF151" s="183"/>
      <c r="AG151" s="183"/>
      <c r="AH151" s="183"/>
      <c r="AI151" s="183"/>
      <c r="AJ151" s="182" t="s">
        <v>314</v>
      </c>
    </row>
    <row r="152" ht="18" customHeight="1" spans="1:36">
      <c r="A152" s="182" t="s">
        <v>470</v>
      </c>
      <c r="B152" s="182" t="s">
        <v>470</v>
      </c>
      <c r="C152" s="182" t="s">
        <v>230</v>
      </c>
      <c r="D152" s="182" t="s">
        <v>465</v>
      </c>
      <c r="E152" s="183">
        <v>101.52</v>
      </c>
      <c r="F152" s="183">
        <f t="shared" si="17"/>
        <v>347.099548</v>
      </c>
      <c r="G152" s="183">
        <f t="shared" si="12"/>
        <v>3.41902628053586</v>
      </c>
      <c r="H152" s="183">
        <v>347.099548</v>
      </c>
      <c r="I152" s="182">
        <v>0</v>
      </c>
      <c r="J152" s="183">
        <v>0</v>
      </c>
      <c r="K152" s="182">
        <v>0</v>
      </c>
      <c r="L152" s="183">
        <v>0</v>
      </c>
      <c r="M152" s="182">
        <v>0</v>
      </c>
      <c r="N152" s="183">
        <v>0</v>
      </c>
      <c r="O152" s="183">
        <v>0</v>
      </c>
      <c r="P152" s="183">
        <v>0</v>
      </c>
      <c r="Q152" s="183">
        <v>0</v>
      </c>
      <c r="R152" s="183">
        <v>0</v>
      </c>
      <c r="S152" s="183">
        <v>0</v>
      </c>
      <c r="T152" s="183">
        <v>0</v>
      </c>
      <c r="U152" s="183">
        <v>0</v>
      </c>
      <c r="V152" s="183">
        <v>0</v>
      </c>
      <c r="W152" s="183">
        <v>0</v>
      </c>
      <c r="X152" s="182">
        <v>0</v>
      </c>
      <c r="Y152" s="183">
        <f t="shared" si="13"/>
        <v>347.099548</v>
      </c>
      <c r="Z152" s="183">
        <f t="shared" si="14"/>
        <v>101.52</v>
      </c>
      <c r="AA152" s="183">
        <f t="shared" si="15"/>
        <v>0</v>
      </c>
      <c r="AB152" s="183">
        <f t="shared" si="16"/>
        <v>0</v>
      </c>
      <c r="AC152" s="183"/>
      <c r="AD152" s="183"/>
      <c r="AE152" s="183"/>
      <c r="AF152" s="183"/>
      <c r="AG152" s="183"/>
      <c r="AH152" s="183"/>
      <c r="AI152" s="183"/>
      <c r="AJ152" s="182" t="s">
        <v>314</v>
      </c>
    </row>
    <row r="153" ht="18" customHeight="1" spans="1:36">
      <c r="A153" s="182" t="s">
        <v>471</v>
      </c>
      <c r="B153" s="182" t="s">
        <v>471</v>
      </c>
      <c r="C153" s="182" t="s">
        <v>230</v>
      </c>
      <c r="D153" s="182" t="s">
        <v>231</v>
      </c>
      <c r="E153" s="183">
        <v>44.52</v>
      </c>
      <c r="F153" s="183">
        <f t="shared" si="17"/>
        <v>201.819258</v>
      </c>
      <c r="G153" s="183">
        <f t="shared" si="12"/>
        <v>4.53322681940701</v>
      </c>
      <c r="H153" s="183">
        <v>201.819258</v>
      </c>
      <c r="I153" s="182">
        <v>0</v>
      </c>
      <c r="J153" s="183">
        <v>0</v>
      </c>
      <c r="K153" s="182">
        <v>0</v>
      </c>
      <c r="L153" s="183">
        <v>0</v>
      </c>
      <c r="M153" s="182">
        <v>0</v>
      </c>
      <c r="N153" s="183">
        <v>0</v>
      </c>
      <c r="O153" s="183">
        <v>0</v>
      </c>
      <c r="P153" s="183">
        <v>0</v>
      </c>
      <c r="Q153" s="183">
        <v>0</v>
      </c>
      <c r="R153" s="183">
        <v>0</v>
      </c>
      <c r="S153" s="183">
        <v>0</v>
      </c>
      <c r="T153" s="183">
        <v>0</v>
      </c>
      <c r="U153" s="183">
        <v>0</v>
      </c>
      <c r="V153" s="183">
        <v>0</v>
      </c>
      <c r="W153" s="183">
        <v>0</v>
      </c>
      <c r="X153" s="182">
        <v>0</v>
      </c>
      <c r="Y153" s="183">
        <f t="shared" si="13"/>
        <v>201.819258</v>
      </c>
      <c r="Z153" s="183">
        <f t="shared" si="14"/>
        <v>44.52</v>
      </c>
      <c r="AA153" s="183">
        <f t="shared" si="15"/>
        <v>0</v>
      </c>
      <c r="AB153" s="183">
        <f t="shared" si="16"/>
        <v>0</v>
      </c>
      <c r="AC153" s="183"/>
      <c r="AD153" s="183"/>
      <c r="AE153" s="183"/>
      <c r="AF153" s="183"/>
      <c r="AG153" s="183"/>
      <c r="AH153" s="183"/>
      <c r="AI153" s="183"/>
      <c r="AJ153" s="182" t="s">
        <v>314</v>
      </c>
    </row>
    <row r="154" ht="18" customHeight="1" spans="1:36">
      <c r="A154" s="182" t="s">
        <v>467</v>
      </c>
      <c r="B154" s="182" t="s">
        <v>467</v>
      </c>
      <c r="C154" s="182" t="s">
        <v>230</v>
      </c>
      <c r="D154" s="182" t="s">
        <v>468</v>
      </c>
      <c r="E154" s="183">
        <v>265.77</v>
      </c>
      <c r="F154" s="183">
        <f t="shared" si="17"/>
        <v>3214.024035</v>
      </c>
      <c r="G154" s="183">
        <f t="shared" si="12"/>
        <v>12.0932536968055</v>
      </c>
      <c r="H154" s="183">
        <v>1100.819226</v>
      </c>
      <c r="I154" s="182">
        <v>0</v>
      </c>
      <c r="J154" s="183">
        <v>0</v>
      </c>
      <c r="K154" s="182">
        <v>0</v>
      </c>
      <c r="L154" s="183">
        <v>0</v>
      </c>
      <c r="M154" s="182">
        <v>0</v>
      </c>
      <c r="N154" s="183">
        <v>51.54134</v>
      </c>
      <c r="O154" s="183">
        <v>0</v>
      </c>
      <c r="P154" s="183">
        <v>0</v>
      </c>
      <c r="Q154" s="183">
        <v>2061.663469</v>
      </c>
      <c r="R154" s="183">
        <v>0</v>
      </c>
      <c r="S154" s="183">
        <v>0</v>
      </c>
      <c r="T154" s="183">
        <v>0</v>
      </c>
      <c r="U154" s="183">
        <v>0</v>
      </c>
      <c r="V154" s="183">
        <v>0</v>
      </c>
      <c r="W154" s="183">
        <v>0</v>
      </c>
      <c r="X154" s="182">
        <v>0</v>
      </c>
      <c r="Y154" s="183">
        <f t="shared" si="13"/>
        <v>1152.360566</v>
      </c>
      <c r="Z154" s="183">
        <f t="shared" si="14"/>
        <v>265.77</v>
      </c>
      <c r="AA154" s="183">
        <f t="shared" si="15"/>
        <v>0</v>
      </c>
      <c r="AB154" s="183">
        <f t="shared" si="16"/>
        <v>2061.663469</v>
      </c>
      <c r="AC154" s="183"/>
      <c r="AD154" s="183"/>
      <c r="AE154" s="183"/>
      <c r="AF154" s="183"/>
      <c r="AG154" s="183"/>
      <c r="AH154" s="183"/>
      <c r="AI154" s="183"/>
      <c r="AJ154" s="182" t="s">
        <v>314</v>
      </c>
    </row>
    <row r="155" ht="18" customHeight="1" spans="1:36">
      <c r="A155" s="182" t="s">
        <v>472</v>
      </c>
      <c r="B155" s="182" t="s">
        <v>472</v>
      </c>
      <c r="C155" s="182" t="s">
        <v>467</v>
      </c>
      <c r="D155" s="182" t="s">
        <v>230</v>
      </c>
      <c r="E155" s="183">
        <v>94.79</v>
      </c>
      <c r="F155" s="183">
        <f t="shared" si="17"/>
        <v>331.734012</v>
      </c>
      <c r="G155" s="183">
        <f t="shared" si="12"/>
        <v>3.49967308787847</v>
      </c>
      <c r="H155" s="183">
        <v>331.734012</v>
      </c>
      <c r="I155" s="182">
        <v>0</v>
      </c>
      <c r="J155" s="183">
        <v>0</v>
      </c>
      <c r="K155" s="182">
        <v>0</v>
      </c>
      <c r="L155" s="183">
        <v>0</v>
      </c>
      <c r="M155" s="182">
        <v>0</v>
      </c>
      <c r="N155" s="183">
        <v>0</v>
      </c>
      <c r="O155" s="183">
        <v>0</v>
      </c>
      <c r="P155" s="183">
        <v>0</v>
      </c>
      <c r="Q155" s="183">
        <v>0</v>
      </c>
      <c r="R155" s="183">
        <v>0</v>
      </c>
      <c r="S155" s="183">
        <v>0</v>
      </c>
      <c r="T155" s="183">
        <v>0</v>
      </c>
      <c r="U155" s="183">
        <v>0</v>
      </c>
      <c r="V155" s="183">
        <v>0</v>
      </c>
      <c r="W155" s="183">
        <v>0</v>
      </c>
      <c r="X155" s="182">
        <v>0</v>
      </c>
      <c r="Y155" s="183">
        <f t="shared" si="13"/>
        <v>331.734012</v>
      </c>
      <c r="Z155" s="183">
        <f t="shared" si="14"/>
        <v>94.79</v>
      </c>
      <c r="AA155" s="183">
        <f t="shared" si="15"/>
        <v>0</v>
      </c>
      <c r="AB155" s="183">
        <f t="shared" si="16"/>
        <v>0</v>
      </c>
      <c r="AC155" s="183"/>
      <c r="AD155" s="183"/>
      <c r="AE155" s="183"/>
      <c r="AF155" s="183"/>
      <c r="AG155" s="183"/>
      <c r="AH155" s="183"/>
      <c r="AI155" s="183"/>
      <c r="AJ155" s="182" t="s">
        <v>314</v>
      </c>
    </row>
    <row r="156" ht="18" customHeight="1" spans="1:36">
      <c r="A156" s="182" t="s">
        <v>473</v>
      </c>
      <c r="B156" s="182" t="s">
        <v>473</v>
      </c>
      <c r="C156" s="182" t="s">
        <v>467</v>
      </c>
      <c r="D156" s="182" t="s">
        <v>230</v>
      </c>
      <c r="E156" s="183">
        <v>95.49</v>
      </c>
      <c r="F156" s="183">
        <f t="shared" si="17"/>
        <v>387.471249</v>
      </c>
      <c r="G156" s="183">
        <f t="shared" si="12"/>
        <v>4.05771545711593</v>
      </c>
      <c r="H156" s="183">
        <v>387.471249</v>
      </c>
      <c r="I156" s="182">
        <v>0</v>
      </c>
      <c r="J156" s="183">
        <v>0</v>
      </c>
      <c r="K156" s="182">
        <v>0</v>
      </c>
      <c r="L156" s="183">
        <v>0</v>
      </c>
      <c r="M156" s="182">
        <v>0</v>
      </c>
      <c r="N156" s="183">
        <v>0</v>
      </c>
      <c r="O156" s="183">
        <v>0</v>
      </c>
      <c r="P156" s="183">
        <v>0</v>
      </c>
      <c r="Q156" s="183">
        <v>0</v>
      </c>
      <c r="R156" s="183">
        <v>0</v>
      </c>
      <c r="S156" s="183">
        <v>0</v>
      </c>
      <c r="T156" s="183">
        <v>0</v>
      </c>
      <c r="U156" s="183">
        <v>0</v>
      </c>
      <c r="V156" s="183">
        <v>0</v>
      </c>
      <c r="W156" s="183">
        <v>0</v>
      </c>
      <c r="X156" s="182">
        <v>0</v>
      </c>
      <c r="Y156" s="183">
        <f t="shared" si="13"/>
        <v>387.471249</v>
      </c>
      <c r="Z156" s="183">
        <f t="shared" si="14"/>
        <v>95.49</v>
      </c>
      <c r="AA156" s="183">
        <f t="shared" si="15"/>
        <v>0</v>
      </c>
      <c r="AB156" s="183">
        <f t="shared" si="16"/>
        <v>0</v>
      </c>
      <c r="AC156" s="183"/>
      <c r="AD156" s="183"/>
      <c r="AE156" s="183"/>
      <c r="AF156" s="183"/>
      <c r="AG156" s="183"/>
      <c r="AH156" s="183"/>
      <c r="AI156" s="183"/>
      <c r="AJ156" s="182" t="s">
        <v>314</v>
      </c>
    </row>
    <row r="157" ht="18" customHeight="1" spans="1:36">
      <c r="A157" s="182" t="s">
        <v>474</v>
      </c>
      <c r="B157" s="182" t="s">
        <v>474</v>
      </c>
      <c r="C157" s="182" t="s">
        <v>467</v>
      </c>
      <c r="D157" s="182" t="s">
        <v>230</v>
      </c>
      <c r="E157" s="183">
        <v>95.92</v>
      </c>
      <c r="F157" s="183">
        <f t="shared" si="17"/>
        <v>414.76588</v>
      </c>
      <c r="G157" s="183">
        <f t="shared" si="12"/>
        <v>4.3240813177648</v>
      </c>
      <c r="H157" s="183">
        <v>414.76588</v>
      </c>
      <c r="I157" s="182">
        <v>0</v>
      </c>
      <c r="J157" s="183">
        <v>0</v>
      </c>
      <c r="K157" s="182">
        <v>0</v>
      </c>
      <c r="L157" s="183">
        <v>0</v>
      </c>
      <c r="M157" s="182">
        <v>0</v>
      </c>
      <c r="N157" s="183">
        <v>0</v>
      </c>
      <c r="O157" s="183">
        <v>0</v>
      </c>
      <c r="P157" s="183">
        <v>0</v>
      </c>
      <c r="Q157" s="183">
        <v>0</v>
      </c>
      <c r="R157" s="183">
        <v>0</v>
      </c>
      <c r="S157" s="183">
        <v>0</v>
      </c>
      <c r="T157" s="183">
        <v>0</v>
      </c>
      <c r="U157" s="183">
        <v>0</v>
      </c>
      <c r="V157" s="183">
        <v>0</v>
      </c>
      <c r="W157" s="183">
        <v>0</v>
      </c>
      <c r="X157" s="182">
        <v>0</v>
      </c>
      <c r="Y157" s="183">
        <f t="shared" si="13"/>
        <v>414.76588</v>
      </c>
      <c r="Z157" s="183">
        <f t="shared" si="14"/>
        <v>95.92</v>
      </c>
      <c r="AA157" s="183">
        <f t="shared" si="15"/>
        <v>0</v>
      </c>
      <c r="AB157" s="183">
        <f t="shared" si="16"/>
        <v>0</v>
      </c>
      <c r="AC157" s="183"/>
      <c r="AD157" s="183"/>
      <c r="AE157" s="183"/>
      <c r="AF157" s="183"/>
      <c r="AG157" s="183"/>
      <c r="AH157" s="183"/>
      <c r="AI157" s="183"/>
      <c r="AJ157" s="182" t="s">
        <v>314</v>
      </c>
    </row>
    <row r="158" ht="18" customHeight="1" spans="1:36">
      <c r="A158" s="182" t="s">
        <v>475</v>
      </c>
      <c r="B158" s="182" t="s">
        <v>475</v>
      </c>
      <c r="C158" s="182" t="s">
        <v>467</v>
      </c>
      <c r="D158" s="182" t="s">
        <v>230</v>
      </c>
      <c r="E158" s="183">
        <v>94.31</v>
      </c>
      <c r="F158" s="183">
        <f t="shared" si="17"/>
        <v>600.444971</v>
      </c>
      <c r="G158" s="183">
        <f t="shared" si="12"/>
        <v>6.36671584137419</v>
      </c>
      <c r="H158" s="183">
        <v>600.444971</v>
      </c>
      <c r="I158" s="182">
        <v>0</v>
      </c>
      <c r="J158" s="183">
        <v>0</v>
      </c>
      <c r="K158" s="182">
        <v>0</v>
      </c>
      <c r="L158" s="183">
        <v>0</v>
      </c>
      <c r="M158" s="182">
        <v>0</v>
      </c>
      <c r="N158" s="183">
        <v>0</v>
      </c>
      <c r="O158" s="183">
        <v>0</v>
      </c>
      <c r="P158" s="183">
        <v>0</v>
      </c>
      <c r="Q158" s="183">
        <v>0</v>
      </c>
      <c r="R158" s="183">
        <v>0</v>
      </c>
      <c r="S158" s="183">
        <v>0</v>
      </c>
      <c r="T158" s="183">
        <v>0</v>
      </c>
      <c r="U158" s="183">
        <v>0</v>
      </c>
      <c r="V158" s="183">
        <v>0</v>
      </c>
      <c r="W158" s="183">
        <v>0</v>
      </c>
      <c r="X158" s="182">
        <v>0</v>
      </c>
      <c r="Y158" s="183">
        <f t="shared" si="13"/>
        <v>600.444971</v>
      </c>
      <c r="Z158" s="183">
        <f t="shared" si="14"/>
        <v>94.31</v>
      </c>
      <c r="AA158" s="183">
        <f t="shared" si="15"/>
        <v>0</v>
      </c>
      <c r="AB158" s="183">
        <f t="shared" si="16"/>
        <v>0</v>
      </c>
      <c r="AC158" s="183"/>
      <c r="AD158" s="183"/>
      <c r="AE158" s="183"/>
      <c r="AF158" s="183"/>
      <c r="AG158" s="183"/>
      <c r="AH158" s="183"/>
      <c r="AI158" s="183"/>
      <c r="AJ158" s="182" t="s">
        <v>314</v>
      </c>
    </row>
    <row r="159" ht="18" customHeight="1" spans="1:36">
      <c r="A159" s="182" t="s">
        <v>476</v>
      </c>
      <c r="B159" s="182" t="s">
        <v>476</v>
      </c>
      <c r="C159" s="182" t="s">
        <v>477</v>
      </c>
      <c r="D159" s="182" t="s">
        <v>139</v>
      </c>
      <c r="E159" s="183">
        <v>63.97</v>
      </c>
      <c r="F159" s="183">
        <f t="shared" si="17"/>
        <v>2962.185294</v>
      </c>
      <c r="G159" s="183">
        <f t="shared" si="12"/>
        <v>46.3058510864468</v>
      </c>
      <c r="H159" s="183">
        <v>1475.262617</v>
      </c>
      <c r="I159" s="182">
        <v>2</v>
      </c>
      <c r="J159" s="183">
        <v>0</v>
      </c>
      <c r="K159" s="182">
        <v>0</v>
      </c>
      <c r="L159" s="183">
        <v>0</v>
      </c>
      <c r="M159" s="182">
        <v>0</v>
      </c>
      <c r="N159" s="183">
        <v>22.844332</v>
      </c>
      <c r="O159" s="183">
        <v>0</v>
      </c>
      <c r="P159" s="183">
        <v>0</v>
      </c>
      <c r="Q159" s="183">
        <v>59.944225</v>
      </c>
      <c r="R159" s="183">
        <v>1404.13412</v>
      </c>
      <c r="S159" s="183">
        <v>0</v>
      </c>
      <c r="T159" s="183">
        <v>0</v>
      </c>
      <c r="U159" s="183">
        <v>0</v>
      </c>
      <c r="V159" s="183">
        <v>0</v>
      </c>
      <c r="W159" s="183">
        <v>0</v>
      </c>
      <c r="X159" s="182">
        <v>0</v>
      </c>
      <c r="Y159" s="183">
        <f t="shared" si="13"/>
        <v>2902.241069</v>
      </c>
      <c r="Z159" s="183">
        <f t="shared" si="14"/>
        <v>63.97</v>
      </c>
      <c r="AA159" s="183">
        <f t="shared" si="15"/>
        <v>0</v>
      </c>
      <c r="AB159" s="183">
        <f t="shared" si="16"/>
        <v>59.944225</v>
      </c>
      <c r="AC159" s="183"/>
      <c r="AD159" s="183"/>
      <c r="AE159" s="183"/>
      <c r="AF159" s="183"/>
      <c r="AG159" s="183"/>
      <c r="AH159" s="183"/>
      <c r="AI159" s="183"/>
      <c r="AJ159" s="182" t="s">
        <v>314</v>
      </c>
    </row>
    <row r="160" ht="18" customHeight="1" spans="1:36">
      <c r="A160" s="182" t="s">
        <v>478</v>
      </c>
      <c r="B160" s="182" t="s">
        <v>478</v>
      </c>
      <c r="C160" s="182" t="s">
        <v>203</v>
      </c>
      <c r="D160" s="182" t="s">
        <v>479</v>
      </c>
      <c r="E160" s="183">
        <v>110.22</v>
      </c>
      <c r="F160" s="183">
        <f t="shared" si="17"/>
        <v>717.517457</v>
      </c>
      <c r="G160" s="183">
        <f t="shared" si="12"/>
        <v>6.50986624024678</v>
      </c>
      <c r="H160" s="183">
        <v>676.405213</v>
      </c>
      <c r="I160" s="182">
        <v>0</v>
      </c>
      <c r="J160" s="183">
        <v>0</v>
      </c>
      <c r="K160" s="182">
        <v>0</v>
      </c>
      <c r="L160" s="183">
        <v>0</v>
      </c>
      <c r="M160" s="182">
        <v>0</v>
      </c>
      <c r="N160" s="183">
        <v>0</v>
      </c>
      <c r="O160" s="183">
        <v>0</v>
      </c>
      <c r="P160" s="183">
        <v>0</v>
      </c>
      <c r="Q160" s="183">
        <v>5.112272</v>
      </c>
      <c r="R160" s="183">
        <v>35.999972</v>
      </c>
      <c r="S160" s="183">
        <v>0</v>
      </c>
      <c r="T160" s="183">
        <v>0</v>
      </c>
      <c r="U160" s="183">
        <v>0</v>
      </c>
      <c r="V160" s="183">
        <v>0</v>
      </c>
      <c r="W160" s="183">
        <v>0</v>
      </c>
      <c r="X160" s="182">
        <v>0</v>
      </c>
      <c r="Y160" s="183">
        <f t="shared" si="13"/>
        <v>712.405185</v>
      </c>
      <c r="Z160" s="183">
        <f t="shared" si="14"/>
        <v>110.22</v>
      </c>
      <c r="AA160" s="183">
        <f t="shared" si="15"/>
        <v>0</v>
      </c>
      <c r="AB160" s="183">
        <f t="shared" si="16"/>
        <v>5.112272</v>
      </c>
      <c r="AC160" s="183"/>
      <c r="AD160" s="183"/>
      <c r="AE160" s="183"/>
      <c r="AF160" s="183"/>
      <c r="AG160" s="183"/>
      <c r="AH160" s="183"/>
      <c r="AI160" s="183"/>
      <c r="AJ160" s="182" t="s">
        <v>314</v>
      </c>
    </row>
    <row r="161" ht="18" customHeight="1" spans="1:36">
      <c r="A161" s="182" t="s">
        <v>480</v>
      </c>
      <c r="B161" s="182" t="s">
        <v>480</v>
      </c>
      <c r="C161" s="182" t="s">
        <v>478</v>
      </c>
      <c r="D161" s="182" t="s">
        <v>479</v>
      </c>
      <c r="E161" s="183">
        <v>36.96</v>
      </c>
      <c r="F161" s="183">
        <f t="shared" si="17"/>
        <v>271.271404</v>
      </c>
      <c r="G161" s="183">
        <f t="shared" si="12"/>
        <v>7.33959426406926</v>
      </c>
      <c r="H161" s="183">
        <v>271.271404</v>
      </c>
      <c r="I161" s="182">
        <v>0</v>
      </c>
      <c r="J161" s="183">
        <v>0</v>
      </c>
      <c r="K161" s="182">
        <v>0</v>
      </c>
      <c r="L161" s="183">
        <v>0</v>
      </c>
      <c r="M161" s="182">
        <v>0</v>
      </c>
      <c r="N161" s="183">
        <v>0</v>
      </c>
      <c r="O161" s="183">
        <v>0</v>
      </c>
      <c r="P161" s="183">
        <v>0</v>
      </c>
      <c r="Q161" s="183">
        <v>0</v>
      </c>
      <c r="R161" s="183">
        <v>0</v>
      </c>
      <c r="S161" s="183">
        <v>0</v>
      </c>
      <c r="T161" s="183">
        <v>0</v>
      </c>
      <c r="U161" s="183">
        <v>0</v>
      </c>
      <c r="V161" s="183">
        <v>0</v>
      </c>
      <c r="W161" s="183">
        <v>0</v>
      </c>
      <c r="X161" s="182">
        <v>0</v>
      </c>
      <c r="Y161" s="183">
        <f t="shared" si="13"/>
        <v>271.271404</v>
      </c>
      <c r="Z161" s="183">
        <f t="shared" si="14"/>
        <v>36.96</v>
      </c>
      <c r="AA161" s="183">
        <f t="shared" si="15"/>
        <v>0</v>
      </c>
      <c r="AB161" s="183">
        <f t="shared" si="16"/>
        <v>0</v>
      </c>
      <c r="AC161" s="183"/>
      <c r="AD161" s="183"/>
      <c r="AE161" s="183"/>
      <c r="AF161" s="183"/>
      <c r="AG161" s="183"/>
      <c r="AH161" s="183"/>
      <c r="AI161" s="183"/>
      <c r="AJ161" s="182" t="s">
        <v>314</v>
      </c>
    </row>
    <row r="162" ht="18" customHeight="1" spans="1:36">
      <c r="A162" s="182" t="s">
        <v>481</v>
      </c>
      <c r="B162" s="182" t="s">
        <v>481</v>
      </c>
      <c r="C162" s="182" t="s">
        <v>482</v>
      </c>
      <c r="D162" s="182" t="s">
        <v>265</v>
      </c>
      <c r="E162" s="183">
        <v>80.53</v>
      </c>
      <c r="F162" s="183">
        <f t="shared" si="17"/>
        <v>242.142194</v>
      </c>
      <c r="G162" s="183">
        <f t="shared" si="12"/>
        <v>3.00685699739228</v>
      </c>
      <c r="H162" s="183">
        <v>242.142194</v>
      </c>
      <c r="I162" s="182">
        <v>0</v>
      </c>
      <c r="J162" s="183">
        <v>0</v>
      </c>
      <c r="K162" s="182">
        <v>0</v>
      </c>
      <c r="L162" s="183">
        <v>0</v>
      </c>
      <c r="M162" s="182">
        <v>0</v>
      </c>
      <c r="N162" s="183">
        <v>0</v>
      </c>
      <c r="O162" s="183">
        <v>0</v>
      </c>
      <c r="P162" s="183">
        <v>0</v>
      </c>
      <c r="Q162" s="183">
        <v>0</v>
      </c>
      <c r="R162" s="183">
        <v>0</v>
      </c>
      <c r="S162" s="183">
        <v>0</v>
      </c>
      <c r="T162" s="183">
        <v>0</v>
      </c>
      <c r="U162" s="183">
        <v>0</v>
      </c>
      <c r="V162" s="183">
        <v>0</v>
      </c>
      <c r="W162" s="183">
        <v>0</v>
      </c>
      <c r="X162" s="182">
        <v>0</v>
      </c>
      <c r="Y162" s="183">
        <f t="shared" si="13"/>
        <v>242.142194</v>
      </c>
      <c r="Z162" s="183">
        <f t="shared" si="14"/>
        <v>80.53</v>
      </c>
      <c r="AA162" s="183">
        <f t="shared" si="15"/>
        <v>0</v>
      </c>
      <c r="AB162" s="183">
        <f t="shared" si="16"/>
        <v>0</v>
      </c>
      <c r="AC162" s="183"/>
      <c r="AD162" s="183"/>
      <c r="AE162" s="183"/>
      <c r="AF162" s="183"/>
      <c r="AG162" s="183"/>
      <c r="AH162" s="183"/>
      <c r="AI162" s="183"/>
      <c r="AJ162" s="182" t="s">
        <v>314</v>
      </c>
    </row>
    <row r="163" ht="18" customHeight="1" spans="1:36">
      <c r="A163" s="182" t="s">
        <v>447</v>
      </c>
      <c r="B163" s="182" t="s">
        <v>447</v>
      </c>
      <c r="C163" s="182" t="s">
        <v>441</v>
      </c>
      <c r="D163" s="182" t="s">
        <v>206</v>
      </c>
      <c r="E163" s="183">
        <v>157.17</v>
      </c>
      <c r="F163" s="183">
        <f t="shared" si="17"/>
        <v>883.864682</v>
      </c>
      <c r="G163" s="183">
        <f t="shared" si="12"/>
        <v>5.62362207800471</v>
      </c>
      <c r="H163" s="183">
        <v>883.864682</v>
      </c>
      <c r="I163" s="182">
        <v>0</v>
      </c>
      <c r="J163" s="183">
        <v>0</v>
      </c>
      <c r="K163" s="182">
        <v>0</v>
      </c>
      <c r="L163" s="183">
        <v>0</v>
      </c>
      <c r="M163" s="182">
        <v>0</v>
      </c>
      <c r="N163" s="183">
        <v>0</v>
      </c>
      <c r="O163" s="183">
        <v>0</v>
      </c>
      <c r="P163" s="183">
        <v>0</v>
      </c>
      <c r="Q163" s="183">
        <v>0</v>
      </c>
      <c r="R163" s="183">
        <v>0</v>
      </c>
      <c r="S163" s="183">
        <v>0</v>
      </c>
      <c r="T163" s="183">
        <v>0</v>
      </c>
      <c r="U163" s="183">
        <v>0</v>
      </c>
      <c r="V163" s="183">
        <v>0</v>
      </c>
      <c r="W163" s="183">
        <v>0</v>
      </c>
      <c r="X163" s="182">
        <v>0</v>
      </c>
      <c r="Y163" s="183">
        <f t="shared" si="13"/>
        <v>883.864682</v>
      </c>
      <c r="Z163" s="183">
        <f t="shared" si="14"/>
        <v>157.17</v>
      </c>
      <c r="AA163" s="183">
        <f t="shared" si="15"/>
        <v>0</v>
      </c>
      <c r="AB163" s="183">
        <f t="shared" si="16"/>
        <v>0</v>
      </c>
      <c r="AC163" s="183"/>
      <c r="AD163" s="183"/>
      <c r="AE163" s="183"/>
      <c r="AF163" s="183"/>
      <c r="AG163" s="183"/>
      <c r="AH163" s="183"/>
      <c r="AI163" s="183"/>
      <c r="AJ163" s="182" t="s">
        <v>314</v>
      </c>
    </row>
    <row r="164" ht="18" customHeight="1" spans="1:36">
      <c r="A164" s="182" t="s">
        <v>483</v>
      </c>
      <c r="B164" s="182" t="s">
        <v>483</v>
      </c>
      <c r="C164" s="182" t="s">
        <v>484</v>
      </c>
      <c r="D164" s="182" t="s">
        <v>92</v>
      </c>
      <c r="E164" s="183">
        <v>234.73</v>
      </c>
      <c r="F164" s="183">
        <f t="shared" si="17"/>
        <v>1975.400241</v>
      </c>
      <c r="G164" s="183">
        <f t="shared" si="12"/>
        <v>8.41562749116006</v>
      </c>
      <c r="H164" s="183">
        <v>1103.841736</v>
      </c>
      <c r="I164" s="182">
        <v>0</v>
      </c>
      <c r="J164" s="183">
        <v>0</v>
      </c>
      <c r="K164" s="182">
        <v>0</v>
      </c>
      <c r="L164" s="183">
        <v>0</v>
      </c>
      <c r="M164" s="182">
        <v>0</v>
      </c>
      <c r="N164" s="183">
        <v>102.594315</v>
      </c>
      <c r="O164" s="183">
        <v>0</v>
      </c>
      <c r="P164" s="183">
        <v>0</v>
      </c>
      <c r="Q164" s="183">
        <v>228.562245</v>
      </c>
      <c r="R164" s="183">
        <v>540.401945</v>
      </c>
      <c r="S164" s="183">
        <v>0</v>
      </c>
      <c r="T164" s="183">
        <v>0</v>
      </c>
      <c r="U164" s="183">
        <v>0</v>
      </c>
      <c r="V164" s="183">
        <v>0</v>
      </c>
      <c r="W164" s="183">
        <v>0</v>
      </c>
      <c r="X164" s="182">
        <v>0</v>
      </c>
      <c r="Y164" s="183">
        <f t="shared" si="13"/>
        <v>1746.837996</v>
      </c>
      <c r="Z164" s="183">
        <f t="shared" si="14"/>
        <v>234.73</v>
      </c>
      <c r="AA164" s="183">
        <f t="shared" si="15"/>
        <v>0</v>
      </c>
      <c r="AB164" s="183">
        <f t="shared" si="16"/>
        <v>228.562245</v>
      </c>
      <c r="AC164" s="183"/>
      <c r="AD164" s="183"/>
      <c r="AE164" s="183"/>
      <c r="AF164" s="183"/>
      <c r="AG164" s="183"/>
      <c r="AH164" s="183"/>
      <c r="AI164" s="183"/>
      <c r="AJ164" s="182" t="s">
        <v>314</v>
      </c>
    </row>
    <row r="165" ht="18" customHeight="1" spans="1:36">
      <c r="A165" s="182" t="s">
        <v>485</v>
      </c>
      <c r="B165" s="182" t="s">
        <v>485</v>
      </c>
      <c r="C165" s="182" t="s">
        <v>486</v>
      </c>
      <c r="D165" s="182" t="s">
        <v>92</v>
      </c>
      <c r="E165" s="183">
        <v>159.72</v>
      </c>
      <c r="F165" s="183">
        <f t="shared" si="17"/>
        <v>1603.624876</v>
      </c>
      <c r="G165" s="183">
        <f t="shared" si="12"/>
        <v>10.040225870273</v>
      </c>
      <c r="H165" s="183">
        <v>1070.112847</v>
      </c>
      <c r="I165" s="182">
        <v>0</v>
      </c>
      <c r="J165" s="183">
        <v>0</v>
      </c>
      <c r="K165" s="182">
        <v>0</v>
      </c>
      <c r="L165" s="183">
        <v>0</v>
      </c>
      <c r="M165" s="182">
        <v>0</v>
      </c>
      <c r="N165" s="183">
        <v>331.531937</v>
      </c>
      <c r="O165" s="183">
        <v>0</v>
      </c>
      <c r="P165" s="183">
        <v>0</v>
      </c>
      <c r="Q165" s="183">
        <v>93.249073</v>
      </c>
      <c r="R165" s="183">
        <v>108.731019</v>
      </c>
      <c r="S165" s="183">
        <v>0</v>
      </c>
      <c r="T165" s="183">
        <v>0</v>
      </c>
      <c r="U165" s="183">
        <v>0</v>
      </c>
      <c r="V165" s="183">
        <v>0</v>
      </c>
      <c r="W165" s="183">
        <v>0</v>
      </c>
      <c r="X165" s="182">
        <v>0</v>
      </c>
      <c r="Y165" s="183">
        <f t="shared" si="13"/>
        <v>1510.375803</v>
      </c>
      <c r="Z165" s="183">
        <f t="shared" si="14"/>
        <v>159.72</v>
      </c>
      <c r="AA165" s="183">
        <f t="shared" si="15"/>
        <v>0</v>
      </c>
      <c r="AB165" s="183">
        <f t="shared" si="16"/>
        <v>93.249073</v>
      </c>
      <c r="AC165" s="183"/>
      <c r="AD165" s="183"/>
      <c r="AE165" s="183"/>
      <c r="AF165" s="183"/>
      <c r="AG165" s="183"/>
      <c r="AH165" s="183"/>
      <c r="AI165" s="183"/>
      <c r="AJ165" s="182" t="s">
        <v>314</v>
      </c>
    </row>
    <row r="166" ht="18" customHeight="1" spans="1:36">
      <c r="A166" s="182" t="s">
        <v>486</v>
      </c>
      <c r="B166" s="182" t="s">
        <v>486</v>
      </c>
      <c r="C166" s="182" t="s">
        <v>483</v>
      </c>
      <c r="D166" s="182" t="s">
        <v>92</v>
      </c>
      <c r="E166" s="183">
        <v>279.12</v>
      </c>
      <c r="F166" s="183">
        <f t="shared" si="17"/>
        <v>2552.424881</v>
      </c>
      <c r="G166" s="183">
        <f t="shared" si="12"/>
        <v>9.14454313915162</v>
      </c>
      <c r="H166" s="183">
        <v>1382.968775</v>
      </c>
      <c r="I166" s="182">
        <v>0</v>
      </c>
      <c r="J166" s="183">
        <v>0</v>
      </c>
      <c r="K166" s="182">
        <v>0</v>
      </c>
      <c r="L166" s="183">
        <v>0</v>
      </c>
      <c r="M166" s="182">
        <v>0</v>
      </c>
      <c r="N166" s="183">
        <v>0</v>
      </c>
      <c r="O166" s="183">
        <v>0</v>
      </c>
      <c r="P166" s="183">
        <v>0</v>
      </c>
      <c r="Q166" s="183">
        <v>618.826683</v>
      </c>
      <c r="R166" s="183">
        <v>439.763086</v>
      </c>
      <c r="S166" s="183">
        <v>110.866337</v>
      </c>
      <c r="T166" s="183">
        <v>0</v>
      </c>
      <c r="U166" s="183">
        <v>0</v>
      </c>
      <c r="V166" s="183">
        <v>0</v>
      </c>
      <c r="W166" s="183">
        <v>0</v>
      </c>
      <c r="X166" s="182">
        <v>0</v>
      </c>
      <c r="Y166" s="183">
        <f t="shared" si="13"/>
        <v>1933.598198</v>
      </c>
      <c r="Z166" s="183">
        <f t="shared" si="14"/>
        <v>279.12</v>
      </c>
      <c r="AA166" s="183">
        <f t="shared" si="15"/>
        <v>0</v>
      </c>
      <c r="AB166" s="183">
        <f t="shared" si="16"/>
        <v>618.826683</v>
      </c>
      <c r="AC166" s="183"/>
      <c r="AD166" s="183"/>
      <c r="AE166" s="183"/>
      <c r="AF166" s="183"/>
      <c r="AG166" s="183"/>
      <c r="AH166" s="183"/>
      <c r="AI166" s="183"/>
      <c r="AJ166" s="182" t="s">
        <v>314</v>
      </c>
    </row>
    <row r="167" ht="18" customHeight="1" spans="1:36">
      <c r="A167" s="182" t="s">
        <v>487</v>
      </c>
      <c r="B167" s="182" t="s">
        <v>487</v>
      </c>
      <c r="C167" s="182" t="s">
        <v>485</v>
      </c>
      <c r="D167" s="182" t="s">
        <v>483</v>
      </c>
      <c r="E167" s="183">
        <v>44.01</v>
      </c>
      <c r="F167" s="183">
        <f t="shared" si="17"/>
        <v>454.392646</v>
      </c>
      <c r="G167" s="183">
        <f t="shared" si="12"/>
        <v>10.3247590547603</v>
      </c>
      <c r="H167" s="183">
        <v>196.864997</v>
      </c>
      <c r="I167" s="182">
        <v>0</v>
      </c>
      <c r="J167" s="183">
        <v>0</v>
      </c>
      <c r="K167" s="182">
        <v>0</v>
      </c>
      <c r="L167" s="183">
        <v>0</v>
      </c>
      <c r="M167" s="182">
        <v>0</v>
      </c>
      <c r="N167" s="183">
        <v>62.869884</v>
      </c>
      <c r="O167" s="183">
        <v>0</v>
      </c>
      <c r="P167" s="183">
        <v>0</v>
      </c>
      <c r="Q167" s="183">
        <v>194.657765</v>
      </c>
      <c r="R167" s="183">
        <v>0</v>
      </c>
      <c r="S167" s="183">
        <v>0</v>
      </c>
      <c r="T167" s="183">
        <v>0</v>
      </c>
      <c r="U167" s="183">
        <v>0</v>
      </c>
      <c r="V167" s="183">
        <v>0</v>
      </c>
      <c r="W167" s="183">
        <v>0</v>
      </c>
      <c r="X167" s="182">
        <v>0</v>
      </c>
      <c r="Y167" s="183">
        <f t="shared" si="13"/>
        <v>259.734881</v>
      </c>
      <c r="Z167" s="183">
        <f t="shared" si="14"/>
        <v>44.01</v>
      </c>
      <c r="AA167" s="183">
        <f t="shared" si="15"/>
        <v>0</v>
      </c>
      <c r="AB167" s="183">
        <f t="shared" si="16"/>
        <v>194.657765</v>
      </c>
      <c r="AC167" s="183"/>
      <c r="AD167" s="183"/>
      <c r="AE167" s="183"/>
      <c r="AF167" s="183"/>
      <c r="AG167" s="183"/>
      <c r="AH167" s="183"/>
      <c r="AI167" s="183"/>
      <c r="AJ167" s="182" t="s">
        <v>314</v>
      </c>
    </row>
    <row r="168" ht="18" customHeight="1" spans="1:36">
      <c r="A168" s="182" t="s">
        <v>488</v>
      </c>
      <c r="B168" s="182" t="s">
        <v>488</v>
      </c>
      <c r="C168" s="182" t="s">
        <v>485</v>
      </c>
      <c r="D168" s="182" t="s">
        <v>483</v>
      </c>
      <c r="E168" s="183">
        <v>44.92</v>
      </c>
      <c r="F168" s="183">
        <f t="shared" si="17"/>
        <v>395.589085</v>
      </c>
      <c r="G168" s="183">
        <f t="shared" si="12"/>
        <v>8.80652459928762</v>
      </c>
      <c r="H168" s="183">
        <v>223.153268</v>
      </c>
      <c r="I168" s="182">
        <v>0</v>
      </c>
      <c r="J168" s="183">
        <v>0</v>
      </c>
      <c r="K168" s="182">
        <v>0</v>
      </c>
      <c r="L168" s="183">
        <v>0</v>
      </c>
      <c r="M168" s="182">
        <v>0</v>
      </c>
      <c r="N168" s="183">
        <v>0</v>
      </c>
      <c r="O168" s="183">
        <v>0</v>
      </c>
      <c r="P168" s="183">
        <v>0</v>
      </c>
      <c r="Q168" s="183">
        <v>172.435817</v>
      </c>
      <c r="R168" s="183">
        <v>0</v>
      </c>
      <c r="S168" s="183">
        <v>0</v>
      </c>
      <c r="T168" s="183">
        <v>0</v>
      </c>
      <c r="U168" s="183">
        <v>0</v>
      </c>
      <c r="V168" s="183">
        <v>0</v>
      </c>
      <c r="W168" s="183">
        <v>0</v>
      </c>
      <c r="X168" s="182">
        <v>0</v>
      </c>
      <c r="Y168" s="183">
        <f t="shared" si="13"/>
        <v>223.153268</v>
      </c>
      <c r="Z168" s="183">
        <f t="shared" si="14"/>
        <v>44.92</v>
      </c>
      <c r="AA168" s="183">
        <f t="shared" si="15"/>
        <v>0</v>
      </c>
      <c r="AB168" s="183">
        <f t="shared" si="16"/>
        <v>172.435817</v>
      </c>
      <c r="AC168" s="183"/>
      <c r="AD168" s="183"/>
      <c r="AE168" s="183"/>
      <c r="AF168" s="183"/>
      <c r="AG168" s="183"/>
      <c r="AH168" s="183"/>
      <c r="AI168" s="183"/>
      <c r="AJ168" s="182" t="s">
        <v>314</v>
      </c>
    </row>
    <row r="169" ht="18" customHeight="1" spans="1:36">
      <c r="A169" s="182" t="s">
        <v>489</v>
      </c>
      <c r="B169" s="182" t="s">
        <v>489</v>
      </c>
      <c r="C169" s="182" t="s">
        <v>211</v>
      </c>
      <c r="D169" s="182" t="s">
        <v>490</v>
      </c>
      <c r="E169" s="183">
        <v>95.76</v>
      </c>
      <c r="F169" s="183">
        <f t="shared" si="17"/>
        <v>1147.726062</v>
      </c>
      <c r="G169" s="183">
        <f t="shared" si="12"/>
        <v>11.9854434210526</v>
      </c>
      <c r="H169" s="183">
        <v>827.279666</v>
      </c>
      <c r="I169" s="182">
        <v>0</v>
      </c>
      <c r="J169" s="183">
        <v>0</v>
      </c>
      <c r="K169" s="182">
        <v>0</v>
      </c>
      <c r="L169" s="183">
        <v>0</v>
      </c>
      <c r="M169" s="182">
        <v>0</v>
      </c>
      <c r="N169" s="183">
        <v>320.446396</v>
      </c>
      <c r="O169" s="183">
        <v>0</v>
      </c>
      <c r="P169" s="183">
        <v>0</v>
      </c>
      <c r="Q169" s="183">
        <v>0</v>
      </c>
      <c r="R169" s="183">
        <v>0</v>
      </c>
      <c r="S169" s="183">
        <v>0</v>
      </c>
      <c r="T169" s="183">
        <v>0</v>
      </c>
      <c r="U169" s="183">
        <v>0</v>
      </c>
      <c r="V169" s="183">
        <v>0</v>
      </c>
      <c r="W169" s="183">
        <v>0</v>
      </c>
      <c r="X169" s="182">
        <v>0</v>
      </c>
      <c r="Y169" s="183">
        <f t="shared" si="13"/>
        <v>1147.726062</v>
      </c>
      <c r="Z169" s="183">
        <f t="shared" si="14"/>
        <v>95.76</v>
      </c>
      <c r="AA169" s="183">
        <f t="shared" si="15"/>
        <v>0</v>
      </c>
      <c r="AB169" s="183">
        <f t="shared" si="16"/>
        <v>0</v>
      </c>
      <c r="AC169" s="183"/>
      <c r="AD169" s="183"/>
      <c r="AE169" s="183"/>
      <c r="AF169" s="183"/>
      <c r="AG169" s="183"/>
      <c r="AH169" s="183"/>
      <c r="AI169" s="183"/>
      <c r="AJ169" s="182" t="s">
        <v>314</v>
      </c>
    </row>
    <row r="170" ht="18" customHeight="1" spans="1:36">
      <c r="A170" s="182" t="s">
        <v>341</v>
      </c>
      <c r="B170" s="182" t="s">
        <v>341</v>
      </c>
      <c r="C170" s="182" t="s">
        <v>212</v>
      </c>
      <c r="D170" s="182" t="s">
        <v>213</v>
      </c>
      <c r="E170" s="183">
        <v>165.25</v>
      </c>
      <c r="F170" s="183">
        <f t="shared" si="17"/>
        <v>1697.997752</v>
      </c>
      <c r="G170" s="183">
        <f t="shared" si="12"/>
        <v>10.2753267897126</v>
      </c>
      <c r="H170" s="183">
        <v>659.941584</v>
      </c>
      <c r="I170" s="182">
        <v>0</v>
      </c>
      <c r="J170" s="183">
        <v>0</v>
      </c>
      <c r="K170" s="182">
        <v>0</v>
      </c>
      <c r="L170" s="183">
        <v>0</v>
      </c>
      <c r="M170" s="182">
        <v>0</v>
      </c>
      <c r="N170" s="183">
        <v>656.708899</v>
      </c>
      <c r="O170" s="183">
        <v>0</v>
      </c>
      <c r="P170" s="183">
        <v>0</v>
      </c>
      <c r="Q170" s="183">
        <v>81.888036</v>
      </c>
      <c r="R170" s="183">
        <v>299.459233</v>
      </c>
      <c r="S170" s="183">
        <v>0</v>
      </c>
      <c r="T170" s="183">
        <v>0</v>
      </c>
      <c r="U170" s="183">
        <v>0</v>
      </c>
      <c r="V170" s="183">
        <v>0</v>
      </c>
      <c r="W170" s="183">
        <v>0</v>
      </c>
      <c r="X170" s="182">
        <v>0</v>
      </c>
      <c r="Y170" s="183">
        <f t="shared" si="13"/>
        <v>1616.109716</v>
      </c>
      <c r="Z170" s="183">
        <f t="shared" si="14"/>
        <v>165.25</v>
      </c>
      <c r="AA170" s="183">
        <f t="shared" si="15"/>
        <v>0</v>
      </c>
      <c r="AB170" s="183">
        <f t="shared" si="16"/>
        <v>81.888036</v>
      </c>
      <c r="AC170" s="183"/>
      <c r="AD170" s="183"/>
      <c r="AE170" s="183"/>
      <c r="AF170" s="183"/>
      <c r="AG170" s="183"/>
      <c r="AH170" s="183"/>
      <c r="AI170" s="183"/>
      <c r="AJ170" s="182" t="s">
        <v>314</v>
      </c>
    </row>
    <row r="171" ht="18" customHeight="1" spans="1:36">
      <c r="A171" s="182" t="s">
        <v>491</v>
      </c>
      <c r="B171" s="182" t="s">
        <v>491</v>
      </c>
      <c r="C171" s="182" t="s">
        <v>203</v>
      </c>
      <c r="D171" s="182" t="s">
        <v>325</v>
      </c>
      <c r="E171" s="183">
        <v>150.17</v>
      </c>
      <c r="F171" s="183">
        <f t="shared" si="17"/>
        <v>754.850245</v>
      </c>
      <c r="G171" s="183">
        <f t="shared" si="12"/>
        <v>5.02663811014184</v>
      </c>
      <c r="H171" s="183">
        <v>754.850245</v>
      </c>
      <c r="I171" s="182">
        <v>0</v>
      </c>
      <c r="J171" s="183">
        <v>0</v>
      </c>
      <c r="K171" s="182">
        <v>0</v>
      </c>
      <c r="L171" s="183">
        <v>0</v>
      </c>
      <c r="M171" s="182">
        <v>0</v>
      </c>
      <c r="N171" s="183">
        <v>0</v>
      </c>
      <c r="O171" s="183">
        <v>0</v>
      </c>
      <c r="P171" s="183">
        <v>0</v>
      </c>
      <c r="Q171" s="183">
        <v>0</v>
      </c>
      <c r="R171" s="183">
        <v>0</v>
      </c>
      <c r="S171" s="183">
        <v>0</v>
      </c>
      <c r="T171" s="183">
        <v>0</v>
      </c>
      <c r="U171" s="183">
        <v>0</v>
      </c>
      <c r="V171" s="183">
        <v>0</v>
      </c>
      <c r="W171" s="183">
        <v>0</v>
      </c>
      <c r="X171" s="182">
        <v>0</v>
      </c>
      <c r="Y171" s="183">
        <f t="shared" si="13"/>
        <v>754.850245</v>
      </c>
      <c r="Z171" s="183">
        <f t="shared" si="14"/>
        <v>150.17</v>
      </c>
      <c r="AA171" s="183">
        <f t="shared" si="15"/>
        <v>0</v>
      </c>
      <c r="AB171" s="183">
        <f t="shared" si="16"/>
        <v>0</v>
      </c>
      <c r="AC171" s="183"/>
      <c r="AD171" s="183"/>
      <c r="AE171" s="183"/>
      <c r="AF171" s="183"/>
      <c r="AG171" s="183"/>
      <c r="AH171" s="183"/>
      <c r="AI171" s="183"/>
      <c r="AJ171" s="182" t="s">
        <v>314</v>
      </c>
    </row>
    <row r="172" ht="18" customHeight="1" spans="1:36">
      <c r="A172" s="182" t="s">
        <v>492</v>
      </c>
      <c r="B172" s="182" t="s">
        <v>492</v>
      </c>
      <c r="C172" s="182" t="s">
        <v>221</v>
      </c>
      <c r="D172" s="182" t="s">
        <v>174</v>
      </c>
      <c r="E172" s="183">
        <v>391.03</v>
      </c>
      <c r="F172" s="183">
        <f t="shared" si="17"/>
        <v>2892.498828</v>
      </c>
      <c r="G172" s="183">
        <f t="shared" si="12"/>
        <v>7.39712765772447</v>
      </c>
      <c r="H172" s="183">
        <v>1964.435291</v>
      </c>
      <c r="I172" s="182">
        <v>0</v>
      </c>
      <c r="J172" s="183">
        <v>0</v>
      </c>
      <c r="K172" s="182">
        <v>0</v>
      </c>
      <c r="L172" s="183">
        <v>0</v>
      </c>
      <c r="M172" s="182">
        <v>0</v>
      </c>
      <c r="N172" s="183">
        <v>0</v>
      </c>
      <c r="O172" s="183">
        <v>0</v>
      </c>
      <c r="P172" s="183">
        <v>0</v>
      </c>
      <c r="Q172" s="183">
        <v>146.848229</v>
      </c>
      <c r="R172" s="183">
        <v>781.215308</v>
      </c>
      <c r="S172" s="183">
        <v>0</v>
      </c>
      <c r="T172" s="183">
        <v>0</v>
      </c>
      <c r="U172" s="183">
        <v>0</v>
      </c>
      <c r="V172" s="183">
        <v>0</v>
      </c>
      <c r="W172" s="183">
        <v>0</v>
      </c>
      <c r="X172" s="182">
        <v>0</v>
      </c>
      <c r="Y172" s="183">
        <f t="shared" si="13"/>
        <v>2745.650599</v>
      </c>
      <c r="Z172" s="183">
        <f t="shared" si="14"/>
        <v>391.03</v>
      </c>
      <c r="AA172" s="183">
        <f t="shared" si="15"/>
        <v>0</v>
      </c>
      <c r="AB172" s="183">
        <f t="shared" si="16"/>
        <v>146.848229</v>
      </c>
      <c r="AC172" s="183"/>
      <c r="AD172" s="183"/>
      <c r="AE172" s="183"/>
      <c r="AF172" s="183"/>
      <c r="AG172" s="183"/>
      <c r="AH172" s="183"/>
      <c r="AI172" s="183"/>
      <c r="AJ172" s="182" t="s">
        <v>314</v>
      </c>
    </row>
    <row r="173" ht="18" customHeight="1" spans="1:36">
      <c r="A173" s="182" t="s">
        <v>493</v>
      </c>
      <c r="B173" s="182" t="s">
        <v>493</v>
      </c>
      <c r="C173" s="182" t="s">
        <v>228</v>
      </c>
      <c r="D173" s="182" t="s">
        <v>494</v>
      </c>
      <c r="E173" s="183">
        <v>104.79</v>
      </c>
      <c r="F173" s="183">
        <f t="shared" si="17"/>
        <v>957.937164</v>
      </c>
      <c r="G173" s="183">
        <f t="shared" si="12"/>
        <v>9.14149407386201</v>
      </c>
      <c r="H173" s="183">
        <v>957.937164</v>
      </c>
      <c r="I173" s="182">
        <v>0</v>
      </c>
      <c r="J173" s="183">
        <v>0</v>
      </c>
      <c r="K173" s="182">
        <v>0</v>
      </c>
      <c r="L173" s="183">
        <v>0</v>
      </c>
      <c r="M173" s="182">
        <v>0</v>
      </c>
      <c r="N173" s="183">
        <v>0</v>
      </c>
      <c r="O173" s="183">
        <v>0</v>
      </c>
      <c r="P173" s="183">
        <v>0</v>
      </c>
      <c r="Q173" s="183">
        <v>0</v>
      </c>
      <c r="R173" s="183">
        <v>0</v>
      </c>
      <c r="S173" s="183">
        <v>0</v>
      </c>
      <c r="T173" s="183">
        <v>0</v>
      </c>
      <c r="U173" s="183">
        <v>0</v>
      </c>
      <c r="V173" s="183">
        <v>0</v>
      </c>
      <c r="W173" s="183">
        <v>0</v>
      </c>
      <c r="X173" s="182">
        <v>0</v>
      </c>
      <c r="Y173" s="183">
        <f t="shared" si="13"/>
        <v>957.937164</v>
      </c>
      <c r="Z173" s="183">
        <f t="shared" si="14"/>
        <v>104.79</v>
      </c>
      <c r="AA173" s="183">
        <f t="shared" si="15"/>
        <v>0</v>
      </c>
      <c r="AB173" s="183">
        <f t="shared" si="16"/>
        <v>0</v>
      </c>
      <c r="AC173" s="183"/>
      <c r="AD173" s="183"/>
      <c r="AE173" s="183"/>
      <c r="AF173" s="183"/>
      <c r="AG173" s="183"/>
      <c r="AH173" s="183"/>
      <c r="AI173" s="183"/>
      <c r="AJ173" s="182" t="s">
        <v>314</v>
      </c>
    </row>
    <row r="174" ht="18" customHeight="1" spans="1:36">
      <c r="A174" s="182" t="s">
        <v>495</v>
      </c>
      <c r="B174" s="182" t="s">
        <v>495</v>
      </c>
      <c r="C174" s="182" t="s">
        <v>496</v>
      </c>
      <c r="D174" s="182" t="s">
        <v>138</v>
      </c>
      <c r="E174" s="183">
        <v>98.9</v>
      </c>
      <c r="F174" s="183">
        <f t="shared" si="17"/>
        <v>263.997752</v>
      </c>
      <c r="G174" s="183">
        <f t="shared" si="12"/>
        <v>2.66934026289181</v>
      </c>
      <c r="H174" s="183">
        <v>263.997752</v>
      </c>
      <c r="I174" s="182">
        <v>0</v>
      </c>
      <c r="J174" s="183">
        <v>0</v>
      </c>
      <c r="K174" s="182">
        <v>0</v>
      </c>
      <c r="L174" s="183">
        <v>0</v>
      </c>
      <c r="M174" s="182">
        <v>0</v>
      </c>
      <c r="N174" s="183">
        <v>0</v>
      </c>
      <c r="O174" s="183">
        <v>0</v>
      </c>
      <c r="P174" s="183">
        <v>0</v>
      </c>
      <c r="Q174" s="183">
        <v>0</v>
      </c>
      <c r="R174" s="183">
        <v>0</v>
      </c>
      <c r="S174" s="183">
        <v>0</v>
      </c>
      <c r="T174" s="183">
        <v>0</v>
      </c>
      <c r="U174" s="183">
        <v>0</v>
      </c>
      <c r="V174" s="183">
        <v>0</v>
      </c>
      <c r="W174" s="183">
        <v>0</v>
      </c>
      <c r="X174" s="182">
        <v>0</v>
      </c>
      <c r="Y174" s="183">
        <f t="shared" si="13"/>
        <v>263.997752</v>
      </c>
      <c r="Z174" s="183">
        <f t="shared" si="14"/>
        <v>98.9</v>
      </c>
      <c r="AA174" s="183">
        <f t="shared" si="15"/>
        <v>0</v>
      </c>
      <c r="AB174" s="183">
        <f t="shared" si="16"/>
        <v>0</v>
      </c>
      <c r="AC174" s="183"/>
      <c r="AD174" s="183"/>
      <c r="AE174" s="183"/>
      <c r="AF174" s="183"/>
      <c r="AG174" s="183"/>
      <c r="AH174" s="183"/>
      <c r="AI174" s="183"/>
      <c r="AJ174" s="182" t="s">
        <v>314</v>
      </c>
    </row>
    <row r="175" ht="18" customHeight="1" spans="1:36">
      <c r="A175" s="182" t="s">
        <v>497</v>
      </c>
      <c r="B175" s="182" t="s">
        <v>497</v>
      </c>
      <c r="C175" s="182" t="s">
        <v>496</v>
      </c>
      <c r="D175" s="182" t="s">
        <v>138</v>
      </c>
      <c r="E175" s="183">
        <v>133.69</v>
      </c>
      <c r="F175" s="183">
        <f t="shared" si="17"/>
        <v>559.154197</v>
      </c>
      <c r="G175" s="183">
        <f t="shared" si="12"/>
        <v>4.18246837459795</v>
      </c>
      <c r="H175" s="183">
        <v>559.154197</v>
      </c>
      <c r="I175" s="182">
        <v>0</v>
      </c>
      <c r="J175" s="183">
        <v>0</v>
      </c>
      <c r="K175" s="182">
        <v>0</v>
      </c>
      <c r="L175" s="183">
        <v>0</v>
      </c>
      <c r="M175" s="182">
        <v>0</v>
      </c>
      <c r="N175" s="183">
        <v>0</v>
      </c>
      <c r="O175" s="183">
        <v>0</v>
      </c>
      <c r="P175" s="183">
        <v>0</v>
      </c>
      <c r="Q175" s="183">
        <v>0</v>
      </c>
      <c r="R175" s="183">
        <v>0</v>
      </c>
      <c r="S175" s="183">
        <v>0</v>
      </c>
      <c r="T175" s="183">
        <v>0</v>
      </c>
      <c r="U175" s="183">
        <v>0</v>
      </c>
      <c r="V175" s="183">
        <v>0</v>
      </c>
      <c r="W175" s="183">
        <v>0</v>
      </c>
      <c r="X175" s="182">
        <v>0</v>
      </c>
      <c r="Y175" s="183">
        <f t="shared" si="13"/>
        <v>559.154197</v>
      </c>
      <c r="Z175" s="183">
        <f t="shared" si="14"/>
        <v>133.69</v>
      </c>
      <c r="AA175" s="183">
        <f t="shared" si="15"/>
        <v>0</v>
      </c>
      <c r="AB175" s="183">
        <f t="shared" si="16"/>
        <v>0</v>
      </c>
      <c r="AC175" s="183"/>
      <c r="AD175" s="183"/>
      <c r="AE175" s="183"/>
      <c r="AF175" s="183"/>
      <c r="AG175" s="183"/>
      <c r="AH175" s="183"/>
      <c r="AI175" s="183"/>
      <c r="AJ175" s="182" t="s">
        <v>314</v>
      </c>
    </row>
    <row r="176" ht="18" customHeight="1" spans="1:36">
      <c r="A176" s="182" t="s">
        <v>498</v>
      </c>
      <c r="B176" s="182" t="s">
        <v>498</v>
      </c>
      <c r="C176" s="182" t="s">
        <v>137</v>
      </c>
      <c r="D176" s="182" t="s">
        <v>229</v>
      </c>
      <c r="E176" s="183">
        <v>494.96</v>
      </c>
      <c r="F176" s="183">
        <f t="shared" si="17"/>
        <v>3576.616302</v>
      </c>
      <c r="G176" s="183">
        <f t="shared" si="12"/>
        <v>7.2260714037498</v>
      </c>
      <c r="H176" s="183">
        <v>1902.034658</v>
      </c>
      <c r="I176" s="182">
        <v>0</v>
      </c>
      <c r="J176" s="183">
        <v>0</v>
      </c>
      <c r="K176" s="182">
        <v>0</v>
      </c>
      <c r="L176" s="183">
        <v>0</v>
      </c>
      <c r="M176" s="182">
        <v>0</v>
      </c>
      <c r="N176" s="183">
        <v>1037.453178</v>
      </c>
      <c r="O176" s="183">
        <v>0</v>
      </c>
      <c r="P176" s="183">
        <v>0</v>
      </c>
      <c r="Q176" s="183">
        <v>574.829127</v>
      </c>
      <c r="R176" s="183">
        <v>62.299339</v>
      </c>
      <c r="S176" s="183">
        <v>0</v>
      </c>
      <c r="T176" s="183">
        <v>0</v>
      </c>
      <c r="U176" s="183">
        <v>0</v>
      </c>
      <c r="V176" s="183">
        <v>0</v>
      </c>
      <c r="W176" s="183">
        <v>0</v>
      </c>
      <c r="X176" s="182">
        <v>0</v>
      </c>
      <c r="Y176" s="183">
        <f t="shared" si="13"/>
        <v>3001.787175</v>
      </c>
      <c r="Z176" s="183">
        <f t="shared" si="14"/>
        <v>494.96</v>
      </c>
      <c r="AA176" s="183">
        <f t="shared" si="15"/>
        <v>0</v>
      </c>
      <c r="AB176" s="183">
        <f t="shared" si="16"/>
        <v>574.829127</v>
      </c>
      <c r="AC176" s="183"/>
      <c r="AD176" s="183"/>
      <c r="AE176" s="183"/>
      <c r="AF176" s="183"/>
      <c r="AG176" s="183"/>
      <c r="AH176" s="183"/>
      <c r="AI176" s="183"/>
      <c r="AJ176" s="182" t="s">
        <v>314</v>
      </c>
    </row>
    <row r="177" ht="18" customHeight="1" spans="1:36">
      <c r="A177" s="182" t="s">
        <v>499</v>
      </c>
      <c r="B177" s="182" t="s">
        <v>499</v>
      </c>
      <c r="C177" s="182" t="s">
        <v>137</v>
      </c>
      <c r="D177" s="182" t="s">
        <v>498</v>
      </c>
      <c r="E177" s="183">
        <v>204.3</v>
      </c>
      <c r="F177" s="183">
        <f t="shared" si="17"/>
        <v>2342.689319</v>
      </c>
      <c r="G177" s="183">
        <f t="shared" si="12"/>
        <v>11.4669080714635</v>
      </c>
      <c r="H177" s="183">
        <v>796.48155</v>
      </c>
      <c r="I177" s="182">
        <v>0</v>
      </c>
      <c r="J177" s="183">
        <v>0</v>
      </c>
      <c r="K177" s="182">
        <v>0</v>
      </c>
      <c r="L177" s="183">
        <v>0</v>
      </c>
      <c r="M177" s="182">
        <v>0</v>
      </c>
      <c r="N177" s="183">
        <v>1526.485795</v>
      </c>
      <c r="O177" s="183">
        <v>0</v>
      </c>
      <c r="P177" s="183">
        <v>0</v>
      </c>
      <c r="Q177" s="183">
        <v>0</v>
      </c>
      <c r="R177" s="183">
        <v>19.721974</v>
      </c>
      <c r="S177" s="183">
        <v>0</v>
      </c>
      <c r="T177" s="183">
        <v>0</v>
      </c>
      <c r="U177" s="183">
        <v>0</v>
      </c>
      <c r="V177" s="183">
        <v>0</v>
      </c>
      <c r="W177" s="183">
        <v>0</v>
      </c>
      <c r="X177" s="182">
        <v>0</v>
      </c>
      <c r="Y177" s="183">
        <f t="shared" si="13"/>
        <v>2342.689319</v>
      </c>
      <c r="Z177" s="183">
        <f t="shared" si="14"/>
        <v>204.3</v>
      </c>
      <c r="AA177" s="183">
        <f t="shared" si="15"/>
        <v>0</v>
      </c>
      <c r="AB177" s="183">
        <f t="shared" si="16"/>
        <v>0</v>
      </c>
      <c r="AC177" s="183"/>
      <c r="AD177" s="183"/>
      <c r="AE177" s="183"/>
      <c r="AF177" s="183"/>
      <c r="AG177" s="183"/>
      <c r="AH177" s="183"/>
      <c r="AI177" s="183"/>
      <c r="AJ177" s="182" t="s">
        <v>314</v>
      </c>
    </row>
    <row r="178" ht="18" customHeight="1" spans="1:36">
      <c r="A178" s="182" t="s">
        <v>500</v>
      </c>
      <c r="B178" s="182" t="s">
        <v>500</v>
      </c>
      <c r="C178" s="182" t="s">
        <v>499</v>
      </c>
      <c r="D178" s="182" t="s">
        <v>498</v>
      </c>
      <c r="E178" s="183">
        <v>111.67</v>
      </c>
      <c r="F178" s="183">
        <f t="shared" si="17"/>
        <v>1268.621106</v>
      </c>
      <c r="G178" s="183">
        <f t="shared" si="12"/>
        <v>11.3604469060625</v>
      </c>
      <c r="H178" s="183">
        <v>578.450751</v>
      </c>
      <c r="I178" s="182">
        <v>0</v>
      </c>
      <c r="J178" s="183">
        <v>0</v>
      </c>
      <c r="K178" s="182">
        <v>0</v>
      </c>
      <c r="L178" s="183">
        <v>0</v>
      </c>
      <c r="M178" s="182">
        <v>0</v>
      </c>
      <c r="N178" s="183">
        <v>570.412122</v>
      </c>
      <c r="O178" s="183">
        <v>0</v>
      </c>
      <c r="P178" s="183">
        <v>0</v>
      </c>
      <c r="Q178" s="183">
        <v>119.758233</v>
      </c>
      <c r="R178" s="183">
        <v>0</v>
      </c>
      <c r="S178" s="183">
        <v>0</v>
      </c>
      <c r="T178" s="183">
        <v>0</v>
      </c>
      <c r="U178" s="183">
        <v>0</v>
      </c>
      <c r="V178" s="183">
        <v>0</v>
      </c>
      <c r="W178" s="183">
        <v>0</v>
      </c>
      <c r="X178" s="182">
        <v>0</v>
      </c>
      <c r="Y178" s="183">
        <f t="shared" si="13"/>
        <v>1148.862873</v>
      </c>
      <c r="Z178" s="183">
        <f t="shared" si="14"/>
        <v>111.67</v>
      </c>
      <c r="AA178" s="183">
        <f t="shared" si="15"/>
        <v>0</v>
      </c>
      <c r="AB178" s="183">
        <f t="shared" si="16"/>
        <v>119.758233</v>
      </c>
      <c r="AC178" s="183"/>
      <c r="AD178" s="183"/>
      <c r="AE178" s="183"/>
      <c r="AF178" s="183"/>
      <c r="AG178" s="183"/>
      <c r="AH178" s="183"/>
      <c r="AI178" s="183"/>
      <c r="AJ178" s="182" t="s">
        <v>314</v>
      </c>
    </row>
    <row r="179" ht="18" customHeight="1" spans="1:36">
      <c r="A179" s="182" t="s">
        <v>501</v>
      </c>
      <c r="B179" s="182" t="s">
        <v>501</v>
      </c>
      <c r="C179" s="182" t="s">
        <v>499</v>
      </c>
      <c r="D179" s="182" t="s">
        <v>498</v>
      </c>
      <c r="E179" s="183">
        <v>97.97</v>
      </c>
      <c r="F179" s="183">
        <f t="shared" si="17"/>
        <v>389.763887</v>
      </c>
      <c r="G179" s="183">
        <f t="shared" si="12"/>
        <v>3.97840039808104</v>
      </c>
      <c r="H179" s="183">
        <v>357.62759</v>
      </c>
      <c r="I179" s="182">
        <v>0</v>
      </c>
      <c r="J179" s="183">
        <v>0</v>
      </c>
      <c r="K179" s="182">
        <v>0</v>
      </c>
      <c r="L179" s="183">
        <v>0</v>
      </c>
      <c r="M179" s="182">
        <v>0</v>
      </c>
      <c r="N179" s="183">
        <v>32.136297</v>
      </c>
      <c r="O179" s="183">
        <v>0</v>
      </c>
      <c r="P179" s="183">
        <v>0</v>
      </c>
      <c r="Q179" s="183">
        <v>0</v>
      </c>
      <c r="R179" s="183">
        <v>0</v>
      </c>
      <c r="S179" s="183">
        <v>0</v>
      </c>
      <c r="T179" s="183">
        <v>0</v>
      </c>
      <c r="U179" s="183">
        <v>0</v>
      </c>
      <c r="V179" s="183">
        <v>0</v>
      </c>
      <c r="W179" s="183">
        <v>0</v>
      </c>
      <c r="X179" s="182">
        <v>0</v>
      </c>
      <c r="Y179" s="183">
        <f t="shared" si="13"/>
        <v>389.763887</v>
      </c>
      <c r="Z179" s="183">
        <f t="shared" si="14"/>
        <v>97.97</v>
      </c>
      <c r="AA179" s="183">
        <f t="shared" si="15"/>
        <v>0</v>
      </c>
      <c r="AB179" s="183">
        <f t="shared" si="16"/>
        <v>0</v>
      </c>
      <c r="AC179" s="183"/>
      <c r="AD179" s="183"/>
      <c r="AE179" s="183"/>
      <c r="AF179" s="183"/>
      <c r="AG179" s="183"/>
      <c r="AH179" s="183"/>
      <c r="AI179" s="183"/>
      <c r="AJ179" s="182" t="s">
        <v>314</v>
      </c>
    </row>
    <row r="180" ht="18" customHeight="1" spans="1:36">
      <c r="A180" s="182" t="s">
        <v>502</v>
      </c>
      <c r="B180" s="182" t="s">
        <v>502</v>
      </c>
      <c r="C180" s="182" t="s">
        <v>499</v>
      </c>
      <c r="D180" s="182" t="s">
        <v>229</v>
      </c>
      <c r="E180" s="183">
        <v>164.01</v>
      </c>
      <c r="F180" s="183">
        <f t="shared" si="17"/>
        <v>1651.170503</v>
      </c>
      <c r="G180" s="183">
        <f t="shared" si="12"/>
        <v>10.0674989512835</v>
      </c>
      <c r="H180" s="183">
        <v>656.167507</v>
      </c>
      <c r="I180" s="182">
        <v>0</v>
      </c>
      <c r="J180" s="183">
        <v>0</v>
      </c>
      <c r="K180" s="182">
        <v>0</v>
      </c>
      <c r="L180" s="183">
        <v>0</v>
      </c>
      <c r="M180" s="182">
        <v>0</v>
      </c>
      <c r="N180" s="183">
        <v>364.248299</v>
      </c>
      <c r="O180" s="183">
        <v>0</v>
      </c>
      <c r="P180" s="183">
        <v>0</v>
      </c>
      <c r="Q180" s="183">
        <v>129.449035</v>
      </c>
      <c r="R180" s="183">
        <v>0</v>
      </c>
      <c r="S180" s="183">
        <v>501.305662</v>
      </c>
      <c r="T180" s="183">
        <v>0</v>
      </c>
      <c r="U180" s="183">
        <v>0</v>
      </c>
      <c r="V180" s="183">
        <v>0</v>
      </c>
      <c r="W180" s="183">
        <v>0</v>
      </c>
      <c r="X180" s="182">
        <v>0</v>
      </c>
      <c r="Y180" s="183">
        <f t="shared" si="13"/>
        <v>1521.721468</v>
      </c>
      <c r="Z180" s="183">
        <f t="shared" si="14"/>
        <v>164.01</v>
      </c>
      <c r="AA180" s="183">
        <f t="shared" si="15"/>
        <v>0</v>
      </c>
      <c r="AB180" s="183">
        <f t="shared" si="16"/>
        <v>129.449035</v>
      </c>
      <c r="AC180" s="183"/>
      <c r="AD180" s="183"/>
      <c r="AE180" s="183"/>
      <c r="AF180" s="183"/>
      <c r="AG180" s="183"/>
      <c r="AH180" s="183"/>
      <c r="AI180" s="183"/>
      <c r="AJ180" s="182" t="s">
        <v>314</v>
      </c>
    </row>
    <row r="181" ht="18" customHeight="1" spans="1:36">
      <c r="A181" s="182" t="s">
        <v>503</v>
      </c>
      <c r="B181" s="182" t="s">
        <v>503</v>
      </c>
      <c r="C181" s="182" t="s">
        <v>229</v>
      </c>
      <c r="D181" s="182" t="s">
        <v>502</v>
      </c>
      <c r="E181" s="183">
        <v>105.84</v>
      </c>
      <c r="F181" s="183">
        <f t="shared" si="17"/>
        <v>697.753202</v>
      </c>
      <c r="G181" s="183">
        <f t="shared" si="12"/>
        <v>6.59252836356765</v>
      </c>
      <c r="H181" s="183">
        <v>697.753202</v>
      </c>
      <c r="I181" s="182">
        <v>0</v>
      </c>
      <c r="J181" s="183">
        <v>0</v>
      </c>
      <c r="K181" s="182">
        <v>0</v>
      </c>
      <c r="L181" s="183">
        <v>0</v>
      </c>
      <c r="M181" s="182">
        <v>0</v>
      </c>
      <c r="N181" s="183">
        <v>0</v>
      </c>
      <c r="O181" s="183">
        <v>0</v>
      </c>
      <c r="P181" s="183">
        <v>0</v>
      </c>
      <c r="Q181" s="183">
        <v>0</v>
      </c>
      <c r="R181" s="183">
        <v>0</v>
      </c>
      <c r="S181" s="183">
        <v>0</v>
      </c>
      <c r="T181" s="183">
        <v>0</v>
      </c>
      <c r="U181" s="183">
        <v>0</v>
      </c>
      <c r="V181" s="183">
        <v>0</v>
      </c>
      <c r="W181" s="183">
        <v>0</v>
      </c>
      <c r="X181" s="182">
        <v>0</v>
      </c>
      <c r="Y181" s="183">
        <f t="shared" si="13"/>
        <v>697.753202</v>
      </c>
      <c r="Z181" s="183">
        <f t="shared" si="14"/>
        <v>105.84</v>
      </c>
      <c r="AA181" s="183">
        <f t="shared" si="15"/>
        <v>0</v>
      </c>
      <c r="AB181" s="183">
        <f t="shared" si="16"/>
        <v>0</v>
      </c>
      <c r="AC181" s="183"/>
      <c r="AD181" s="183"/>
      <c r="AE181" s="183"/>
      <c r="AF181" s="183"/>
      <c r="AG181" s="183"/>
      <c r="AH181" s="183"/>
      <c r="AI181" s="183"/>
      <c r="AJ181" s="182" t="s">
        <v>314</v>
      </c>
    </row>
    <row r="182" ht="18" customHeight="1" spans="1:36">
      <c r="A182" s="182" t="s">
        <v>482</v>
      </c>
      <c r="B182" s="182" t="s">
        <v>482</v>
      </c>
      <c r="C182" s="182" t="s">
        <v>242</v>
      </c>
      <c r="D182" s="182" t="s">
        <v>138</v>
      </c>
      <c r="E182" s="183">
        <v>599.05</v>
      </c>
      <c r="F182" s="183">
        <f t="shared" si="17"/>
        <v>3107.662795</v>
      </c>
      <c r="G182" s="183">
        <f t="shared" si="12"/>
        <v>5.1876517736416</v>
      </c>
      <c r="H182" s="183">
        <v>2164.4746</v>
      </c>
      <c r="I182" s="182">
        <v>0</v>
      </c>
      <c r="J182" s="183">
        <v>0</v>
      </c>
      <c r="K182" s="182">
        <v>0</v>
      </c>
      <c r="L182" s="183">
        <v>0</v>
      </c>
      <c r="M182" s="182">
        <v>0</v>
      </c>
      <c r="N182" s="183">
        <v>597.40788</v>
      </c>
      <c r="O182" s="183">
        <v>0</v>
      </c>
      <c r="P182" s="183">
        <v>0</v>
      </c>
      <c r="Q182" s="183">
        <v>345.780315</v>
      </c>
      <c r="R182" s="183">
        <v>0</v>
      </c>
      <c r="S182" s="183">
        <v>0</v>
      </c>
      <c r="T182" s="183">
        <v>0</v>
      </c>
      <c r="U182" s="183">
        <v>0</v>
      </c>
      <c r="V182" s="183">
        <v>0</v>
      </c>
      <c r="W182" s="183">
        <v>0</v>
      </c>
      <c r="X182" s="182">
        <v>0</v>
      </c>
      <c r="Y182" s="183">
        <f t="shared" si="13"/>
        <v>2761.88248</v>
      </c>
      <c r="Z182" s="183">
        <f t="shared" si="14"/>
        <v>599.05</v>
      </c>
      <c r="AA182" s="183">
        <f t="shared" si="15"/>
        <v>0</v>
      </c>
      <c r="AB182" s="183">
        <f t="shared" si="16"/>
        <v>345.780315</v>
      </c>
      <c r="AC182" s="183"/>
      <c r="AD182" s="183"/>
      <c r="AE182" s="183"/>
      <c r="AF182" s="183"/>
      <c r="AG182" s="183"/>
      <c r="AH182" s="183"/>
      <c r="AI182" s="183"/>
      <c r="AJ182" s="182" t="s">
        <v>314</v>
      </c>
    </row>
    <row r="183" ht="18" customHeight="1" spans="1:36">
      <c r="A183" s="182" t="s">
        <v>504</v>
      </c>
      <c r="B183" s="182" t="s">
        <v>504</v>
      </c>
      <c r="C183" s="182" t="s">
        <v>117</v>
      </c>
      <c r="D183" s="182" t="s">
        <v>505</v>
      </c>
      <c r="E183" s="183">
        <v>731.44</v>
      </c>
      <c r="F183" s="183">
        <f t="shared" si="17"/>
        <v>7510.516689</v>
      </c>
      <c r="G183" s="183">
        <f t="shared" si="12"/>
        <v>10.2681240963032</v>
      </c>
      <c r="H183" s="183">
        <v>4251.764026</v>
      </c>
      <c r="I183" s="182">
        <v>0</v>
      </c>
      <c r="J183" s="183">
        <v>0</v>
      </c>
      <c r="K183" s="182">
        <v>0</v>
      </c>
      <c r="L183" s="183">
        <v>0</v>
      </c>
      <c r="M183" s="182">
        <v>0</v>
      </c>
      <c r="N183" s="183">
        <v>0</v>
      </c>
      <c r="O183" s="183">
        <v>0</v>
      </c>
      <c r="P183" s="183">
        <v>0</v>
      </c>
      <c r="Q183" s="183">
        <v>842.275724</v>
      </c>
      <c r="R183" s="183">
        <v>2203.999641</v>
      </c>
      <c r="S183" s="183">
        <v>212.477298</v>
      </c>
      <c r="T183" s="183">
        <v>0</v>
      </c>
      <c r="U183" s="183">
        <v>0</v>
      </c>
      <c r="V183" s="183">
        <v>0</v>
      </c>
      <c r="W183" s="183">
        <v>0</v>
      </c>
      <c r="X183" s="182">
        <v>0</v>
      </c>
      <c r="Y183" s="183">
        <f t="shared" si="13"/>
        <v>6668.240965</v>
      </c>
      <c r="Z183" s="183">
        <f t="shared" si="14"/>
        <v>731.44</v>
      </c>
      <c r="AA183" s="183">
        <f t="shared" si="15"/>
        <v>0</v>
      </c>
      <c r="AB183" s="183">
        <f t="shared" si="16"/>
        <v>842.275724</v>
      </c>
      <c r="AC183" s="183"/>
      <c r="AD183" s="183"/>
      <c r="AE183" s="183"/>
      <c r="AF183" s="183"/>
      <c r="AG183" s="183"/>
      <c r="AH183" s="183"/>
      <c r="AI183" s="183"/>
      <c r="AJ183" s="182" t="s">
        <v>314</v>
      </c>
    </row>
    <row r="184" ht="18" customHeight="1" spans="1:36">
      <c r="A184" s="182" t="s">
        <v>506</v>
      </c>
      <c r="B184" s="182" t="s">
        <v>506</v>
      </c>
      <c r="C184" s="182" t="s">
        <v>504</v>
      </c>
      <c r="D184" s="182" t="s">
        <v>505</v>
      </c>
      <c r="E184" s="183">
        <v>170.51</v>
      </c>
      <c r="F184" s="183">
        <f t="shared" si="17"/>
        <v>1825.766559</v>
      </c>
      <c r="G184" s="183">
        <f t="shared" si="12"/>
        <v>10.7076802474928</v>
      </c>
      <c r="H184" s="183">
        <v>1293.371336</v>
      </c>
      <c r="I184" s="182">
        <v>0</v>
      </c>
      <c r="J184" s="183">
        <v>0</v>
      </c>
      <c r="K184" s="182">
        <v>0</v>
      </c>
      <c r="L184" s="183">
        <v>0</v>
      </c>
      <c r="M184" s="182">
        <v>0</v>
      </c>
      <c r="N184" s="183">
        <v>0</v>
      </c>
      <c r="O184" s="183">
        <v>0</v>
      </c>
      <c r="P184" s="183">
        <v>0</v>
      </c>
      <c r="Q184" s="183">
        <v>380.987508</v>
      </c>
      <c r="R184" s="183">
        <v>151.407715</v>
      </c>
      <c r="S184" s="183">
        <v>0</v>
      </c>
      <c r="T184" s="183">
        <v>0</v>
      </c>
      <c r="U184" s="183">
        <v>0</v>
      </c>
      <c r="V184" s="183">
        <v>0</v>
      </c>
      <c r="W184" s="183">
        <v>0</v>
      </c>
      <c r="X184" s="182">
        <v>0</v>
      </c>
      <c r="Y184" s="183">
        <f t="shared" si="13"/>
        <v>1444.779051</v>
      </c>
      <c r="Z184" s="183">
        <f t="shared" si="14"/>
        <v>170.51</v>
      </c>
      <c r="AA184" s="183">
        <f t="shared" si="15"/>
        <v>0</v>
      </c>
      <c r="AB184" s="183">
        <f t="shared" si="16"/>
        <v>380.987508</v>
      </c>
      <c r="AC184" s="183"/>
      <c r="AD184" s="183"/>
      <c r="AE184" s="183"/>
      <c r="AF184" s="183"/>
      <c r="AG184" s="183"/>
      <c r="AH184" s="183"/>
      <c r="AI184" s="183"/>
      <c r="AJ184" s="182" t="s">
        <v>314</v>
      </c>
    </row>
    <row r="185" ht="18" customHeight="1" spans="1:36">
      <c r="A185" s="182" t="s">
        <v>507</v>
      </c>
      <c r="B185" s="182" t="s">
        <v>507</v>
      </c>
      <c r="C185" s="182" t="s">
        <v>504</v>
      </c>
      <c r="D185" s="182" t="s">
        <v>83</v>
      </c>
      <c r="E185" s="183">
        <v>66.93</v>
      </c>
      <c r="F185" s="183">
        <f t="shared" si="17"/>
        <v>1327.265087</v>
      </c>
      <c r="G185" s="183">
        <f t="shared" si="12"/>
        <v>19.8306452562379</v>
      </c>
      <c r="H185" s="183">
        <v>322.49924</v>
      </c>
      <c r="I185" s="182">
        <v>0</v>
      </c>
      <c r="J185" s="183">
        <v>0</v>
      </c>
      <c r="K185" s="182">
        <v>0</v>
      </c>
      <c r="L185" s="183">
        <v>0</v>
      </c>
      <c r="M185" s="182">
        <v>0</v>
      </c>
      <c r="N185" s="183">
        <v>0</v>
      </c>
      <c r="O185" s="183">
        <v>0</v>
      </c>
      <c r="P185" s="183">
        <v>0</v>
      </c>
      <c r="Q185" s="183">
        <v>167.47799</v>
      </c>
      <c r="R185" s="183">
        <v>837.287857</v>
      </c>
      <c r="S185" s="183">
        <v>0</v>
      </c>
      <c r="T185" s="183">
        <v>0</v>
      </c>
      <c r="U185" s="183">
        <v>0</v>
      </c>
      <c r="V185" s="183">
        <v>0</v>
      </c>
      <c r="W185" s="183">
        <v>0</v>
      </c>
      <c r="X185" s="182">
        <v>0</v>
      </c>
      <c r="Y185" s="183">
        <f t="shared" si="13"/>
        <v>1159.787097</v>
      </c>
      <c r="Z185" s="183">
        <f t="shared" si="14"/>
        <v>66.93</v>
      </c>
      <c r="AA185" s="183">
        <f t="shared" si="15"/>
        <v>0</v>
      </c>
      <c r="AB185" s="183">
        <f t="shared" si="16"/>
        <v>167.47799</v>
      </c>
      <c r="AC185" s="183"/>
      <c r="AD185" s="183"/>
      <c r="AE185" s="183"/>
      <c r="AF185" s="183"/>
      <c r="AG185" s="183"/>
      <c r="AH185" s="183"/>
      <c r="AI185" s="183"/>
      <c r="AJ185" s="182" t="s">
        <v>314</v>
      </c>
    </row>
    <row r="186" ht="18" customHeight="1" spans="1:36">
      <c r="A186" s="182" t="s">
        <v>508</v>
      </c>
      <c r="B186" s="182" t="s">
        <v>508</v>
      </c>
      <c r="C186" s="182" t="s">
        <v>117</v>
      </c>
      <c r="D186" s="182" t="s">
        <v>504</v>
      </c>
      <c r="E186" s="183">
        <v>181.64</v>
      </c>
      <c r="F186" s="183">
        <f t="shared" si="17"/>
        <v>2075.159722</v>
      </c>
      <c r="G186" s="183">
        <f t="shared" si="12"/>
        <v>11.424574554063</v>
      </c>
      <c r="H186" s="183">
        <v>1478.149992</v>
      </c>
      <c r="I186" s="182">
        <v>0</v>
      </c>
      <c r="J186" s="183">
        <v>0</v>
      </c>
      <c r="K186" s="182">
        <v>0</v>
      </c>
      <c r="L186" s="183">
        <v>0</v>
      </c>
      <c r="M186" s="182">
        <v>0</v>
      </c>
      <c r="N186" s="183">
        <v>354.244492</v>
      </c>
      <c r="O186" s="183">
        <v>0</v>
      </c>
      <c r="P186" s="183">
        <v>0</v>
      </c>
      <c r="Q186" s="183">
        <v>0</v>
      </c>
      <c r="R186" s="183">
        <v>242.765238</v>
      </c>
      <c r="S186" s="183">
        <v>0</v>
      </c>
      <c r="T186" s="183">
        <v>0</v>
      </c>
      <c r="U186" s="183">
        <v>0</v>
      </c>
      <c r="V186" s="183">
        <v>0</v>
      </c>
      <c r="W186" s="183">
        <v>0</v>
      </c>
      <c r="X186" s="182">
        <v>0</v>
      </c>
      <c r="Y186" s="183">
        <f t="shared" si="13"/>
        <v>2075.159722</v>
      </c>
      <c r="Z186" s="183">
        <f t="shared" si="14"/>
        <v>181.64</v>
      </c>
      <c r="AA186" s="183">
        <f t="shared" si="15"/>
        <v>0</v>
      </c>
      <c r="AB186" s="183">
        <f t="shared" si="16"/>
        <v>0</v>
      </c>
      <c r="AC186" s="183"/>
      <c r="AD186" s="183"/>
      <c r="AE186" s="183"/>
      <c r="AF186" s="183"/>
      <c r="AG186" s="183"/>
      <c r="AH186" s="183"/>
      <c r="AI186" s="183"/>
      <c r="AJ186" s="182" t="s">
        <v>314</v>
      </c>
    </row>
    <row r="187" ht="18" customHeight="1" spans="1:36">
      <c r="A187" s="182" t="s">
        <v>509</v>
      </c>
      <c r="B187" s="182" t="s">
        <v>509</v>
      </c>
      <c r="C187" s="182" t="s">
        <v>117</v>
      </c>
      <c r="D187" s="182" t="s">
        <v>504</v>
      </c>
      <c r="E187" s="183">
        <v>168.2</v>
      </c>
      <c r="F187" s="183">
        <f t="shared" si="17"/>
        <v>1190.708016</v>
      </c>
      <c r="G187" s="183">
        <f t="shared" si="12"/>
        <v>7.0791201902497</v>
      </c>
      <c r="H187" s="183">
        <v>1190.708016</v>
      </c>
      <c r="I187" s="182">
        <v>0</v>
      </c>
      <c r="J187" s="183">
        <v>0</v>
      </c>
      <c r="K187" s="182">
        <v>0</v>
      </c>
      <c r="L187" s="183">
        <v>0</v>
      </c>
      <c r="M187" s="182">
        <v>0</v>
      </c>
      <c r="N187" s="183">
        <v>0</v>
      </c>
      <c r="O187" s="183">
        <v>0</v>
      </c>
      <c r="P187" s="183">
        <v>0</v>
      </c>
      <c r="Q187" s="183">
        <v>0</v>
      </c>
      <c r="R187" s="183">
        <v>0</v>
      </c>
      <c r="S187" s="183">
        <v>0</v>
      </c>
      <c r="T187" s="183">
        <v>0</v>
      </c>
      <c r="U187" s="183">
        <v>0</v>
      </c>
      <c r="V187" s="183">
        <v>0</v>
      </c>
      <c r="W187" s="183">
        <v>0</v>
      </c>
      <c r="X187" s="182">
        <v>0</v>
      </c>
      <c r="Y187" s="183">
        <f t="shared" si="13"/>
        <v>1190.708016</v>
      </c>
      <c r="Z187" s="183">
        <f t="shared" si="14"/>
        <v>168.2</v>
      </c>
      <c r="AA187" s="183">
        <f t="shared" si="15"/>
        <v>0</v>
      </c>
      <c r="AB187" s="183">
        <f t="shared" si="16"/>
        <v>0</v>
      </c>
      <c r="AC187" s="183"/>
      <c r="AD187" s="183"/>
      <c r="AE187" s="183"/>
      <c r="AF187" s="183"/>
      <c r="AG187" s="183"/>
      <c r="AH187" s="183"/>
      <c r="AI187" s="183"/>
      <c r="AJ187" s="182" t="s">
        <v>314</v>
      </c>
    </row>
    <row r="188" ht="18" customHeight="1" spans="1:36">
      <c r="A188" s="182" t="s">
        <v>510</v>
      </c>
      <c r="B188" s="182" t="s">
        <v>510</v>
      </c>
      <c r="C188" s="182" t="s">
        <v>504</v>
      </c>
      <c r="D188" s="182" t="s">
        <v>511</v>
      </c>
      <c r="E188" s="183">
        <v>98.46</v>
      </c>
      <c r="F188" s="183">
        <f t="shared" si="17"/>
        <v>654.528198</v>
      </c>
      <c r="G188" s="183">
        <f t="shared" si="12"/>
        <v>6.64765588056063</v>
      </c>
      <c r="H188" s="183">
        <v>654.528198</v>
      </c>
      <c r="I188" s="182">
        <v>0</v>
      </c>
      <c r="J188" s="183">
        <v>0</v>
      </c>
      <c r="K188" s="182">
        <v>0</v>
      </c>
      <c r="L188" s="183">
        <v>0</v>
      </c>
      <c r="M188" s="182">
        <v>0</v>
      </c>
      <c r="N188" s="183">
        <v>0</v>
      </c>
      <c r="O188" s="183">
        <v>0</v>
      </c>
      <c r="P188" s="183">
        <v>0</v>
      </c>
      <c r="Q188" s="183">
        <v>0</v>
      </c>
      <c r="R188" s="183">
        <v>0</v>
      </c>
      <c r="S188" s="183">
        <v>0</v>
      </c>
      <c r="T188" s="183">
        <v>0</v>
      </c>
      <c r="U188" s="183">
        <v>0</v>
      </c>
      <c r="V188" s="183">
        <v>0</v>
      </c>
      <c r="W188" s="183">
        <v>0</v>
      </c>
      <c r="X188" s="182">
        <v>0</v>
      </c>
      <c r="Y188" s="183">
        <f t="shared" si="13"/>
        <v>654.528198</v>
      </c>
      <c r="Z188" s="183">
        <f t="shared" si="14"/>
        <v>98.46</v>
      </c>
      <c r="AA188" s="183">
        <f t="shared" si="15"/>
        <v>0</v>
      </c>
      <c r="AB188" s="183">
        <f t="shared" si="16"/>
        <v>0</v>
      </c>
      <c r="AC188" s="183"/>
      <c r="AD188" s="183"/>
      <c r="AE188" s="183"/>
      <c r="AF188" s="183"/>
      <c r="AG188" s="183"/>
      <c r="AH188" s="183"/>
      <c r="AI188" s="183"/>
      <c r="AJ188" s="182" t="s">
        <v>314</v>
      </c>
    </row>
    <row r="189" ht="18" customHeight="1" spans="1:36">
      <c r="A189" s="182" t="s">
        <v>512</v>
      </c>
      <c r="B189" s="182" t="s">
        <v>512</v>
      </c>
      <c r="C189" s="182" t="s">
        <v>504</v>
      </c>
      <c r="D189" s="182" t="s">
        <v>511</v>
      </c>
      <c r="E189" s="183">
        <v>92.09</v>
      </c>
      <c r="F189" s="183">
        <f t="shared" si="17"/>
        <v>552.577873</v>
      </c>
      <c r="G189" s="183">
        <f t="shared" si="12"/>
        <v>6.0004112607232</v>
      </c>
      <c r="H189" s="183">
        <v>552.577873</v>
      </c>
      <c r="I189" s="182">
        <v>0</v>
      </c>
      <c r="J189" s="183">
        <v>0</v>
      </c>
      <c r="K189" s="182">
        <v>0</v>
      </c>
      <c r="L189" s="183">
        <v>0</v>
      </c>
      <c r="M189" s="182">
        <v>0</v>
      </c>
      <c r="N189" s="183">
        <v>0</v>
      </c>
      <c r="O189" s="183">
        <v>0</v>
      </c>
      <c r="P189" s="183">
        <v>0</v>
      </c>
      <c r="Q189" s="183">
        <v>0</v>
      </c>
      <c r="R189" s="183">
        <v>0</v>
      </c>
      <c r="S189" s="183">
        <v>0</v>
      </c>
      <c r="T189" s="183">
        <v>0</v>
      </c>
      <c r="U189" s="183">
        <v>0</v>
      </c>
      <c r="V189" s="183">
        <v>0</v>
      </c>
      <c r="W189" s="183">
        <v>0</v>
      </c>
      <c r="X189" s="182">
        <v>0</v>
      </c>
      <c r="Y189" s="183">
        <f t="shared" si="13"/>
        <v>552.577873</v>
      </c>
      <c r="Z189" s="183">
        <f t="shared" si="14"/>
        <v>92.09</v>
      </c>
      <c r="AA189" s="183">
        <f t="shared" si="15"/>
        <v>0</v>
      </c>
      <c r="AB189" s="183">
        <f t="shared" si="16"/>
        <v>0</v>
      </c>
      <c r="AC189" s="183"/>
      <c r="AD189" s="183"/>
      <c r="AE189" s="183"/>
      <c r="AF189" s="183"/>
      <c r="AG189" s="183"/>
      <c r="AH189" s="183"/>
      <c r="AI189" s="183"/>
      <c r="AJ189" s="182" t="s">
        <v>314</v>
      </c>
    </row>
    <row r="190" ht="18" customHeight="1" spans="1:36">
      <c r="A190" s="182" t="s">
        <v>511</v>
      </c>
      <c r="B190" s="182" t="s">
        <v>511</v>
      </c>
      <c r="C190" s="182" t="s">
        <v>504</v>
      </c>
      <c r="D190" s="182" t="s">
        <v>505</v>
      </c>
      <c r="E190" s="183">
        <v>177.28</v>
      </c>
      <c r="F190" s="183">
        <f t="shared" si="17"/>
        <v>1530.619285</v>
      </c>
      <c r="G190" s="183">
        <f t="shared" si="12"/>
        <v>8.63390842170578</v>
      </c>
      <c r="H190" s="183">
        <v>1530.619285</v>
      </c>
      <c r="I190" s="182">
        <v>0</v>
      </c>
      <c r="J190" s="183">
        <v>0</v>
      </c>
      <c r="K190" s="182">
        <v>0</v>
      </c>
      <c r="L190" s="183">
        <v>0</v>
      </c>
      <c r="M190" s="182">
        <v>0</v>
      </c>
      <c r="N190" s="183">
        <v>0</v>
      </c>
      <c r="O190" s="183">
        <v>0</v>
      </c>
      <c r="P190" s="183">
        <v>0</v>
      </c>
      <c r="Q190" s="183">
        <v>0</v>
      </c>
      <c r="R190" s="183">
        <v>0</v>
      </c>
      <c r="S190" s="183">
        <v>0</v>
      </c>
      <c r="T190" s="183">
        <v>0</v>
      </c>
      <c r="U190" s="183">
        <v>0</v>
      </c>
      <c r="V190" s="183">
        <v>0</v>
      </c>
      <c r="W190" s="183">
        <v>0</v>
      </c>
      <c r="X190" s="182">
        <v>0</v>
      </c>
      <c r="Y190" s="183">
        <f t="shared" si="13"/>
        <v>1530.619285</v>
      </c>
      <c r="Z190" s="183">
        <f t="shared" si="14"/>
        <v>177.28</v>
      </c>
      <c r="AA190" s="183">
        <f t="shared" si="15"/>
        <v>0</v>
      </c>
      <c r="AB190" s="183">
        <f t="shared" si="16"/>
        <v>0</v>
      </c>
      <c r="AC190" s="183"/>
      <c r="AD190" s="183"/>
      <c r="AE190" s="183"/>
      <c r="AF190" s="183"/>
      <c r="AG190" s="183"/>
      <c r="AH190" s="183"/>
      <c r="AI190" s="183"/>
      <c r="AJ190" s="182" t="s">
        <v>314</v>
      </c>
    </row>
    <row r="191" ht="18" customHeight="1" spans="1:36">
      <c r="A191" s="182" t="s">
        <v>513</v>
      </c>
      <c r="B191" s="182" t="s">
        <v>513</v>
      </c>
      <c r="C191" s="182" t="s">
        <v>425</v>
      </c>
      <c r="D191" s="182" t="s">
        <v>336</v>
      </c>
      <c r="E191" s="183">
        <v>532.59</v>
      </c>
      <c r="F191" s="183">
        <f t="shared" si="17"/>
        <v>1702.454811</v>
      </c>
      <c r="G191" s="183">
        <f t="shared" si="12"/>
        <v>3.19655797330029</v>
      </c>
      <c r="H191" s="183">
        <v>1702.454811</v>
      </c>
      <c r="I191" s="182">
        <v>0</v>
      </c>
      <c r="J191" s="183">
        <v>0</v>
      </c>
      <c r="K191" s="182">
        <v>0</v>
      </c>
      <c r="L191" s="183">
        <v>0</v>
      </c>
      <c r="M191" s="182">
        <v>0</v>
      </c>
      <c r="N191" s="183">
        <v>0</v>
      </c>
      <c r="O191" s="183">
        <v>0</v>
      </c>
      <c r="P191" s="183">
        <v>0</v>
      </c>
      <c r="Q191" s="183">
        <v>0</v>
      </c>
      <c r="R191" s="183">
        <v>0</v>
      </c>
      <c r="S191" s="183">
        <v>0</v>
      </c>
      <c r="T191" s="183">
        <v>0</v>
      </c>
      <c r="U191" s="183">
        <v>0</v>
      </c>
      <c r="V191" s="183">
        <v>0</v>
      </c>
      <c r="W191" s="183">
        <v>0</v>
      </c>
      <c r="X191" s="182">
        <v>0</v>
      </c>
      <c r="Y191" s="183">
        <f t="shared" si="13"/>
        <v>1702.454811</v>
      </c>
      <c r="Z191" s="183">
        <f t="shared" si="14"/>
        <v>532.59</v>
      </c>
      <c r="AA191" s="183">
        <f t="shared" si="15"/>
        <v>0</v>
      </c>
      <c r="AB191" s="183">
        <f t="shared" si="16"/>
        <v>0</v>
      </c>
      <c r="AC191" s="183"/>
      <c r="AD191" s="183"/>
      <c r="AE191" s="183"/>
      <c r="AF191" s="183"/>
      <c r="AG191" s="183"/>
      <c r="AH191" s="183"/>
      <c r="AI191" s="183"/>
      <c r="AJ191" s="182" t="s">
        <v>314</v>
      </c>
    </row>
    <row r="192" ht="18" customHeight="1" spans="1:36">
      <c r="A192" s="182" t="s">
        <v>513</v>
      </c>
      <c r="B192" s="182" t="s">
        <v>513</v>
      </c>
      <c r="C192" s="182" t="s">
        <v>504</v>
      </c>
      <c r="D192" s="182" t="s">
        <v>425</v>
      </c>
      <c r="E192" s="183">
        <v>122.56</v>
      </c>
      <c r="F192" s="183">
        <f t="shared" si="17"/>
        <v>761.254835</v>
      </c>
      <c r="G192" s="183">
        <f t="shared" si="12"/>
        <v>6.21128292265013</v>
      </c>
      <c r="H192" s="183">
        <v>479.788501</v>
      </c>
      <c r="I192" s="182">
        <v>0</v>
      </c>
      <c r="J192" s="183">
        <v>0</v>
      </c>
      <c r="K192" s="182">
        <v>0</v>
      </c>
      <c r="L192" s="183">
        <v>0</v>
      </c>
      <c r="M192" s="182">
        <v>0</v>
      </c>
      <c r="N192" s="183">
        <v>0</v>
      </c>
      <c r="O192" s="183">
        <v>0</v>
      </c>
      <c r="P192" s="183">
        <v>0</v>
      </c>
      <c r="Q192" s="183">
        <v>134.81326</v>
      </c>
      <c r="R192" s="183">
        <v>146.653074</v>
      </c>
      <c r="S192" s="183">
        <v>0</v>
      </c>
      <c r="T192" s="183">
        <v>0</v>
      </c>
      <c r="U192" s="183">
        <v>0</v>
      </c>
      <c r="V192" s="183">
        <v>0</v>
      </c>
      <c r="W192" s="183">
        <v>0</v>
      </c>
      <c r="X192" s="182">
        <v>0</v>
      </c>
      <c r="Y192" s="183">
        <f t="shared" si="13"/>
        <v>626.441575</v>
      </c>
      <c r="Z192" s="183">
        <f t="shared" si="14"/>
        <v>122.56</v>
      </c>
      <c r="AA192" s="183">
        <f t="shared" si="15"/>
        <v>0</v>
      </c>
      <c r="AB192" s="183">
        <f t="shared" si="16"/>
        <v>134.81326</v>
      </c>
      <c r="AC192" s="183"/>
      <c r="AD192" s="183"/>
      <c r="AE192" s="183"/>
      <c r="AF192" s="183"/>
      <c r="AG192" s="183"/>
      <c r="AH192" s="183"/>
      <c r="AI192" s="183"/>
      <c r="AJ192" s="182" t="s">
        <v>314</v>
      </c>
    </row>
    <row r="193" ht="18" customHeight="1" spans="1:36">
      <c r="A193" s="182" t="s">
        <v>376</v>
      </c>
      <c r="B193" s="182" t="s">
        <v>376</v>
      </c>
      <c r="C193" s="182" t="s">
        <v>370</v>
      </c>
      <c r="D193" s="182" t="s">
        <v>439</v>
      </c>
      <c r="E193" s="183">
        <v>520.56</v>
      </c>
      <c r="F193" s="183">
        <f t="shared" si="17"/>
        <v>7090.214821</v>
      </c>
      <c r="G193" s="183">
        <f t="shared" si="12"/>
        <v>13.6203604214692</v>
      </c>
      <c r="H193" s="183">
        <v>1800.581795</v>
      </c>
      <c r="I193" s="182">
        <v>0</v>
      </c>
      <c r="J193" s="183">
        <v>0</v>
      </c>
      <c r="K193" s="182">
        <v>0</v>
      </c>
      <c r="L193" s="183">
        <v>0</v>
      </c>
      <c r="M193" s="182">
        <v>0</v>
      </c>
      <c r="N193" s="183">
        <v>3177.182517</v>
      </c>
      <c r="O193" s="183">
        <v>0</v>
      </c>
      <c r="P193" s="183">
        <v>0</v>
      </c>
      <c r="Q193" s="183">
        <v>2112.450509</v>
      </c>
      <c r="R193" s="183">
        <v>0</v>
      </c>
      <c r="S193" s="183">
        <v>0</v>
      </c>
      <c r="T193" s="183">
        <v>0</v>
      </c>
      <c r="U193" s="183">
        <v>0</v>
      </c>
      <c r="V193" s="183">
        <v>0</v>
      </c>
      <c r="W193" s="183">
        <v>0</v>
      </c>
      <c r="X193" s="182">
        <v>0</v>
      </c>
      <c r="Y193" s="183">
        <f t="shared" si="13"/>
        <v>4977.764312</v>
      </c>
      <c r="Z193" s="183">
        <f t="shared" si="14"/>
        <v>520.56</v>
      </c>
      <c r="AA193" s="183">
        <f t="shared" si="15"/>
        <v>0</v>
      </c>
      <c r="AB193" s="183">
        <f t="shared" si="16"/>
        <v>2112.450509</v>
      </c>
      <c r="AC193" s="183"/>
      <c r="AD193" s="183"/>
      <c r="AE193" s="183"/>
      <c r="AF193" s="183"/>
      <c r="AG193" s="183"/>
      <c r="AH193" s="183"/>
      <c r="AI193" s="183"/>
      <c r="AJ193" s="182" t="s">
        <v>314</v>
      </c>
    </row>
    <row r="194" ht="18" customHeight="1" spans="1:36">
      <c r="A194" s="182" t="s">
        <v>514</v>
      </c>
      <c r="B194" s="182" t="s">
        <v>514</v>
      </c>
      <c r="C194" s="182" t="s">
        <v>249</v>
      </c>
      <c r="D194" s="182" t="s">
        <v>417</v>
      </c>
      <c r="E194" s="183">
        <v>69.61</v>
      </c>
      <c r="F194" s="183">
        <f t="shared" si="17"/>
        <v>234.35362</v>
      </c>
      <c r="G194" s="183">
        <f t="shared" si="12"/>
        <v>3.3666659962649</v>
      </c>
      <c r="H194" s="183">
        <v>234.35362</v>
      </c>
      <c r="I194" s="182">
        <v>0</v>
      </c>
      <c r="J194" s="183">
        <v>0</v>
      </c>
      <c r="K194" s="182">
        <v>0</v>
      </c>
      <c r="L194" s="183">
        <v>0</v>
      </c>
      <c r="M194" s="182">
        <v>0</v>
      </c>
      <c r="N194" s="183">
        <v>0</v>
      </c>
      <c r="O194" s="183">
        <v>0</v>
      </c>
      <c r="P194" s="183">
        <v>0</v>
      </c>
      <c r="Q194" s="183">
        <v>0</v>
      </c>
      <c r="R194" s="183">
        <v>0</v>
      </c>
      <c r="S194" s="183">
        <v>0</v>
      </c>
      <c r="T194" s="183">
        <v>0</v>
      </c>
      <c r="U194" s="183">
        <v>0</v>
      </c>
      <c r="V194" s="183">
        <v>0</v>
      </c>
      <c r="W194" s="183">
        <v>0</v>
      </c>
      <c r="X194" s="182">
        <v>0</v>
      </c>
      <c r="Y194" s="183">
        <f t="shared" si="13"/>
        <v>234.35362</v>
      </c>
      <c r="Z194" s="183">
        <f t="shared" si="14"/>
        <v>69.61</v>
      </c>
      <c r="AA194" s="183">
        <f t="shared" si="15"/>
        <v>0</v>
      </c>
      <c r="AB194" s="183">
        <f t="shared" si="16"/>
        <v>0</v>
      </c>
      <c r="AC194" s="183"/>
      <c r="AD194" s="183"/>
      <c r="AE194" s="183"/>
      <c r="AF194" s="183"/>
      <c r="AG194" s="183"/>
      <c r="AH194" s="183"/>
      <c r="AI194" s="183"/>
      <c r="AJ194" s="182" t="s">
        <v>314</v>
      </c>
    </row>
    <row r="195" ht="18" customHeight="1" spans="1:36">
      <c r="A195" s="182" t="s">
        <v>515</v>
      </c>
      <c r="B195" s="182" t="s">
        <v>515</v>
      </c>
      <c r="C195" s="182" t="s">
        <v>249</v>
      </c>
      <c r="D195" s="182" t="s">
        <v>249</v>
      </c>
      <c r="E195" s="183">
        <v>269.24</v>
      </c>
      <c r="F195" s="183">
        <f t="shared" si="17"/>
        <v>3532.580643</v>
      </c>
      <c r="G195" s="183">
        <f t="shared" ref="G195:G217" si="18">F195/E195</f>
        <v>13.1205639689496</v>
      </c>
      <c r="H195" s="183">
        <v>1423.266344</v>
      </c>
      <c r="I195" s="182">
        <v>0</v>
      </c>
      <c r="J195" s="183">
        <v>0</v>
      </c>
      <c r="K195" s="182">
        <v>0</v>
      </c>
      <c r="L195" s="183">
        <v>0</v>
      </c>
      <c r="M195" s="182">
        <v>0</v>
      </c>
      <c r="N195" s="183">
        <v>1595.965279</v>
      </c>
      <c r="O195" s="183">
        <v>0</v>
      </c>
      <c r="P195" s="183">
        <v>0</v>
      </c>
      <c r="Q195" s="183">
        <v>349.957895</v>
      </c>
      <c r="R195" s="183">
        <v>163.391125</v>
      </c>
      <c r="S195" s="183">
        <v>0</v>
      </c>
      <c r="T195" s="183">
        <v>0</v>
      </c>
      <c r="U195" s="183">
        <v>0</v>
      </c>
      <c r="V195" s="183">
        <v>0</v>
      </c>
      <c r="W195" s="183">
        <v>0</v>
      </c>
      <c r="X195" s="182">
        <v>0</v>
      </c>
      <c r="Y195" s="183">
        <f t="shared" ref="Y195:Y217" si="19">(H195+J195+L195+N195+R195+S195)</f>
        <v>3182.622748</v>
      </c>
      <c r="Z195" s="183">
        <f t="shared" ref="Z195:Z217" si="20">E195</f>
        <v>269.24</v>
      </c>
      <c r="AA195" s="183">
        <f t="shared" ref="AA195:AA217" si="21">(T195+U195+V195+W195)*2</f>
        <v>0</v>
      </c>
      <c r="AB195" s="183">
        <f t="shared" ref="AB195:AB217" si="22">O195+P195+Q195</f>
        <v>349.957895</v>
      </c>
      <c r="AC195" s="183"/>
      <c r="AD195" s="183"/>
      <c r="AE195" s="183"/>
      <c r="AF195" s="183"/>
      <c r="AG195" s="183"/>
      <c r="AH195" s="183"/>
      <c r="AI195" s="183"/>
      <c r="AJ195" s="182" t="s">
        <v>314</v>
      </c>
    </row>
    <row r="196" ht="18" customHeight="1" spans="1:36">
      <c r="A196" s="182" t="s">
        <v>252</v>
      </c>
      <c r="B196" s="182" t="s">
        <v>252</v>
      </c>
      <c r="C196" s="182" t="s">
        <v>113</v>
      </c>
      <c r="D196" s="182" t="s">
        <v>253</v>
      </c>
      <c r="E196" s="183">
        <v>1157.13</v>
      </c>
      <c r="F196" s="183">
        <f t="shared" ref="F196:F217" si="23">H196+J196+L196+N196+O196+P196+Q196+R196+S196+AA196</f>
        <v>25640.769956</v>
      </c>
      <c r="G196" s="183">
        <f t="shared" si="18"/>
        <v>22.1589362958354</v>
      </c>
      <c r="H196" s="183">
        <v>8959.428647</v>
      </c>
      <c r="I196" s="182">
        <v>2</v>
      </c>
      <c r="J196" s="183">
        <v>0</v>
      </c>
      <c r="K196" s="182">
        <v>0</v>
      </c>
      <c r="L196" s="183">
        <v>5226.230813</v>
      </c>
      <c r="M196" s="182">
        <v>1</v>
      </c>
      <c r="N196" s="183">
        <v>3613.802012</v>
      </c>
      <c r="O196" s="183">
        <v>35.556823</v>
      </c>
      <c r="P196" s="183">
        <v>0</v>
      </c>
      <c r="Q196" s="183">
        <v>2808.842558</v>
      </c>
      <c r="R196" s="183">
        <v>231.815739</v>
      </c>
      <c r="S196" s="183">
        <v>392.583692</v>
      </c>
      <c r="T196" s="183">
        <v>12.762497</v>
      </c>
      <c r="U196" s="183">
        <v>0</v>
      </c>
      <c r="V196" s="183">
        <v>2168.792234</v>
      </c>
      <c r="W196" s="183">
        <v>4.700105</v>
      </c>
      <c r="X196" s="182">
        <v>0</v>
      </c>
      <c r="Y196" s="183">
        <f t="shared" si="19"/>
        <v>18423.860903</v>
      </c>
      <c r="Z196" s="183">
        <f t="shared" si="20"/>
        <v>1157.13</v>
      </c>
      <c r="AA196" s="183">
        <f t="shared" si="21"/>
        <v>4372.509672</v>
      </c>
      <c r="AB196" s="183">
        <f t="shared" si="22"/>
        <v>2844.399381</v>
      </c>
      <c r="AC196" s="183"/>
      <c r="AD196" s="183"/>
      <c r="AE196" s="183"/>
      <c r="AF196" s="183"/>
      <c r="AG196" s="183"/>
      <c r="AH196" s="183"/>
      <c r="AI196" s="183"/>
      <c r="AJ196" s="182" t="s">
        <v>314</v>
      </c>
    </row>
    <row r="197" ht="18" customHeight="1" spans="1:36">
      <c r="A197" s="182" t="s">
        <v>516</v>
      </c>
      <c r="B197" s="182" t="s">
        <v>516</v>
      </c>
      <c r="C197" s="182" t="s">
        <v>357</v>
      </c>
      <c r="D197" s="182" t="s">
        <v>517</v>
      </c>
      <c r="E197" s="183">
        <v>123.13</v>
      </c>
      <c r="F197" s="183">
        <f t="shared" si="23"/>
        <v>1114.873521</v>
      </c>
      <c r="G197" s="183">
        <f t="shared" si="18"/>
        <v>9.05444262974092</v>
      </c>
      <c r="H197" s="183">
        <v>466.20402</v>
      </c>
      <c r="I197" s="182">
        <v>0</v>
      </c>
      <c r="J197" s="183">
        <v>0</v>
      </c>
      <c r="K197" s="182">
        <v>0</v>
      </c>
      <c r="L197" s="183">
        <v>0</v>
      </c>
      <c r="M197" s="182">
        <v>0</v>
      </c>
      <c r="N197" s="183">
        <v>445.292398</v>
      </c>
      <c r="O197" s="183">
        <v>0</v>
      </c>
      <c r="P197" s="183">
        <v>0</v>
      </c>
      <c r="Q197" s="183">
        <v>129.113745</v>
      </c>
      <c r="R197" s="183">
        <v>74.263358</v>
      </c>
      <c r="S197" s="183">
        <v>0</v>
      </c>
      <c r="T197" s="183">
        <v>0</v>
      </c>
      <c r="U197" s="183">
        <v>0</v>
      </c>
      <c r="V197" s="183">
        <v>0</v>
      </c>
      <c r="W197" s="183">
        <v>0</v>
      </c>
      <c r="X197" s="182">
        <v>0</v>
      </c>
      <c r="Y197" s="183">
        <f t="shared" si="19"/>
        <v>985.759776</v>
      </c>
      <c r="Z197" s="183">
        <f t="shared" si="20"/>
        <v>123.13</v>
      </c>
      <c r="AA197" s="183">
        <f t="shared" si="21"/>
        <v>0</v>
      </c>
      <c r="AB197" s="183">
        <f t="shared" si="22"/>
        <v>129.113745</v>
      </c>
      <c r="AC197" s="183"/>
      <c r="AD197" s="183"/>
      <c r="AE197" s="183"/>
      <c r="AF197" s="183"/>
      <c r="AG197" s="183"/>
      <c r="AH197" s="183"/>
      <c r="AI197" s="183"/>
      <c r="AJ197" s="182" t="s">
        <v>314</v>
      </c>
    </row>
    <row r="198" ht="18" customHeight="1" spans="1:36">
      <c r="A198" s="182" t="s">
        <v>518</v>
      </c>
      <c r="B198" s="182" t="s">
        <v>518</v>
      </c>
      <c r="C198" s="182" t="s">
        <v>519</v>
      </c>
      <c r="D198" s="182" t="s">
        <v>516</v>
      </c>
      <c r="E198" s="183">
        <v>68.42</v>
      </c>
      <c r="F198" s="183">
        <f t="shared" si="23"/>
        <v>617.484888</v>
      </c>
      <c r="G198" s="183">
        <f t="shared" si="18"/>
        <v>9.02491797719965</v>
      </c>
      <c r="H198" s="183">
        <v>617.484888</v>
      </c>
      <c r="I198" s="182">
        <v>0</v>
      </c>
      <c r="J198" s="183">
        <v>0</v>
      </c>
      <c r="K198" s="182">
        <v>0</v>
      </c>
      <c r="L198" s="183">
        <v>0</v>
      </c>
      <c r="M198" s="182">
        <v>0</v>
      </c>
      <c r="N198" s="183">
        <v>0</v>
      </c>
      <c r="O198" s="183">
        <v>0</v>
      </c>
      <c r="P198" s="183">
        <v>0</v>
      </c>
      <c r="Q198" s="183">
        <v>0</v>
      </c>
      <c r="R198" s="183">
        <v>0</v>
      </c>
      <c r="S198" s="183">
        <v>0</v>
      </c>
      <c r="T198" s="183">
        <v>0</v>
      </c>
      <c r="U198" s="183">
        <v>0</v>
      </c>
      <c r="V198" s="183">
        <v>0</v>
      </c>
      <c r="W198" s="183">
        <v>0</v>
      </c>
      <c r="X198" s="182">
        <v>0</v>
      </c>
      <c r="Y198" s="183">
        <f t="shared" si="19"/>
        <v>617.484888</v>
      </c>
      <c r="Z198" s="183">
        <f t="shared" si="20"/>
        <v>68.42</v>
      </c>
      <c r="AA198" s="183">
        <f t="shared" si="21"/>
        <v>0</v>
      </c>
      <c r="AB198" s="183">
        <f t="shared" si="22"/>
        <v>0</v>
      </c>
      <c r="AC198" s="183"/>
      <c r="AD198" s="183"/>
      <c r="AE198" s="183"/>
      <c r="AF198" s="183"/>
      <c r="AG198" s="183"/>
      <c r="AH198" s="183"/>
      <c r="AI198" s="183"/>
      <c r="AJ198" s="182" t="s">
        <v>314</v>
      </c>
    </row>
    <row r="199" ht="18" customHeight="1" spans="1:36">
      <c r="A199" s="182" t="s">
        <v>519</v>
      </c>
      <c r="B199" s="182" t="s">
        <v>519</v>
      </c>
      <c r="C199" s="182" t="s">
        <v>357</v>
      </c>
      <c r="D199" s="182" t="s">
        <v>520</v>
      </c>
      <c r="E199" s="183">
        <v>160.27</v>
      </c>
      <c r="F199" s="183">
        <f t="shared" si="23"/>
        <v>1379.074713</v>
      </c>
      <c r="G199" s="183">
        <f t="shared" si="18"/>
        <v>8.60469653085418</v>
      </c>
      <c r="H199" s="183">
        <v>1225.321279</v>
      </c>
      <c r="I199" s="182">
        <v>0</v>
      </c>
      <c r="J199" s="183">
        <v>0</v>
      </c>
      <c r="K199" s="182">
        <v>0</v>
      </c>
      <c r="L199" s="183">
        <v>0</v>
      </c>
      <c r="M199" s="182">
        <v>0</v>
      </c>
      <c r="N199" s="183">
        <v>0</v>
      </c>
      <c r="O199" s="183">
        <v>0</v>
      </c>
      <c r="P199" s="183">
        <v>0</v>
      </c>
      <c r="Q199" s="183">
        <v>0</v>
      </c>
      <c r="R199" s="183">
        <v>153.753434</v>
      </c>
      <c r="S199" s="183">
        <v>0</v>
      </c>
      <c r="T199" s="183">
        <v>0</v>
      </c>
      <c r="U199" s="183">
        <v>0</v>
      </c>
      <c r="V199" s="183">
        <v>0</v>
      </c>
      <c r="W199" s="183">
        <v>0</v>
      </c>
      <c r="X199" s="182">
        <v>0</v>
      </c>
      <c r="Y199" s="183">
        <f t="shared" si="19"/>
        <v>1379.074713</v>
      </c>
      <c r="Z199" s="183">
        <f t="shared" si="20"/>
        <v>160.27</v>
      </c>
      <c r="AA199" s="183">
        <f t="shared" si="21"/>
        <v>0</v>
      </c>
      <c r="AB199" s="183">
        <f t="shared" si="22"/>
        <v>0</v>
      </c>
      <c r="AC199" s="183"/>
      <c r="AD199" s="183"/>
      <c r="AE199" s="183"/>
      <c r="AF199" s="183"/>
      <c r="AG199" s="183"/>
      <c r="AH199" s="183"/>
      <c r="AI199" s="183"/>
      <c r="AJ199" s="182" t="s">
        <v>314</v>
      </c>
    </row>
    <row r="200" ht="18" customHeight="1" spans="1:36">
      <c r="A200" s="182" t="s">
        <v>521</v>
      </c>
      <c r="B200" s="182" t="s">
        <v>521</v>
      </c>
      <c r="C200" s="182" t="s">
        <v>232</v>
      </c>
      <c r="D200" s="182" t="s">
        <v>236</v>
      </c>
      <c r="E200" s="183">
        <v>354.6</v>
      </c>
      <c r="F200" s="183">
        <f t="shared" si="23"/>
        <v>5067.645733</v>
      </c>
      <c r="G200" s="183">
        <f t="shared" si="18"/>
        <v>14.2911611195713</v>
      </c>
      <c r="H200" s="183">
        <v>1849.955351</v>
      </c>
      <c r="I200" s="182">
        <v>0</v>
      </c>
      <c r="J200" s="183">
        <v>0</v>
      </c>
      <c r="K200" s="182">
        <v>0</v>
      </c>
      <c r="L200" s="183">
        <v>0</v>
      </c>
      <c r="M200" s="182">
        <v>0</v>
      </c>
      <c r="N200" s="183">
        <v>192.924441</v>
      </c>
      <c r="O200" s="183">
        <v>0</v>
      </c>
      <c r="P200" s="183">
        <v>0</v>
      </c>
      <c r="Q200" s="183">
        <v>1452.644649</v>
      </c>
      <c r="R200" s="183">
        <v>1572.121292</v>
      </c>
      <c r="S200" s="183">
        <v>0</v>
      </c>
      <c r="T200" s="183">
        <v>0</v>
      </c>
      <c r="U200" s="183">
        <v>0</v>
      </c>
      <c r="V200" s="183">
        <v>0</v>
      </c>
      <c r="W200" s="183">
        <v>0</v>
      </c>
      <c r="X200" s="182">
        <v>0</v>
      </c>
      <c r="Y200" s="183">
        <f t="shared" si="19"/>
        <v>3615.001084</v>
      </c>
      <c r="Z200" s="183">
        <f t="shared" si="20"/>
        <v>354.6</v>
      </c>
      <c r="AA200" s="183">
        <f t="shared" si="21"/>
        <v>0</v>
      </c>
      <c r="AB200" s="183">
        <f t="shared" si="22"/>
        <v>1452.644649</v>
      </c>
      <c r="AC200" s="183"/>
      <c r="AD200" s="183"/>
      <c r="AE200" s="183"/>
      <c r="AF200" s="183"/>
      <c r="AG200" s="183"/>
      <c r="AH200" s="183"/>
      <c r="AI200" s="183"/>
      <c r="AJ200" s="182" t="s">
        <v>314</v>
      </c>
    </row>
    <row r="201" ht="18" customHeight="1" spans="1:36">
      <c r="A201" s="182" t="s">
        <v>522</v>
      </c>
      <c r="B201" s="182" t="s">
        <v>522</v>
      </c>
      <c r="C201" s="182" t="s">
        <v>521</v>
      </c>
      <c r="D201" s="182" t="s">
        <v>236</v>
      </c>
      <c r="E201" s="183">
        <v>130.68</v>
      </c>
      <c r="F201" s="183">
        <f t="shared" si="23"/>
        <v>1629.081809</v>
      </c>
      <c r="G201" s="183">
        <f t="shared" si="18"/>
        <v>12.4661907636976</v>
      </c>
      <c r="H201" s="183">
        <v>986.340023</v>
      </c>
      <c r="I201" s="182">
        <v>0</v>
      </c>
      <c r="J201" s="183">
        <v>0</v>
      </c>
      <c r="K201" s="182">
        <v>0</v>
      </c>
      <c r="L201" s="183">
        <v>0</v>
      </c>
      <c r="M201" s="182">
        <v>0</v>
      </c>
      <c r="N201" s="183">
        <v>0</v>
      </c>
      <c r="O201" s="183">
        <v>0</v>
      </c>
      <c r="P201" s="183">
        <v>0</v>
      </c>
      <c r="Q201" s="183">
        <v>79.343573</v>
      </c>
      <c r="R201" s="183">
        <v>563.398213</v>
      </c>
      <c r="S201" s="183">
        <v>0</v>
      </c>
      <c r="T201" s="183">
        <v>0</v>
      </c>
      <c r="U201" s="183">
        <v>0</v>
      </c>
      <c r="V201" s="183">
        <v>0</v>
      </c>
      <c r="W201" s="183">
        <v>0</v>
      </c>
      <c r="X201" s="182">
        <v>0</v>
      </c>
      <c r="Y201" s="183">
        <f t="shared" si="19"/>
        <v>1549.738236</v>
      </c>
      <c r="Z201" s="183">
        <f t="shared" si="20"/>
        <v>130.68</v>
      </c>
      <c r="AA201" s="183">
        <f t="shared" si="21"/>
        <v>0</v>
      </c>
      <c r="AB201" s="183">
        <f t="shared" si="22"/>
        <v>79.343573</v>
      </c>
      <c r="AC201" s="183"/>
      <c r="AD201" s="183"/>
      <c r="AE201" s="183"/>
      <c r="AF201" s="183"/>
      <c r="AG201" s="183"/>
      <c r="AH201" s="183"/>
      <c r="AI201" s="183"/>
      <c r="AJ201" s="182" t="s">
        <v>314</v>
      </c>
    </row>
    <row r="202" ht="18" customHeight="1" spans="1:36">
      <c r="A202" s="182" t="s">
        <v>523</v>
      </c>
      <c r="B202" s="182" t="s">
        <v>523</v>
      </c>
      <c r="C202" s="182" t="s">
        <v>522</v>
      </c>
      <c r="D202" s="182" t="s">
        <v>524</v>
      </c>
      <c r="E202" s="183">
        <v>76.28</v>
      </c>
      <c r="F202" s="183">
        <f t="shared" si="23"/>
        <v>625.145614</v>
      </c>
      <c r="G202" s="183">
        <f t="shared" si="18"/>
        <v>8.19540658101731</v>
      </c>
      <c r="H202" s="183">
        <v>202.122742</v>
      </c>
      <c r="I202" s="182">
        <v>0</v>
      </c>
      <c r="J202" s="183">
        <v>0</v>
      </c>
      <c r="K202" s="182">
        <v>0</v>
      </c>
      <c r="L202" s="183">
        <v>0</v>
      </c>
      <c r="M202" s="182">
        <v>0</v>
      </c>
      <c r="N202" s="183">
        <v>0</v>
      </c>
      <c r="O202" s="183">
        <v>0</v>
      </c>
      <c r="P202" s="183">
        <v>0</v>
      </c>
      <c r="Q202" s="183">
        <v>351.714789</v>
      </c>
      <c r="R202" s="183">
        <v>71.308083</v>
      </c>
      <c r="S202" s="183">
        <v>0</v>
      </c>
      <c r="T202" s="183">
        <v>0</v>
      </c>
      <c r="U202" s="183">
        <v>0</v>
      </c>
      <c r="V202" s="183">
        <v>0</v>
      </c>
      <c r="W202" s="183">
        <v>0</v>
      </c>
      <c r="X202" s="182">
        <v>0</v>
      </c>
      <c r="Y202" s="183">
        <f t="shared" si="19"/>
        <v>273.430825</v>
      </c>
      <c r="Z202" s="183">
        <f t="shared" si="20"/>
        <v>76.28</v>
      </c>
      <c r="AA202" s="183">
        <f t="shared" si="21"/>
        <v>0</v>
      </c>
      <c r="AB202" s="183">
        <f t="shared" si="22"/>
        <v>351.714789</v>
      </c>
      <c r="AC202" s="183"/>
      <c r="AD202" s="183"/>
      <c r="AE202" s="183"/>
      <c r="AF202" s="183"/>
      <c r="AG202" s="183"/>
      <c r="AH202" s="183"/>
      <c r="AI202" s="183"/>
      <c r="AJ202" s="182" t="s">
        <v>314</v>
      </c>
    </row>
    <row r="203" ht="18" customHeight="1" spans="1:36">
      <c r="A203" s="182" t="s">
        <v>524</v>
      </c>
      <c r="B203" s="182" t="s">
        <v>524</v>
      </c>
      <c r="C203" s="182" t="s">
        <v>521</v>
      </c>
      <c r="D203" s="182" t="s">
        <v>236</v>
      </c>
      <c r="E203" s="183">
        <v>105</v>
      </c>
      <c r="F203" s="183">
        <f t="shared" si="23"/>
        <v>966.873113</v>
      </c>
      <c r="G203" s="183">
        <f t="shared" si="18"/>
        <v>9.20831536190476</v>
      </c>
      <c r="H203" s="183">
        <v>842.239811</v>
      </c>
      <c r="I203" s="182">
        <v>0</v>
      </c>
      <c r="J203" s="183">
        <v>0</v>
      </c>
      <c r="K203" s="182">
        <v>0</v>
      </c>
      <c r="L203" s="183">
        <v>0</v>
      </c>
      <c r="M203" s="182">
        <v>0</v>
      </c>
      <c r="N203" s="183">
        <v>124.633302</v>
      </c>
      <c r="O203" s="183">
        <v>0</v>
      </c>
      <c r="P203" s="183">
        <v>0</v>
      </c>
      <c r="Q203" s="183">
        <v>0</v>
      </c>
      <c r="R203" s="183">
        <v>0</v>
      </c>
      <c r="S203" s="183">
        <v>0</v>
      </c>
      <c r="T203" s="183">
        <v>0</v>
      </c>
      <c r="U203" s="183">
        <v>0</v>
      </c>
      <c r="V203" s="183">
        <v>0</v>
      </c>
      <c r="W203" s="183">
        <v>0</v>
      </c>
      <c r="X203" s="182">
        <v>0</v>
      </c>
      <c r="Y203" s="183">
        <f t="shared" si="19"/>
        <v>966.873113</v>
      </c>
      <c r="Z203" s="183">
        <f t="shared" si="20"/>
        <v>105</v>
      </c>
      <c r="AA203" s="183">
        <f t="shared" si="21"/>
        <v>0</v>
      </c>
      <c r="AB203" s="183">
        <f t="shared" si="22"/>
        <v>0</v>
      </c>
      <c r="AC203" s="183"/>
      <c r="AD203" s="183"/>
      <c r="AE203" s="183"/>
      <c r="AF203" s="183"/>
      <c r="AG203" s="183"/>
      <c r="AH203" s="183"/>
      <c r="AI203" s="183"/>
      <c r="AJ203" s="182" t="s">
        <v>314</v>
      </c>
    </row>
    <row r="204" ht="18" customHeight="1" spans="1:36">
      <c r="A204" s="182" t="s">
        <v>525</v>
      </c>
      <c r="B204" s="182" t="s">
        <v>525</v>
      </c>
      <c r="C204" s="182" t="s">
        <v>232</v>
      </c>
      <c r="D204" s="182" t="s">
        <v>521</v>
      </c>
      <c r="E204" s="183">
        <v>77.71</v>
      </c>
      <c r="F204" s="183">
        <f t="shared" si="23"/>
        <v>1189.940944</v>
      </c>
      <c r="G204" s="183">
        <f t="shared" si="18"/>
        <v>15.3125845322352</v>
      </c>
      <c r="H204" s="183">
        <v>629.7531</v>
      </c>
      <c r="I204" s="182">
        <v>0</v>
      </c>
      <c r="J204" s="183">
        <v>0</v>
      </c>
      <c r="K204" s="182">
        <v>0</v>
      </c>
      <c r="L204" s="183">
        <v>0</v>
      </c>
      <c r="M204" s="182">
        <v>0</v>
      </c>
      <c r="N204" s="183">
        <v>227.178869</v>
      </c>
      <c r="O204" s="183">
        <v>0</v>
      </c>
      <c r="P204" s="183">
        <v>0</v>
      </c>
      <c r="Q204" s="183">
        <v>333.008975</v>
      </c>
      <c r="R204" s="183">
        <v>0</v>
      </c>
      <c r="S204" s="183">
        <v>0</v>
      </c>
      <c r="T204" s="183">
        <v>0</v>
      </c>
      <c r="U204" s="183">
        <v>0</v>
      </c>
      <c r="V204" s="183">
        <v>0</v>
      </c>
      <c r="W204" s="183">
        <v>0</v>
      </c>
      <c r="X204" s="182">
        <v>0</v>
      </c>
      <c r="Y204" s="183">
        <f t="shared" si="19"/>
        <v>856.931969</v>
      </c>
      <c r="Z204" s="183">
        <f t="shared" si="20"/>
        <v>77.71</v>
      </c>
      <c r="AA204" s="183">
        <f t="shared" si="21"/>
        <v>0</v>
      </c>
      <c r="AB204" s="183">
        <f t="shared" si="22"/>
        <v>333.008975</v>
      </c>
      <c r="AC204" s="183"/>
      <c r="AD204" s="183"/>
      <c r="AE204" s="183"/>
      <c r="AF204" s="183"/>
      <c r="AG204" s="183"/>
      <c r="AH204" s="183"/>
      <c r="AI204" s="183"/>
      <c r="AJ204" s="182" t="s">
        <v>314</v>
      </c>
    </row>
    <row r="205" ht="18" customHeight="1" spans="1:36">
      <c r="A205" s="182" t="s">
        <v>526</v>
      </c>
      <c r="B205" s="182" t="s">
        <v>526</v>
      </c>
      <c r="C205" s="182" t="s">
        <v>232</v>
      </c>
      <c r="D205" s="182" t="s">
        <v>521</v>
      </c>
      <c r="E205" s="183">
        <v>87.04</v>
      </c>
      <c r="F205" s="183">
        <f t="shared" si="23"/>
        <v>1169.550981</v>
      </c>
      <c r="G205" s="183">
        <f t="shared" si="18"/>
        <v>13.4369368221507</v>
      </c>
      <c r="H205" s="183">
        <v>609.707638</v>
      </c>
      <c r="I205" s="182">
        <v>0</v>
      </c>
      <c r="J205" s="183">
        <v>0</v>
      </c>
      <c r="K205" s="182">
        <v>0</v>
      </c>
      <c r="L205" s="183">
        <v>0</v>
      </c>
      <c r="M205" s="182">
        <v>0</v>
      </c>
      <c r="N205" s="183">
        <v>559.843343</v>
      </c>
      <c r="O205" s="183">
        <v>0</v>
      </c>
      <c r="P205" s="183">
        <v>0</v>
      </c>
      <c r="Q205" s="183">
        <v>0</v>
      </c>
      <c r="R205" s="183">
        <v>0</v>
      </c>
      <c r="S205" s="183">
        <v>0</v>
      </c>
      <c r="T205" s="183">
        <v>0</v>
      </c>
      <c r="U205" s="183">
        <v>0</v>
      </c>
      <c r="V205" s="183">
        <v>0</v>
      </c>
      <c r="W205" s="183">
        <v>0</v>
      </c>
      <c r="X205" s="182">
        <v>0</v>
      </c>
      <c r="Y205" s="183">
        <f t="shared" si="19"/>
        <v>1169.550981</v>
      </c>
      <c r="Z205" s="183">
        <f t="shared" si="20"/>
        <v>87.04</v>
      </c>
      <c r="AA205" s="183">
        <f t="shared" si="21"/>
        <v>0</v>
      </c>
      <c r="AB205" s="183">
        <f t="shared" si="22"/>
        <v>0</v>
      </c>
      <c r="AC205" s="183"/>
      <c r="AD205" s="183"/>
      <c r="AE205" s="183"/>
      <c r="AF205" s="183"/>
      <c r="AG205" s="183"/>
      <c r="AH205" s="183"/>
      <c r="AI205" s="183"/>
      <c r="AJ205" s="182" t="s">
        <v>314</v>
      </c>
    </row>
    <row r="206" ht="18" customHeight="1" spans="1:36">
      <c r="A206" s="182" t="s">
        <v>527</v>
      </c>
      <c r="B206" s="182" t="s">
        <v>527</v>
      </c>
      <c r="C206" s="182" t="s">
        <v>382</v>
      </c>
      <c r="D206" s="182" t="s">
        <v>92</v>
      </c>
      <c r="E206" s="183">
        <v>172.53</v>
      </c>
      <c r="F206" s="183">
        <f t="shared" si="23"/>
        <v>1380.763696</v>
      </c>
      <c r="G206" s="183">
        <f t="shared" si="18"/>
        <v>8.0030353909465</v>
      </c>
      <c r="H206" s="183">
        <v>1241.615632</v>
      </c>
      <c r="I206" s="182">
        <v>0</v>
      </c>
      <c r="J206" s="183">
        <v>0</v>
      </c>
      <c r="K206" s="182">
        <v>0</v>
      </c>
      <c r="L206" s="183">
        <v>0</v>
      </c>
      <c r="M206" s="182">
        <v>0</v>
      </c>
      <c r="N206" s="183">
        <v>0</v>
      </c>
      <c r="O206" s="183">
        <v>0</v>
      </c>
      <c r="P206" s="183">
        <v>0</v>
      </c>
      <c r="Q206" s="183">
        <v>70.068468</v>
      </c>
      <c r="R206" s="183">
        <v>69.079596</v>
      </c>
      <c r="S206" s="183">
        <v>0</v>
      </c>
      <c r="T206" s="183">
        <v>0</v>
      </c>
      <c r="U206" s="183">
        <v>0</v>
      </c>
      <c r="V206" s="183">
        <v>0</v>
      </c>
      <c r="W206" s="183">
        <v>0</v>
      </c>
      <c r="X206" s="182">
        <v>0</v>
      </c>
      <c r="Y206" s="183">
        <f t="shared" si="19"/>
        <v>1310.695228</v>
      </c>
      <c r="Z206" s="183">
        <f t="shared" si="20"/>
        <v>172.53</v>
      </c>
      <c r="AA206" s="183">
        <f t="shared" si="21"/>
        <v>0</v>
      </c>
      <c r="AB206" s="183">
        <f t="shared" si="22"/>
        <v>70.068468</v>
      </c>
      <c r="AC206" s="183"/>
      <c r="AD206" s="183"/>
      <c r="AE206" s="183"/>
      <c r="AF206" s="183"/>
      <c r="AG206" s="183"/>
      <c r="AH206" s="183"/>
      <c r="AI206" s="183"/>
      <c r="AJ206" s="182" t="s">
        <v>314</v>
      </c>
    </row>
    <row r="207" ht="18" customHeight="1" spans="1:36">
      <c r="A207" s="182" t="s">
        <v>528</v>
      </c>
      <c r="B207" s="182" t="s">
        <v>528</v>
      </c>
      <c r="C207" s="182" t="s">
        <v>527</v>
      </c>
      <c r="D207" s="182" t="s">
        <v>92</v>
      </c>
      <c r="E207" s="183">
        <v>138.11</v>
      </c>
      <c r="F207" s="183">
        <f t="shared" si="23"/>
        <v>1118.270286</v>
      </c>
      <c r="G207" s="183">
        <f t="shared" si="18"/>
        <v>8.09695377597567</v>
      </c>
      <c r="H207" s="183">
        <v>1118.270286</v>
      </c>
      <c r="I207" s="182">
        <v>0</v>
      </c>
      <c r="J207" s="183">
        <v>0</v>
      </c>
      <c r="K207" s="182">
        <v>0</v>
      </c>
      <c r="L207" s="183">
        <v>0</v>
      </c>
      <c r="M207" s="182">
        <v>0</v>
      </c>
      <c r="N207" s="183">
        <v>0</v>
      </c>
      <c r="O207" s="183">
        <v>0</v>
      </c>
      <c r="P207" s="183">
        <v>0</v>
      </c>
      <c r="Q207" s="183">
        <v>0</v>
      </c>
      <c r="R207" s="183">
        <v>0</v>
      </c>
      <c r="S207" s="183">
        <v>0</v>
      </c>
      <c r="T207" s="183">
        <v>0</v>
      </c>
      <c r="U207" s="183">
        <v>0</v>
      </c>
      <c r="V207" s="183">
        <v>0</v>
      </c>
      <c r="W207" s="183">
        <v>0</v>
      </c>
      <c r="X207" s="182">
        <v>0</v>
      </c>
      <c r="Y207" s="183">
        <f t="shared" si="19"/>
        <v>1118.270286</v>
      </c>
      <c r="Z207" s="183">
        <f t="shared" si="20"/>
        <v>138.11</v>
      </c>
      <c r="AA207" s="183">
        <f t="shared" si="21"/>
        <v>0</v>
      </c>
      <c r="AB207" s="183">
        <f t="shared" si="22"/>
        <v>0</v>
      </c>
      <c r="AC207" s="183"/>
      <c r="AD207" s="183"/>
      <c r="AE207" s="183"/>
      <c r="AF207" s="183"/>
      <c r="AG207" s="183"/>
      <c r="AH207" s="183"/>
      <c r="AI207" s="183"/>
      <c r="AJ207" s="182" t="s">
        <v>314</v>
      </c>
    </row>
    <row r="208" ht="18" customHeight="1" spans="1:36">
      <c r="A208" s="182" t="s">
        <v>529</v>
      </c>
      <c r="B208" s="182" t="s">
        <v>529</v>
      </c>
      <c r="C208" s="182" t="s">
        <v>92</v>
      </c>
      <c r="D208" s="182" t="s">
        <v>438</v>
      </c>
      <c r="E208" s="183">
        <v>143.97</v>
      </c>
      <c r="F208" s="183">
        <f t="shared" si="23"/>
        <v>2067.441906</v>
      </c>
      <c r="G208" s="183">
        <f t="shared" si="18"/>
        <v>14.3602271723276</v>
      </c>
      <c r="H208" s="183">
        <v>606.386359</v>
      </c>
      <c r="I208" s="182">
        <v>0</v>
      </c>
      <c r="J208" s="183">
        <v>0</v>
      </c>
      <c r="K208" s="182">
        <v>0</v>
      </c>
      <c r="L208" s="183">
        <v>0</v>
      </c>
      <c r="M208" s="182">
        <v>0</v>
      </c>
      <c r="N208" s="183">
        <v>0</v>
      </c>
      <c r="O208" s="183">
        <v>0</v>
      </c>
      <c r="P208" s="183">
        <v>0</v>
      </c>
      <c r="Q208" s="183">
        <v>52.422736</v>
      </c>
      <c r="R208" s="183">
        <v>1408.632811</v>
      </c>
      <c r="S208" s="183">
        <v>0</v>
      </c>
      <c r="T208" s="183">
        <v>0</v>
      </c>
      <c r="U208" s="183">
        <v>0</v>
      </c>
      <c r="V208" s="183">
        <v>0</v>
      </c>
      <c r="W208" s="183">
        <v>0</v>
      </c>
      <c r="X208" s="182">
        <v>0</v>
      </c>
      <c r="Y208" s="183">
        <f t="shared" si="19"/>
        <v>2015.01917</v>
      </c>
      <c r="Z208" s="183">
        <f t="shared" si="20"/>
        <v>143.97</v>
      </c>
      <c r="AA208" s="183">
        <f t="shared" si="21"/>
        <v>0</v>
      </c>
      <c r="AB208" s="183">
        <f t="shared" si="22"/>
        <v>52.422736</v>
      </c>
      <c r="AC208" s="183"/>
      <c r="AD208" s="183"/>
      <c r="AE208" s="183"/>
      <c r="AF208" s="183"/>
      <c r="AG208" s="183"/>
      <c r="AH208" s="183"/>
      <c r="AI208" s="183"/>
      <c r="AJ208" s="182" t="s">
        <v>314</v>
      </c>
    </row>
    <row r="209" ht="18" customHeight="1" spans="1:36">
      <c r="A209" s="182" t="s">
        <v>530</v>
      </c>
      <c r="B209" s="182" t="s">
        <v>530</v>
      </c>
      <c r="C209" s="182" t="s">
        <v>92</v>
      </c>
      <c r="D209" s="182" t="s">
        <v>438</v>
      </c>
      <c r="E209" s="183">
        <v>149.91</v>
      </c>
      <c r="F209" s="183">
        <f t="shared" si="23"/>
        <v>1647.496608</v>
      </c>
      <c r="G209" s="183">
        <f t="shared" si="18"/>
        <v>10.9899046627977</v>
      </c>
      <c r="H209" s="183">
        <v>1083.469683</v>
      </c>
      <c r="I209" s="182">
        <v>0</v>
      </c>
      <c r="J209" s="183">
        <v>0</v>
      </c>
      <c r="K209" s="182">
        <v>0</v>
      </c>
      <c r="L209" s="183">
        <v>0</v>
      </c>
      <c r="M209" s="182">
        <v>0</v>
      </c>
      <c r="N209" s="183">
        <v>0</v>
      </c>
      <c r="O209" s="183">
        <v>0</v>
      </c>
      <c r="P209" s="183">
        <v>0</v>
      </c>
      <c r="Q209" s="183">
        <v>546.574794</v>
      </c>
      <c r="R209" s="183">
        <v>17.452131</v>
      </c>
      <c r="S209" s="183">
        <v>0</v>
      </c>
      <c r="T209" s="183">
        <v>0</v>
      </c>
      <c r="U209" s="183">
        <v>0</v>
      </c>
      <c r="V209" s="183">
        <v>0</v>
      </c>
      <c r="W209" s="183">
        <v>0</v>
      </c>
      <c r="X209" s="182">
        <v>0</v>
      </c>
      <c r="Y209" s="183">
        <f t="shared" si="19"/>
        <v>1100.921814</v>
      </c>
      <c r="Z209" s="183">
        <f t="shared" si="20"/>
        <v>149.91</v>
      </c>
      <c r="AA209" s="183">
        <f t="shared" si="21"/>
        <v>0</v>
      </c>
      <c r="AB209" s="183">
        <f t="shared" si="22"/>
        <v>546.574794</v>
      </c>
      <c r="AC209" s="183"/>
      <c r="AD209" s="183"/>
      <c r="AE209" s="183"/>
      <c r="AF209" s="183"/>
      <c r="AG209" s="183"/>
      <c r="AH209" s="183"/>
      <c r="AI209" s="183"/>
      <c r="AJ209" s="182" t="s">
        <v>314</v>
      </c>
    </row>
    <row r="210" ht="18" customHeight="1" spans="1:36">
      <c r="A210" s="182" t="s">
        <v>531</v>
      </c>
      <c r="B210" s="182" t="s">
        <v>531</v>
      </c>
      <c r="C210" s="182" t="s">
        <v>172</v>
      </c>
      <c r="D210" s="182" t="s">
        <v>174</v>
      </c>
      <c r="E210" s="183">
        <v>319.49</v>
      </c>
      <c r="F210" s="183">
        <f t="shared" si="23"/>
        <v>2026.772965</v>
      </c>
      <c r="G210" s="183">
        <f t="shared" si="18"/>
        <v>6.34377590847914</v>
      </c>
      <c r="H210" s="183">
        <v>2026.772965</v>
      </c>
      <c r="I210" s="182">
        <v>0</v>
      </c>
      <c r="J210" s="183">
        <v>0</v>
      </c>
      <c r="K210" s="182">
        <v>0</v>
      </c>
      <c r="L210" s="183">
        <v>0</v>
      </c>
      <c r="M210" s="182">
        <v>0</v>
      </c>
      <c r="N210" s="183">
        <v>0</v>
      </c>
      <c r="O210" s="183">
        <v>0</v>
      </c>
      <c r="P210" s="183">
        <v>0</v>
      </c>
      <c r="Q210" s="183">
        <v>0</v>
      </c>
      <c r="R210" s="183">
        <v>0</v>
      </c>
      <c r="S210" s="183">
        <v>0</v>
      </c>
      <c r="T210" s="183">
        <v>0</v>
      </c>
      <c r="U210" s="183">
        <v>0</v>
      </c>
      <c r="V210" s="183">
        <v>0</v>
      </c>
      <c r="W210" s="183">
        <v>0</v>
      </c>
      <c r="X210" s="182">
        <v>0</v>
      </c>
      <c r="Y210" s="183">
        <f t="shared" si="19"/>
        <v>2026.772965</v>
      </c>
      <c r="Z210" s="183">
        <f t="shared" si="20"/>
        <v>319.49</v>
      </c>
      <c r="AA210" s="183">
        <f t="shared" si="21"/>
        <v>0</v>
      </c>
      <c r="AB210" s="183">
        <f t="shared" si="22"/>
        <v>0</v>
      </c>
      <c r="AC210" s="183"/>
      <c r="AD210" s="183"/>
      <c r="AE210" s="183"/>
      <c r="AF210" s="183"/>
      <c r="AG210" s="183"/>
      <c r="AH210" s="183"/>
      <c r="AI210" s="183"/>
      <c r="AJ210" s="182" t="s">
        <v>314</v>
      </c>
    </row>
    <row r="211" ht="18" customHeight="1" spans="1:36">
      <c r="A211" s="182" t="s">
        <v>532</v>
      </c>
      <c r="B211" s="182" t="s">
        <v>532</v>
      </c>
      <c r="C211" s="182" t="s">
        <v>531</v>
      </c>
      <c r="D211" s="182" t="s">
        <v>174</v>
      </c>
      <c r="E211" s="183">
        <v>228.77</v>
      </c>
      <c r="F211" s="183">
        <f t="shared" si="23"/>
        <v>703.806563</v>
      </c>
      <c r="G211" s="183">
        <f t="shared" si="18"/>
        <v>3.07648102023867</v>
      </c>
      <c r="H211" s="183">
        <v>703.806563</v>
      </c>
      <c r="I211" s="182">
        <v>0</v>
      </c>
      <c r="J211" s="183">
        <v>0</v>
      </c>
      <c r="K211" s="182">
        <v>0</v>
      </c>
      <c r="L211" s="183">
        <v>0</v>
      </c>
      <c r="M211" s="182">
        <v>0</v>
      </c>
      <c r="N211" s="183">
        <v>0</v>
      </c>
      <c r="O211" s="183">
        <v>0</v>
      </c>
      <c r="P211" s="183">
        <v>0</v>
      </c>
      <c r="Q211" s="183">
        <v>0</v>
      </c>
      <c r="R211" s="183">
        <v>0</v>
      </c>
      <c r="S211" s="183">
        <v>0</v>
      </c>
      <c r="T211" s="183">
        <v>0</v>
      </c>
      <c r="U211" s="183">
        <v>0</v>
      </c>
      <c r="V211" s="183">
        <v>0</v>
      </c>
      <c r="W211" s="183">
        <v>0</v>
      </c>
      <c r="X211" s="182">
        <v>0</v>
      </c>
      <c r="Y211" s="183">
        <f t="shared" si="19"/>
        <v>703.806563</v>
      </c>
      <c r="Z211" s="183">
        <f t="shared" si="20"/>
        <v>228.77</v>
      </c>
      <c r="AA211" s="183">
        <f t="shared" si="21"/>
        <v>0</v>
      </c>
      <c r="AB211" s="183">
        <f t="shared" si="22"/>
        <v>0</v>
      </c>
      <c r="AC211" s="183"/>
      <c r="AD211" s="183"/>
      <c r="AE211" s="183"/>
      <c r="AF211" s="183"/>
      <c r="AG211" s="183"/>
      <c r="AH211" s="183"/>
      <c r="AI211" s="183"/>
      <c r="AJ211" s="182" t="s">
        <v>314</v>
      </c>
    </row>
    <row r="212" ht="18" customHeight="1" spans="1:36">
      <c r="A212" s="182" t="s">
        <v>533</v>
      </c>
      <c r="B212" s="182" t="s">
        <v>533</v>
      </c>
      <c r="C212" s="182" t="s">
        <v>531</v>
      </c>
      <c r="D212" s="182" t="s">
        <v>174</v>
      </c>
      <c r="E212" s="183">
        <v>229.64</v>
      </c>
      <c r="F212" s="183">
        <f t="shared" si="23"/>
        <v>684.040025</v>
      </c>
      <c r="G212" s="183">
        <f t="shared" si="18"/>
        <v>2.97874945566974</v>
      </c>
      <c r="H212" s="183">
        <v>684.040025</v>
      </c>
      <c r="I212" s="182">
        <v>0</v>
      </c>
      <c r="J212" s="183">
        <v>0</v>
      </c>
      <c r="K212" s="182">
        <v>0</v>
      </c>
      <c r="L212" s="183">
        <v>0</v>
      </c>
      <c r="M212" s="182">
        <v>0</v>
      </c>
      <c r="N212" s="183">
        <v>0</v>
      </c>
      <c r="O212" s="183">
        <v>0</v>
      </c>
      <c r="P212" s="183">
        <v>0</v>
      </c>
      <c r="Q212" s="183">
        <v>0</v>
      </c>
      <c r="R212" s="183">
        <v>0</v>
      </c>
      <c r="S212" s="183">
        <v>0</v>
      </c>
      <c r="T212" s="183">
        <v>0</v>
      </c>
      <c r="U212" s="183">
        <v>0</v>
      </c>
      <c r="V212" s="183">
        <v>0</v>
      </c>
      <c r="W212" s="183">
        <v>0</v>
      </c>
      <c r="X212" s="182">
        <v>0</v>
      </c>
      <c r="Y212" s="183">
        <f t="shared" si="19"/>
        <v>684.040025</v>
      </c>
      <c r="Z212" s="183">
        <f t="shared" si="20"/>
        <v>229.64</v>
      </c>
      <c r="AA212" s="183">
        <f t="shared" si="21"/>
        <v>0</v>
      </c>
      <c r="AB212" s="183">
        <f t="shared" si="22"/>
        <v>0</v>
      </c>
      <c r="AC212" s="183"/>
      <c r="AD212" s="183"/>
      <c r="AE212" s="183"/>
      <c r="AF212" s="183"/>
      <c r="AG212" s="183"/>
      <c r="AH212" s="183"/>
      <c r="AI212" s="183"/>
      <c r="AJ212" s="182" t="s">
        <v>314</v>
      </c>
    </row>
    <row r="213" ht="18" customHeight="1" spans="1:36">
      <c r="A213" s="182" t="s">
        <v>534</v>
      </c>
      <c r="B213" s="182" t="s">
        <v>534</v>
      </c>
      <c r="C213" s="182" t="s">
        <v>532</v>
      </c>
      <c r="D213" s="182" t="s">
        <v>533</v>
      </c>
      <c r="E213" s="183">
        <v>24.74</v>
      </c>
      <c r="F213" s="183">
        <f t="shared" si="23"/>
        <v>75.199262</v>
      </c>
      <c r="G213" s="183">
        <f t="shared" si="18"/>
        <v>3.03958213419563</v>
      </c>
      <c r="H213" s="183">
        <v>75.199262</v>
      </c>
      <c r="I213" s="182">
        <v>0</v>
      </c>
      <c r="J213" s="183">
        <v>0</v>
      </c>
      <c r="K213" s="182">
        <v>0</v>
      </c>
      <c r="L213" s="183">
        <v>0</v>
      </c>
      <c r="M213" s="182">
        <v>0</v>
      </c>
      <c r="N213" s="183">
        <v>0</v>
      </c>
      <c r="O213" s="183">
        <v>0</v>
      </c>
      <c r="P213" s="183">
        <v>0</v>
      </c>
      <c r="Q213" s="183">
        <v>0</v>
      </c>
      <c r="R213" s="183">
        <v>0</v>
      </c>
      <c r="S213" s="183">
        <v>0</v>
      </c>
      <c r="T213" s="183">
        <v>0</v>
      </c>
      <c r="U213" s="183">
        <v>0</v>
      </c>
      <c r="V213" s="183">
        <v>0</v>
      </c>
      <c r="W213" s="183">
        <v>0</v>
      </c>
      <c r="X213" s="182">
        <v>0</v>
      </c>
      <c r="Y213" s="183">
        <f t="shared" si="19"/>
        <v>75.199262</v>
      </c>
      <c r="Z213" s="183">
        <f t="shared" si="20"/>
        <v>24.74</v>
      </c>
      <c r="AA213" s="183">
        <f t="shared" si="21"/>
        <v>0</v>
      </c>
      <c r="AB213" s="183">
        <f t="shared" si="22"/>
        <v>0</v>
      </c>
      <c r="AC213" s="183"/>
      <c r="AD213" s="183"/>
      <c r="AE213" s="183"/>
      <c r="AF213" s="183"/>
      <c r="AG213" s="183"/>
      <c r="AH213" s="183"/>
      <c r="AI213" s="183"/>
      <c r="AJ213" s="182" t="s">
        <v>314</v>
      </c>
    </row>
    <row r="214" ht="18" customHeight="1" spans="1:36">
      <c r="A214" s="182" t="s">
        <v>534</v>
      </c>
      <c r="B214" s="182" t="s">
        <v>534</v>
      </c>
      <c r="C214" s="182" t="s">
        <v>533</v>
      </c>
      <c r="D214" s="182" t="s">
        <v>531</v>
      </c>
      <c r="E214" s="183">
        <v>24.58</v>
      </c>
      <c r="F214" s="183">
        <f t="shared" si="23"/>
        <v>64.573581</v>
      </c>
      <c r="G214" s="183">
        <f t="shared" si="18"/>
        <v>2.62707815296989</v>
      </c>
      <c r="H214" s="183">
        <v>64.573581</v>
      </c>
      <c r="I214" s="182">
        <v>0</v>
      </c>
      <c r="J214" s="183">
        <v>0</v>
      </c>
      <c r="K214" s="182">
        <v>0</v>
      </c>
      <c r="L214" s="183">
        <v>0</v>
      </c>
      <c r="M214" s="182">
        <v>0</v>
      </c>
      <c r="N214" s="183">
        <v>0</v>
      </c>
      <c r="O214" s="183">
        <v>0</v>
      </c>
      <c r="P214" s="183">
        <v>0</v>
      </c>
      <c r="Q214" s="183">
        <v>0</v>
      </c>
      <c r="R214" s="183">
        <v>0</v>
      </c>
      <c r="S214" s="183">
        <v>0</v>
      </c>
      <c r="T214" s="183">
        <v>0</v>
      </c>
      <c r="U214" s="183">
        <v>0</v>
      </c>
      <c r="V214" s="183">
        <v>0</v>
      </c>
      <c r="W214" s="183">
        <v>0</v>
      </c>
      <c r="X214" s="182">
        <v>0</v>
      </c>
      <c r="Y214" s="183">
        <f t="shared" si="19"/>
        <v>64.573581</v>
      </c>
      <c r="Z214" s="183">
        <f t="shared" si="20"/>
        <v>24.58</v>
      </c>
      <c r="AA214" s="183">
        <f t="shared" si="21"/>
        <v>0</v>
      </c>
      <c r="AB214" s="183">
        <f t="shared" si="22"/>
        <v>0</v>
      </c>
      <c r="AC214" s="183"/>
      <c r="AD214" s="183"/>
      <c r="AE214" s="183"/>
      <c r="AF214" s="183"/>
      <c r="AG214" s="183"/>
      <c r="AH214" s="183"/>
      <c r="AI214" s="183"/>
      <c r="AJ214" s="182" t="s">
        <v>314</v>
      </c>
    </row>
    <row r="215" ht="18" customHeight="1" spans="1:36">
      <c r="A215" s="182" t="s">
        <v>534</v>
      </c>
      <c r="B215" s="182" t="s">
        <v>534</v>
      </c>
      <c r="C215" s="182" t="s">
        <v>172</v>
      </c>
      <c r="D215" s="182" t="s">
        <v>532</v>
      </c>
      <c r="E215" s="183">
        <v>28.45</v>
      </c>
      <c r="F215" s="183">
        <f t="shared" si="23"/>
        <v>91.361039</v>
      </c>
      <c r="G215" s="183">
        <f t="shared" si="18"/>
        <v>3.21128432337434</v>
      </c>
      <c r="H215" s="183">
        <v>91.361039</v>
      </c>
      <c r="I215" s="182">
        <v>0</v>
      </c>
      <c r="J215" s="183">
        <v>0</v>
      </c>
      <c r="K215" s="182">
        <v>0</v>
      </c>
      <c r="L215" s="183">
        <v>0</v>
      </c>
      <c r="M215" s="182">
        <v>0</v>
      </c>
      <c r="N215" s="183">
        <v>0</v>
      </c>
      <c r="O215" s="183">
        <v>0</v>
      </c>
      <c r="P215" s="183">
        <v>0</v>
      </c>
      <c r="Q215" s="183">
        <v>0</v>
      </c>
      <c r="R215" s="183">
        <v>0</v>
      </c>
      <c r="S215" s="183">
        <v>0</v>
      </c>
      <c r="T215" s="183">
        <v>0</v>
      </c>
      <c r="U215" s="183">
        <v>0</v>
      </c>
      <c r="V215" s="183">
        <v>0</v>
      </c>
      <c r="W215" s="183">
        <v>0</v>
      </c>
      <c r="X215" s="182">
        <v>0</v>
      </c>
      <c r="Y215" s="183">
        <f t="shared" si="19"/>
        <v>91.361039</v>
      </c>
      <c r="Z215" s="183">
        <f t="shared" si="20"/>
        <v>28.45</v>
      </c>
      <c r="AA215" s="183">
        <f t="shared" si="21"/>
        <v>0</v>
      </c>
      <c r="AB215" s="183">
        <f t="shared" si="22"/>
        <v>0</v>
      </c>
      <c r="AC215" s="183"/>
      <c r="AD215" s="183"/>
      <c r="AE215" s="183"/>
      <c r="AF215" s="183"/>
      <c r="AG215" s="183"/>
      <c r="AH215" s="183"/>
      <c r="AI215" s="183"/>
      <c r="AJ215" s="182" t="s">
        <v>314</v>
      </c>
    </row>
    <row r="216" ht="18" customHeight="1" spans="1:36">
      <c r="A216" s="182" t="s">
        <v>496</v>
      </c>
      <c r="B216" s="182" t="s">
        <v>496</v>
      </c>
      <c r="C216" s="182" t="s">
        <v>237</v>
      </c>
      <c r="D216" s="182" t="s">
        <v>204</v>
      </c>
      <c r="E216" s="183">
        <v>381.26</v>
      </c>
      <c r="F216" s="183">
        <f t="shared" si="23"/>
        <v>4718.434553</v>
      </c>
      <c r="G216" s="183">
        <f t="shared" si="18"/>
        <v>12.3758971646645</v>
      </c>
      <c r="H216" s="183">
        <v>1762.189621</v>
      </c>
      <c r="I216" s="182">
        <v>0</v>
      </c>
      <c r="J216" s="183">
        <v>0</v>
      </c>
      <c r="K216" s="182">
        <v>0</v>
      </c>
      <c r="L216" s="183">
        <v>0</v>
      </c>
      <c r="M216" s="182">
        <v>0</v>
      </c>
      <c r="N216" s="183">
        <v>2254.195573</v>
      </c>
      <c r="O216" s="183">
        <v>0</v>
      </c>
      <c r="P216" s="183">
        <v>0</v>
      </c>
      <c r="Q216" s="183">
        <v>368.955258</v>
      </c>
      <c r="R216" s="183">
        <v>0</v>
      </c>
      <c r="S216" s="183">
        <v>333.094101</v>
      </c>
      <c r="T216" s="183">
        <v>0</v>
      </c>
      <c r="U216" s="183">
        <v>0</v>
      </c>
      <c r="V216" s="183">
        <v>0</v>
      </c>
      <c r="W216" s="183">
        <v>0</v>
      </c>
      <c r="X216" s="182">
        <v>0</v>
      </c>
      <c r="Y216" s="183">
        <f t="shared" si="19"/>
        <v>4349.479295</v>
      </c>
      <c r="Z216" s="183">
        <f t="shared" si="20"/>
        <v>381.26</v>
      </c>
      <c r="AA216" s="183">
        <f t="shared" si="21"/>
        <v>0</v>
      </c>
      <c r="AB216" s="183">
        <f t="shared" si="22"/>
        <v>368.955258</v>
      </c>
      <c r="AC216" s="183"/>
      <c r="AD216" s="183"/>
      <c r="AE216" s="183"/>
      <c r="AF216" s="183"/>
      <c r="AG216" s="183"/>
      <c r="AH216" s="183"/>
      <c r="AI216" s="183"/>
      <c r="AJ216" s="182" t="s">
        <v>314</v>
      </c>
    </row>
    <row r="217" ht="18" customHeight="1" spans="1:36">
      <c r="A217" s="182" t="s">
        <v>535</v>
      </c>
      <c r="B217" s="182" t="s">
        <v>535</v>
      </c>
      <c r="C217" s="182" t="s">
        <v>204</v>
      </c>
      <c r="D217" s="182" t="s">
        <v>536</v>
      </c>
      <c r="E217" s="183">
        <v>126.66</v>
      </c>
      <c r="F217" s="183">
        <f t="shared" si="23"/>
        <v>1984.687779</v>
      </c>
      <c r="G217" s="183">
        <f t="shared" si="18"/>
        <v>15.669412434865</v>
      </c>
      <c r="H217" s="183">
        <v>1399.428178</v>
      </c>
      <c r="I217" s="182">
        <v>0</v>
      </c>
      <c r="J217" s="183">
        <v>0</v>
      </c>
      <c r="K217" s="182">
        <v>0</v>
      </c>
      <c r="L217" s="183">
        <v>0</v>
      </c>
      <c r="M217" s="182">
        <v>0</v>
      </c>
      <c r="N217" s="183">
        <v>0</v>
      </c>
      <c r="O217" s="183">
        <v>0</v>
      </c>
      <c r="P217" s="183">
        <v>0</v>
      </c>
      <c r="Q217" s="183">
        <v>0</v>
      </c>
      <c r="R217" s="183">
        <v>585.259601</v>
      </c>
      <c r="S217" s="183">
        <v>0</v>
      </c>
      <c r="T217" s="183">
        <v>0</v>
      </c>
      <c r="U217" s="183">
        <v>0</v>
      </c>
      <c r="V217" s="183">
        <v>0</v>
      </c>
      <c r="W217" s="183">
        <v>0</v>
      </c>
      <c r="X217" s="182">
        <v>0</v>
      </c>
      <c r="Y217" s="183">
        <f t="shared" si="19"/>
        <v>1984.687779</v>
      </c>
      <c r="Z217" s="183">
        <f t="shared" si="20"/>
        <v>126.66</v>
      </c>
      <c r="AA217" s="183">
        <f t="shared" si="21"/>
        <v>0</v>
      </c>
      <c r="AB217" s="183">
        <f t="shared" si="22"/>
        <v>0</v>
      </c>
      <c r="AC217" s="183"/>
      <c r="AD217" s="183"/>
      <c r="AE217" s="183"/>
      <c r="AF217" s="183"/>
      <c r="AG217" s="183"/>
      <c r="AH217" s="183"/>
      <c r="AI217" s="183"/>
      <c r="AJ217" s="182" t="s">
        <v>314</v>
      </c>
    </row>
    <row r="218" ht="18" customHeight="1" spans="1:36">
      <c r="A218" s="184" t="s">
        <v>537</v>
      </c>
      <c r="B218" s="182"/>
      <c r="C218" s="182"/>
      <c r="D218" s="182"/>
      <c r="E218" s="183">
        <f>SUM(E3:E217)</f>
        <v>36624.1</v>
      </c>
      <c r="F218" s="183">
        <f>SUM(F3:F217)</f>
        <v>388052.35528</v>
      </c>
      <c r="G218" s="183">
        <f>SUM(G3:G217)</f>
        <v>2059.1520038164</v>
      </c>
      <c r="H218" s="183">
        <f>SUM(H3:H217)</f>
        <v>200969.169635</v>
      </c>
      <c r="I218" s="182"/>
      <c r="J218" s="183">
        <f>SUM(J3:J217)</f>
        <v>7011.926789</v>
      </c>
      <c r="K218" s="182"/>
      <c r="L218" s="183">
        <f>SUM(L3:L217)</f>
        <v>6991.144331</v>
      </c>
      <c r="M218" s="182"/>
      <c r="N218" s="183">
        <f t="shared" ref="N218:W218" si="24">SUM(N3:N217)</f>
        <v>44273.096977</v>
      </c>
      <c r="O218" s="183">
        <f t="shared" si="24"/>
        <v>2117.9882</v>
      </c>
      <c r="P218" s="183">
        <f t="shared" si="24"/>
        <v>181.450901</v>
      </c>
      <c r="Q218" s="183">
        <f t="shared" si="24"/>
        <v>62258.630204</v>
      </c>
      <c r="R218" s="183">
        <f t="shared" si="24"/>
        <v>51098.574981</v>
      </c>
      <c r="S218" s="183">
        <f t="shared" si="24"/>
        <v>7803.557424</v>
      </c>
      <c r="T218" s="183">
        <f t="shared" si="24"/>
        <v>40.129996</v>
      </c>
      <c r="U218" s="183">
        <f t="shared" si="24"/>
        <v>340.239199</v>
      </c>
      <c r="V218" s="183">
        <f t="shared" si="24"/>
        <v>2197.063767</v>
      </c>
      <c r="W218" s="183">
        <f t="shared" si="24"/>
        <v>95.974957</v>
      </c>
      <c r="X218" s="182">
        <f>SUBTOTAL(9,X3:X217)</f>
        <v>2</v>
      </c>
      <c r="Y218" s="183">
        <f t="shared" ref="Y218:AD218" si="25">SUM(Y3:Y217)</f>
        <v>318147.470137</v>
      </c>
      <c r="Z218" s="183">
        <f t="shared" si="25"/>
        <v>36624.1</v>
      </c>
      <c r="AA218" s="183">
        <f t="shared" si="25"/>
        <v>5346.815838</v>
      </c>
      <c r="AB218" s="183">
        <f t="shared" si="25"/>
        <v>64558.069305</v>
      </c>
      <c r="AC218" s="187"/>
      <c r="AD218" s="187"/>
      <c r="AE218" s="183"/>
      <c r="AF218" s="183"/>
      <c r="AG218" s="183"/>
      <c r="AH218" s="183"/>
      <c r="AI218" s="188"/>
      <c r="AJ218" s="182"/>
    </row>
    <row r="219" ht="135" customHeight="1" spans="1:36">
      <c r="A219" s="185"/>
      <c r="B219" s="185"/>
      <c r="C219" s="185"/>
      <c r="D219" s="185"/>
      <c r="E219" s="186"/>
      <c r="F219" s="186"/>
      <c r="G219" s="186"/>
      <c r="H219" s="186"/>
      <c r="I219" s="185"/>
      <c r="J219" s="186"/>
      <c r="K219" s="185"/>
      <c r="L219" s="186"/>
      <c r="M219" s="185"/>
      <c r="N219" s="186"/>
      <c r="O219" s="186"/>
      <c r="P219" s="186"/>
      <c r="Q219" s="186"/>
      <c r="R219" s="186"/>
      <c r="S219" s="186"/>
      <c r="T219" s="186"/>
      <c r="U219" s="186"/>
      <c r="V219" s="186"/>
      <c r="W219" s="186"/>
      <c r="X219" s="185"/>
      <c r="Y219" s="186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5"/>
    </row>
  </sheetData>
  <mergeCells count="1">
    <mergeCell ref="E1:AJ1"/>
  </mergeCells>
  <pageMargins left="0.700694444444445" right="0.700694444444445" top="0.747916666666667" bottom="0.747916666666667" header="0.298611111111111" footer="0.298611111111111"/>
  <pageSetup paperSize="9" scale="4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12" sqref="F12"/>
    </sheetView>
  </sheetViews>
  <sheetFormatPr defaultColWidth="9" defaultRowHeight="14.4" outlineLevelRow="4" outlineLevelCol="6"/>
  <cols>
    <col min="2" max="2" width="21.8796296296296" customWidth="1"/>
    <col min="3" max="3" width="19.3796296296296" customWidth="1"/>
    <col min="4" max="4" width="23" customWidth="1"/>
    <col min="5" max="5" width="21.1296296296296" customWidth="1"/>
    <col min="6" max="6" width="25.7592592592593" customWidth="1"/>
  </cols>
  <sheetData>
    <row r="1" ht="18.75" customHeight="1" spans="1:7">
      <c r="A1" s="145" t="s">
        <v>538</v>
      </c>
      <c r="B1" s="145"/>
      <c r="C1" s="145"/>
      <c r="D1" s="145"/>
      <c r="E1" s="145"/>
      <c r="F1" s="145"/>
      <c r="G1" s="145"/>
    </row>
    <row r="2" ht="30" customHeight="1" spans="1:7">
      <c r="A2" s="173" t="s">
        <v>1</v>
      </c>
      <c r="B2" s="173" t="s">
        <v>539</v>
      </c>
      <c r="C2" s="173" t="s">
        <v>540</v>
      </c>
      <c r="D2" s="173" t="s">
        <v>541</v>
      </c>
      <c r="E2" s="173" t="s">
        <v>542</v>
      </c>
      <c r="F2" s="174" t="s">
        <v>543</v>
      </c>
      <c r="G2" s="173" t="s">
        <v>36</v>
      </c>
    </row>
    <row r="3" ht="30" customHeight="1" spans="1:7">
      <c r="A3" s="175">
        <v>1</v>
      </c>
      <c r="B3" s="175" t="s">
        <v>544</v>
      </c>
      <c r="C3" s="12">
        <f>(90-28)</f>
        <v>62</v>
      </c>
      <c r="D3" s="175">
        <f>C3*365</f>
        <v>22630</v>
      </c>
      <c r="E3" s="176"/>
      <c r="F3" s="176"/>
      <c r="G3" s="175"/>
    </row>
    <row r="4" ht="30" customHeight="1" spans="1:7">
      <c r="A4" s="175">
        <v>2</v>
      </c>
      <c r="B4" s="175" t="s">
        <v>545</v>
      </c>
      <c r="C4" s="12">
        <v>28</v>
      </c>
      <c r="D4" s="175">
        <f>C4*365</f>
        <v>10220</v>
      </c>
      <c r="E4" s="177"/>
      <c r="F4" s="176"/>
      <c r="G4" s="175"/>
    </row>
    <row r="5" ht="30" customHeight="1" spans="1:7">
      <c r="A5" s="175">
        <v>3</v>
      </c>
      <c r="B5" s="175" t="s">
        <v>287</v>
      </c>
      <c r="C5" s="175"/>
      <c r="D5" s="175"/>
      <c r="E5" s="175"/>
      <c r="F5" s="176"/>
      <c r="G5" s="175"/>
    </row>
  </sheetData>
  <mergeCells count="1">
    <mergeCell ref="A1:G1"/>
  </mergeCells>
  <pageMargins left="0.708244776162576" right="0.708244776162576" top="0.747823152016467" bottom="0.747823152016467" header="0.315238382872634" footer="0.315238382872634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2"/>
  <sheetViews>
    <sheetView workbookViewId="0">
      <selection activeCell="K12" sqref="K12"/>
    </sheetView>
  </sheetViews>
  <sheetFormatPr defaultColWidth="9" defaultRowHeight="14.4"/>
  <cols>
    <col min="1" max="1" width="6.37962962962963" style="158" customWidth="1"/>
    <col min="2" max="2" width="11" style="158" customWidth="1"/>
    <col min="3" max="3" width="27.6296296296296" style="158" customWidth="1"/>
    <col min="4" max="4" width="21.1296296296296" style="158" customWidth="1"/>
    <col min="5" max="6" width="10.3796296296296" style="158" customWidth="1"/>
    <col min="7" max="7" width="12.5" style="159" customWidth="1"/>
    <col min="8" max="16384" width="9" style="159"/>
  </cols>
  <sheetData>
    <row r="2" ht="22.5" customHeight="1" spans="1:7">
      <c r="A2" s="160" t="s">
        <v>546</v>
      </c>
      <c r="B2" s="160"/>
      <c r="C2" s="160"/>
      <c r="D2" s="160"/>
      <c r="E2" s="160"/>
      <c r="F2" s="160"/>
      <c r="G2" s="160"/>
    </row>
    <row r="4" ht="37.5" customHeight="1" spans="1:9">
      <c r="A4" s="161" t="s">
        <v>1</v>
      </c>
      <c r="B4" s="161" t="s">
        <v>547</v>
      </c>
      <c r="C4" s="161" t="s">
        <v>548</v>
      </c>
      <c r="D4" s="161" t="s">
        <v>549</v>
      </c>
      <c r="E4" s="161" t="s">
        <v>550</v>
      </c>
      <c r="F4" s="161" t="s">
        <v>551</v>
      </c>
      <c r="G4" s="162" t="s">
        <v>552</v>
      </c>
      <c r="H4" s="163" t="s">
        <v>36</v>
      </c>
      <c r="I4" s="170"/>
    </row>
    <row r="5" ht="36.75" customHeight="1" spans="1:9">
      <c r="A5" s="161">
        <v>1</v>
      </c>
      <c r="B5" s="164" t="s">
        <v>553</v>
      </c>
      <c r="C5" s="164" t="s">
        <v>554</v>
      </c>
      <c r="D5" s="165" t="s">
        <v>555</v>
      </c>
      <c r="E5" s="11">
        <v>1</v>
      </c>
      <c r="F5" s="11"/>
      <c r="G5" s="11"/>
      <c r="H5" s="166" t="s">
        <v>556</v>
      </c>
      <c r="I5" s="171"/>
    </row>
    <row r="6" ht="36.75" customHeight="1" spans="1:9">
      <c r="A6" s="161">
        <v>2</v>
      </c>
      <c r="B6" s="164" t="s">
        <v>557</v>
      </c>
      <c r="C6" s="164" t="s">
        <v>558</v>
      </c>
      <c r="D6" s="165" t="s">
        <v>559</v>
      </c>
      <c r="E6" s="11">
        <v>1</v>
      </c>
      <c r="F6" s="11"/>
      <c r="G6" s="11"/>
      <c r="H6" s="167"/>
      <c r="I6" s="171"/>
    </row>
    <row r="7" ht="36.75" customHeight="1" spans="1:9">
      <c r="A7" s="161">
        <v>3</v>
      </c>
      <c r="B7" s="164" t="s">
        <v>557</v>
      </c>
      <c r="C7" s="164" t="s">
        <v>560</v>
      </c>
      <c r="D7" s="165" t="s">
        <v>559</v>
      </c>
      <c r="E7" s="11">
        <v>1</v>
      </c>
      <c r="F7" s="11"/>
      <c r="G7" s="11"/>
      <c r="H7" s="167"/>
      <c r="I7" s="171"/>
    </row>
    <row r="8" ht="36.75" customHeight="1" spans="1:9">
      <c r="A8" s="161">
        <v>4</v>
      </c>
      <c r="B8" s="164" t="s">
        <v>557</v>
      </c>
      <c r="C8" s="164" t="s">
        <v>561</v>
      </c>
      <c r="D8" s="165" t="s">
        <v>559</v>
      </c>
      <c r="E8" s="11">
        <v>1</v>
      </c>
      <c r="F8" s="11"/>
      <c r="G8" s="11"/>
      <c r="H8" s="167"/>
      <c r="I8" s="171"/>
    </row>
    <row r="9" ht="36.75" customHeight="1" spans="1:9">
      <c r="A9" s="161">
        <v>5</v>
      </c>
      <c r="B9" s="164" t="s">
        <v>557</v>
      </c>
      <c r="C9" s="164" t="s">
        <v>562</v>
      </c>
      <c r="D9" s="165" t="s">
        <v>559</v>
      </c>
      <c r="E9" s="11">
        <v>1</v>
      </c>
      <c r="F9" s="11"/>
      <c r="G9" s="11"/>
      <c r="H9" s="167"/>
      <c r="I9" s="171"/>
    </row>
    <row r="10" ht="36.75" customHeight="1" spans="1:9">
      <c r="A10" s="161">
        <v>6</v>
      </c>
      <c r="B10" s="164" t="s">
        <v>557</v>
      </c>
      <c r="C10" s="164" t="s">
        <v>563</v>
      </c>
      <c r="D10" s="165" t="s">
        <v>559</v>
      </c>
      <c r="E10" s="11">
        <v>1</v>
      </c>
      <c r="F10" s="11"/>
      <c r="G10" s="11"/>
      <c r="H10" s="167"/>
      <c r="I10" s="171"/>
    </row>
    <row r="11" ht="22.5" customHeight="1" spans="1:9">
      <c r="A11" s="161">
        <v>7</v>
      </c>
      <c r="B11" s="164" t="s">
        <v>557</v>
      </c>
      <c r="C11" s="164" t="s">
        <v>564</v>
      </c>
      <c r="D11" s="165" t="s">
        <v>559</v>
      </c>
      <c r="E11" s="11">
        <v>1</v>
      </c>
      <c r="F11" s="11"/>
      <c r="G11" s="11"/>
      <c r="H11" s="168"/>
      <c r="I11" s="171"/>
    </row>
    <row r="12" ht="22.5" customHeight="1" spans="1:9">
      <c r="A12" s="161"/>
      <c r="B12" s="164"/>
      <c r="C12" s="164"/>
      <c r="D12" s="165"/>
      <c r="E12" s="11"/>
      <c r="F12" s="11"/>
      <c r="G12" s="11">
        <f>SUM(G5:G11)</f>
        <v>0</v>
      </c>
      <c r="H12" s="169"/>
      <c r="I12" s="172"/>
    </row>
  </sheetData>
  <mergeCells count="2">
    <mergeCell ref="A2:G2"/>
    <mergeCell ref="H5:H11"/>
  </mergeCells>
  <pageMargins left="0.708244776162576" right="0.708244776162576" top="0.747823152016467" bottom="0.747823152016467" header="0.315238382872634" footer="0.315238382872634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P9" sqref="P9"/>
    </sheetView>
  </sheetViews>
  <sheetFormatPr defaultColWidth="9" defaultRowHeight="14.4"/>
  <cols>
    <col min="2" max="2" width="18.8796296296296" customWidth="1"/>
    <col min="3" max="3" width="16.1296296296296" customWidth="1"/>
    <col min="4" max="4" width="23" customWidth="1"/>
    <col min="5" max="5" width="23.1296296296296" customWidth="1"/>
    <col min="6" max="6" width="38.3796296296296" customWidth="1"/>
    <col min="7" max="13" width="9" hidden="1" customWidth="1"/>
  </cols>
  <sheetData>
    <row r="1" ht="30" customHeight="1" spans="1:6">
      <c r="A1" s="145" t="s">
        <v>565</v>
      </c>
      <c r="B1" s="145"/>
      <c r="C1" s="145"/>
      <c r="D1" s="145"/>
      <c r="E1" s="145"/>
      <c r="F1" s="145"/>
    </row>
    <row r="2" ht="45.75" customHeight="1" spans="1:6">
      <c r="A2" s="146" t="s">
        <v>1</v>
      </c>
      <c r="B2" s="146" t="s">
        <v>539</v>
      </c>
      <c r="C2" s="146" t="s">
        <v>566</v>
      </c>
      <c r="D2" s="146" t="s">
        <v>567</v>
      </c>
      <c r="E2" s="147" t="s">
        <v>568</v>
      </c>
      <c r="F2" s="146" t="s">
        <v>36</v>
      </c>
    </row>
    <row r="3" ht="37.5" customHeight="1" spans="1:6">
      <c r="A3" s="3">
        <v>1</v>
      </c>
      <c r="B3" s="3" t="s">
        <v>569</v>
      </c>
      <c r="C3" s="3">
        <v>1</v>
      </c>
      <c r="D3" s="3"/>
      <c r="E3" s="148"/>
      <c r="F3" s="4" t="s">
        <v>570</v>
      </c>
    </row>
    <row r="4" ht="32.25" customHeight="1" spans="1:6">
      <c r="A4" s="3">
        <v>2</v>
      </c>
      <c r="B4" s="3" t="s">
        <v>571</v>
      </c>
      <c r="C4" s="3">
        <v>1</v>
      </c>
      <c r="D4" s="148"/>
      <c r="E4" s="148"/>
      <c r="F4" s="3" t="s">
        <v>572</v>
      </c>
    </row>
    <row r="5" ht="32.25" customHeight="1" spans="1:6">
      <c r="A5" s="3">
        <v>3</v>
      </c>
      <c r="B5" s="3" t="s">
        <v>573</v>
      </c>
      <c r="C5" s="3">
        <v>1</v>
      </c>
      <c r="D5" s="148"/>
      <c r="E5" s="148"/>
      <c r="F5" s="3" t="s">
        <v>574</v>
      </c>
    </row>
    <row r="6" ht="30.75" customHeight="1" spans="1:6">
      <c r="A6" s="3">
        <v>4</v>
      </c>
      <c r="B6" s="3" t="s">
        <v>575</v>
      </c>
      <c r="C6" s="3">
        <v>1</v>
      </c>
      <c r="D6" s="3"/>
      <c r="E6" s="148"/>
      <c r="F6" s="3" t="s">
        <v>576</v>
      </c>
    </row>
    <row r="7" ht="28.5" customHeight="1" spans="1:6">
      <c r="A7" s="3">
        <v>5</v>
      </c>
      <c r="B7" s="3" t="s">
        <v>577</v>
      </c>
      <c r="C7" s="3">
        <v>1</v>
      </c>
      <c r="D7" s="3"/>
      <c r="E7" s="148"/>
      <c r="F7" s="3" t="s">
        <v>578</v>
      </c>
    </row>
    <row r="8" ht="30.75" customHeight="1" spans="1:6">
      <c r="A8" s="3">
        <v>6</v>
      </c>
      <c r="B8" s="3" t="s">
        <v>579</v>
      </c>
      <c r="C8" s="3">
        <v>1</v>
      </c>
      <c r="D8" s="3"/>
      <c r="E8" s="148"/>
      <c r="F8" s="3" t="s">
        <v>580</v>
      </c>
    </row>
    <row r="9" ht="40.5" customHeight="1" spans="1:6">
      <c r="A9" s="3">
        <v>7</v>
      </c>
      <c r="B9" s="3" t="s">
        <v>581</v>
      </c>
      <c r="C9" s="3">
        <v>1</v>
      </c>
      <c r="D9" s="148"/>
      <c r="E9" s="148"/>
      <c r="F9" s="4" t="s">
        <v>582</v>
      </c>
    </row>
    <row r="10" ht="42.75" customHeight="1" spans="1:11">
      <c r="A10" s="3">
        <v>8</v>
      </c>
      <c r="B10" s="3" t="s">
        <v>583</v>
      </c>
      <c r="C10" s="3">
        <v>1</v>
      </c>
      <c r="D10" s="149"/>
      <c r="E10" s="148"/>
      <c r="F10" s="4" t="s">
        <v>584</v>
      </c>
      <c r="H10" s="150" t="s">
        <v>585</v>
      </c>
      <c r="K10" s="157" t="s">
        <v>586</v>
      </c>
    </row>
    <row r="11" ht="42.75" customHeight="1" spans="1:6">
      <c r="A11" s="3">
        <v>9</v>
      </c>
      <c r="B11" s="3" t="s">
        <v>587</v>
      </c>
      <c r="C11" s="3">
        <v>1</v>
      </c>
      <c r="D11" s="148"/>
      <c r="E11" s="148"/>
      <c r="F11" s="4" t="s">
        <v>588</v>
      </c>
    </row>
    <row r="12" ht="42.75" customHeight="1" spans="1:6">
      <c r="A12" s="3">
        <v>10</v>
      </c>
      <c r="B12" s="3" t="s">
        <v>589</v>
      </c>
      <c r="C12" s="3">
        <v>1</v>
      </c>
      <c r="D12" s="148"/>
      <c r="E12" s="148"/>
      <c r="F12" s="4" t="s">
        <v>590</v>
      </c>
    </row>
    <row r="13" ht="40.5" customHeight="1" spans="1:6">
      <c r="A13" s="3">
        <v>11</v>
      </c>
      <c r="B13" s="3" t="s">
        <v>591</v>
      </c>
      <c r="C13" s="3">
        <v>1</v>
      </c>
      <c r="D13" s="3"/>
      <c r="E13" s="148"/>
      <c r="F13" s="3" t="s">
        <v>592</v>
      </c>
    </row>
    <row r="14" ht="39.75" customHeight="1" spans="1:9">
      <c r="A14" s="3">
        <v>12</v>
      </c>
      <c r="B14" s="3" t="s">
        <v>593</v>
      </c>
      <c r="C14" s="3">
        <v>1</v>
      </c>
      <c r="D14" s="151"/>
      <c r="E14" s="148"/>
      <c r="F14" s="4" t="s">
        <v>594</v>
      </c>
      <c r="G14">
        <f>8*4.41*4*300</f>
        <v>42336</v>
      </c>
      <c r="I14" t="s">
        <v>595</v>
      </c>
    </row>
    <row r="15" ht="28.5" customHeight="1" spans="1:6">
      <c r="A15" s="3">
        <v>13</v>
      </c>
      <c r="B15" s="3" t="s">
        <v>596</v>
      </c>
      <c r="C15" s="3">
        <v>1</v>
      </c>
      <c r="D15" s="3"/>
      <c r="E15" s="148"/>
      <c r="F15" s="4" t="s">
        <v>597</v>
      </c>
    </row>
    <row r="16" ht="42" customHeight="1" spans="1:6">
      <c r="A16" s="3">
        <v>14</v>
      </c>
      <c r="B16" s="3" t="s">
        <v>598</v>
      </c>
      <c r="C16" s="3">
        <v>1</v>
      </c>
      <c r="D16" s="3"/>
      <c r="E16" s="148"/>
      <c r="F16" s="4" t="s">
        <v>599</v>
      </c>
    </row>
    <row r="17" ht="31.5" customHeight="1" spans="1:6">
      <c r="A17" s="3">
        <v>15</v>
      </c>
      <c r="B17" s="3" t="s">
        <v>600</v>
      </c>
      <c r="C17" s="24" t="s">
        <v>601</v>
      </c>
      <c r="D17" s="10"/>
      <c r="E17" s="148">
        <f>SUM(E3:E16)</f>
        <v>0</v>
      </c>
      <c r="F17" s="3"/>
    </row>
    <row r="18" ht="34.5" customHeight="1" spans="1:6">
      <c r="A18" s="3">
        <v>16</v>
      </c>
      <c r="B18" s="3" t="s">
        <v>602</v>
      </c>
      <c r="C18" s="24" t="s">
        <v>603</v>
      </c>
      <c r="D18" s="10"/>
      <c r="E18" s="148">
        <f>E17*0.02</f>
        <v>0</v>
      </c>
      <c r="F18" s="3"/>
    </row>
    <row r="19" ht="28.5" customHeight="1" spans="1:6">
      <c r="A19" s="3">
        <v>17</v>
      </c>
      <c r="B19" s="3" t="s">
        <v>604</v>
      </c>
      <c r="C19" s="24" t="s">
        <v>605</v>
      </c>
      <c r="D19" s="10"/>
      <c r="E19" s="148">
        <f>E17*0.03</f>
        <v>0</v>
      </c>
      <c r="F19" s="3"/>
    </row>
    <row r="20" ht="26.25" customHeight="1" spans="1:6">
      <c r="A20" s="3">
        <v>18</v>
      </c>
      <c r="B20" s="3" t="s">
        <v>606</v>
      </c>
      <c r="C20" s="24" t="s">
        <v>607</v>
      </c>
      <c r="D20" s="10"/>
      <c r="E20" s="148">
        <f>(E17+E18+E19)*0.06</f>
        <v>0</v>
      </c>
      <c r="F20" s="3"/>
    </row>
    <row r="21" ht="31.5" customHeight="1" spans="1:6">
      <c r="A21" s="3">
        <v>19</v>
      </c>
      <c r="B21" s="152" t="s">
        <v>287</v>
      </c>
      <c r="C21" s="153" t="s">
        <v>608</v>
      </c>
      <c r="D21" s="154"/>
      <c r="E21" s="155">
        <f>E17+E18+E19+E20</f>
        <v>0</v>
      </c>
      <c r="F21" s="156"/>
    </row>
  </sheetData>
  <mergeCells count="6">
    <mergeCell ref="A1:F1"/>
    <mergeCell ref="C17:D17"/>
    <mergeCell ref="C18:D18"/>
    <mergeCell ref="C19:D19"/>
    <mergeCell ref="C20:D20"/>
    <mergeCell ref="C21:D21"/>
  </mergeCells>
  <pageMargins left="0.708244776162576" right="0.708244776162576" top="0.747823152016467" bottom="0.747823152016467" header="0.315238382872634" footer="0.315238382872634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9"/>
  <sheetViews>
    <sheetView workbookViewId="0">
      <selection activeCell="O18" sqref="O18"/>
    </sheetView>
  </sheetViews>
  <sheetFormatPr defaultColWidth="9" defaultRowHeight="17.4"/>
  <cols>
    <col min="1" max="1" width="6.62037037037037" style="124" customWidth="1"/>
    <col min="2" max="2" width="13.4537037037037" style="124" customWidth="1"/>
    <col min="3" max="3" width="14.3796296296296" style="124" customWidth="1"/>
    <col min="4" max="4" width="11.6203703703704" style="124" customWidth="1"/>
    <col min="5" max="5" width="12.8425925925926" style="124" customWidth="1"/>
    <col min="6" max="8" width="9" style="124"/>
    <col min="9" max="9" width="16" style="124" customWidth="1"/>
    <col min="10" max="10" width="19.462962962963" style="124" customWidth="1"/>
    <col min="11" max="11" width="16.8425925925926" style="124" customWidth="1"/>
    <col min="12" max="12" width="9" style="124"/>
    <col min="13" max="13" width="12.5555555555556" style="124"/>
    <col min="14" max="16384" width="9" style="124"/>
  </cols>
  <sheetData>
    <row r="2" spans="1:10">
      <c r="A2" s="125" t="s">
        <v>609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ht="21" customHeight="1" spans="1:10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="122" customFormat="1" spans="1:11">
      <c r="A5" s="127" t="s">
        <v>1</v>
      </c>
      <c r="B5" s="127" t="s">
        <v>610</v>
      </c>
      <c r="C5" s="127" t="s">
        <v>4</v>
      </c>
      <c r="D5" s="127" t="s">
        <v>611</v>
      </c>
      <c r="E5" s="127" t="s">
        <v>612</v>
      </c>
      <c r="F5" s="127" t="s">
        <v>613</v>
      </c>
      <c r="G5" s="127"/>
      <c r="H5" s="127"/>
      <c r="I5" s="127" t="s">
        <v>614</v>
      </c>
      <c r="J5" s="127" t="s">
        <v>615</v>
      </c>
      <c r="K5" s="127" t="s">
        <v>36</v>
      </c>
    </row>
    <row r="6" s="122" customFormat="1" spans="1:11">
      <c r="A6" s="127"/>
      <c r="B6" s="127"/>
      <c r="C6" s="127"/>
      <c r="D6" s="127"/>
      <c r="E6" s="127"/>
      <c r="F6" s="127" t="s">
        <v>616</v>
      </c>
      <c r="G6" s="127" t="s">
        <v>617</v>
      </c>
      <c r="H6" s="127" t="s">
        <v>618</v>
      </c>
      <c r="I6" s="127"/>
      <c r="J6" s="127"/>
      <c r="K6" s="127"/>
    </row>
    <row r="7" ht="18.75" customHeight="1" spans="1:11">
      <c r="A7" s="128">
        <v>1</v>
      </c>
      <c r="B7" s="129" t="s">
        <v>111</v>
      </c>
      <c r="C7" s="129" t="s">
        <v>619</v>
      </c>
      <c r="D7" s="130" t="s">
        <v>113</v>
      </c>
      <c r="E7" s="130">
        <v>1.89</v>
      </c>
      <c r="F7" s="131" t="s">
        <v>620</v>
      </c>
      <c r="G7" s="131"/>
      <c r="H7" s="130"/>
      <c r="I7" s="142"/>
      <c r="J7" s="130"/>
      <c r="K7" s="129"/>
    </row>
    <row r="8" ht="18.75" customHeight="1" spans="1:11">
      <c r="A8" s="132">
        <v>2</v>
      </c>
      <c r="B8" s="133" t="s">
        <v>621</v>
      </c>
      <c r="C8" s="133" t="s">
        <v>117</v>
      </c>
      <c r="D8" s="134" t="s">
        <v>622</v>
      </c>
      <c r="E8" s="134">
        <v>0.51</v>
      </c>
      <c r="F8" s="134"/>
      <c r="G8" s="131" t="s">
        <v>620</v>
      </c>
      <c r="H8" s="130"/>
      <c r="I8" s="142"/>
      <c r="J8" s="130"/>
      <c r="K8" s="129"/>
    </row>
    <row r="9" ht="18.75" customHeight="1" spans="1:11">
      <c r="A9" s="132">
        <v>3</v>
      </c>
      <c r="B9" s="129" t="s">
        <v>114</v>
      </c>
      <c r="C9" s="133" t="s">
        <v>113</v>
      </c>
      <c r="D9" s="134" t="s">
        <v>90</v>
      </c>
      <c r="E9" s="134">
        <v>2.53</v>
      </c>
      <c r="F9" s="131" t="s">
        <v>620</v>
      </c>
      <c r="G9" s="131"/>
      <c r="H9" s="130"/>
      <c r="I9" s="142"/>
      <c r="J9" s="130"/>
      <c r="K9" s="129"/>
    </row>
    <row r="10" ht="18.75" customHeight="1" spans="1:11">
      <c r="A10" s="128">
        <v>4</v>
      </c>
      <c r="B10" s="129" t="s">
        <v>88</v>
      </c>
      <c r="C10" s="129" t="s">
        <v>619</v>
      </c>
      <c r="D10" s="130" t="s">
        <v>112</v>
      </c>
      <c r="E10" s="130">
        <v>1.1</v>
      </c>
      <c r="F10" s="130"/>
      <c r="G10" s="131" t="s">
        <v>620</v>
      </c>
      <c r="H10" s="130"/>
      <c r="I10" s="142"/>
      <c r="J10" s="130"/>
      <c r="K10" s="129"/>
    </row>
    <row r="11" ht="18.75" customHeight="1" spans="1:11">
      <c r="A11" s="128">
        <v>5</v>
      </c>
      <c r="B11" s="129" t="s">
        <v>93</v>
      </c>
      <c r="C11" s="133" t="s">
        <v>619</v>
      </c>
      <c r="D11" s="134" t="s">
        <v>113</v>
      </c>
      <c r="E11" s="134">
        <v>1.347</v>
      </c>
      <c r="F11" s="130"/>
      <c r="G11" s="131"/>
      <c r="H11" s="131" t="s">
        <v>620</v>
      </c>
      <c r="I11" s="142"/>
      <c r="J11" s="130"/>
      <c r="K11" s="129"/>
    </row>
    <row r="12" ht="18.75" customHeight="1" spans="1:11">
      <c r="A12" s="128">
        <v>6</v>
      </c>
      <c r="B12" s="129" t="s">
        <v>113</v>
      </c>
      <c r="C12" s="129" t="s">
        <v>619</v>
      </c>
      <c r="D12" s="130" t="s">
        <v>117</v>
      </c>
      <c r="E12" s="130">
        <v>2.316</v>
      </c>
      <c r="F12" s="130"/>
      <c r="G12" s="131"/>
      <c r="H12" s="131" t="s">
        <v>620</v>
      </c>
      <c r="I12" s="142"/>
      <c r="J12" s="130"/>
      <c r="K12" s="129"/>
    </row>
    <row r="13" ht="18.75" customHeight="1" spans="1:11">
      <c r="A13" s="128">
        <v>7</v>
      </c>
      <c r="B13" s="129" t="s">
        <v>112</v>
      </c>
      <c r="C13" s="129" t="s">
        <v>117</v>
      </c>
      <c r="D13" s="130" t="s">
        <v>93</v>
      </c>
      <c r="E13" s="130">
        <v>1.055</v>
      </c>
      <c r="F13" s="130"/>
      <c r="G13" s="131" t="s">
        <v>620</v>
      </c>
      <c r="H13" s="130"/>
      <c r="I13" s="142"/>
      <c r="J13" s="130"/>
      <c r="K13" s="129"/>
    </row>
    <row r="14" ht="18.75" customHeight="1" spans="1:11">
      <c r="A14" s="128">
        <v>8</v>
      </c>
      <c r="B14" s="129" t="s">
        <v>119</v>
      </c>
      <c r="C14" s="129" t="s">
        <v>117</v>
      </c>
      <c r="D14" s="130" t="s">
        <v>88</v>
      </c>
      <c r="E14" s="130">
        <v>0.792</v>
      </c>
      <c r="F14" s="131"/>
      <c r="G14" s="131" t="s">
        <v>620</v>
      </c>
      <c r="H14" s="130"/>
      <c r="I14" s="142"/>
      <c r="J14" s="130"/>
      <c r="K14" s="129"/>
    </row>
    <row r="15" ht="18.75" customHeight="1" spans="1:11">
      <c r="A15" s="128">
        <v>9</v>
      </c>
      <c r="B15" s="129" t="s">
        <v>97</v>
      </c>
      <c r="C15" s="129" t="s">
        <v>114</v>
      </c>
      <c r="D15" s="130" t="s">
        <v>88</v>
      </c>
      <c r="E15" s="130">
        <v>0.5</v>
      </c>
      <c r="F15" s="130"/>
      <c r="G15" s="131"/>
      <c r="H15" s="131" t="s">
        <v>620</v>
      </c>
      <c r="I15" s="142"/>
      <c r="J15" s="130"/>
      <c r="K15" s="129"/>
    </row>
    <row r="16" ht="18.75" customHeight="1" spans="1:11">
      <c r="A16" s="128">
        <v>10</v>
      </c>
      <c r="B16" s="129" t="s">
        <v>623</v>
      </c>
      <c r="C16" s="129" t="s">
        <v>114</v>
      </c>
      <c r="D16" s="130" t="s">
        <v>112</v>
      </c>
      <c r="E16" s="130">
        <v>0.3</v>
      </c>
      <c r="F16" s="130"/>
      <c r="G16" s="131"/>
      <c r="H16" s="131" t="s">
        <v>620</v>
      </c>
      <c r="I16" s="142"/>
      <c r="J16" s="130"/>
      <c r="K16" s="129"/>
    </row>
    <row r="17" ht="18.75" customHeight="1" spans="1:11">
      <c r="A17" s="128">
        <v>11</v>
      </c>
      <c r="B17" s="129" t="s">
        <v>91</v>
      </c>
      <c r="C17" s="129" t="s">
        <v>619</v>
      </c>
      <c r="D17" s="129" t="s">
        <v>204</v>
      </c>
      <c r="E17" s="129">
        <v>1.375</v>
      </c>
      <c r="F17" s="130"/>
      <c r="G17" s="131"/>
      <c r="H17" s="131" t="s">
        <v>620</v>
      </c>
      <c r="I17" s="142"/>
      <c r="J17" s="130"/>
      <c r="K17" s="129"/>
    </row>
    <row r="18" ht="18.75" customHeight="1" spans="1:11">
      <c r="A18" s="128">
        <v>12</v>
      </c>
      <c r="B18" s="129" t="s">
        <v>90</v>
      </c>
      <c r="C18" s="129" t="s">
        <v>86</v>
      </c>
      <c r="D18" s="129" t="s">
        <v>624</v>
      </c>
      <c r="E18" s="129">
        <v>0.743</v>
      </c>
      <c r="F18" s="130"/>
      <c r="G18" s="131"/>
      <c r="H18" s="131" t="s">
        <v>620</v>
      </c>
      <c r="I18" s="142"/>
      <c r="J18" s="130"/>
      <c r="K18" s="129"/>
    </row>
    <row r="19" ht="18.75" customHeight="1" spans="1:11">
      <c r="A19" s="128">
        <v>13</v>
      </c>
      <c r="B19" s="128" t="s">
        <v>625</v>
      </c>
      <c r="C19" s="128" t="s">
        <v>117</v>
      </c>
      <c r="D19" s="128" t="s">
        <v>626</v>
      </c>
      <c r="E19" s="128">
        <v>0.25</v>
      </c>
      <c r="F19" s="131"/>
      <c r="G19" s="131"/>
      <c r="H19" s="131" t="s">
        <v>620</v>
      </c>
      <c r="I19" s="142"/>
      <c r="J19" s="130"/>
      <c r="K19" s="129"/>
    </row>
    <row r="20" ht="18.75" customHeight="1" spans="1:11">
      <c r="A20" s="128">
        <v>14</v>
      </c>
      <c r="B20" s="128" t="s">
        <v>92</v>
      </c>
      <c r="C20" s="128" t="s">
        <v>627</v>
      </c>
      <c r="D20" s="128" t="s">
        <v>628</v>
      </c>
      <c r="E20" s="128">
        <v>5.1</v>
      </c>
      <c r="F20" s="135"/>
      <c r="G20" s="131" t="s">
        <v>620</v>
      </c>
      <c r="H20" s="128"/>
      <c r="I20" s="142"/>
      <c r="J20" s="130"/>
      <c r="K20" s="129"/>
    </row>
    <row r="21" ht="18.75" customHeight="1" spans="1:11">
      <c r="A21" s="128">
        <v>15</v>
      </c>
      <c r="B21" s="128" t="s">
        <v>83</v>
      </c>
      <c r="C21" s="128" t="s">
        <v>139</v>
      </c>
      <c r="D21" s="128" t="s">
        <v>258</v>
      </c>
      <c r="E21" s="128">
        <v>2.8</v>
      </c>
      <c r="F21" s="135"/>
      <c r="G21" s="131" t="s">
        <v>620</v>
      </c>
      <c r="H21" s="128"/>
      <c r="I21" s="142"/>
      <c r="J21" s="130"/>
      <c r="K21" s="129"/>
    </row>
    <row r="22" ht="18.75" customHeight="1" spans="1:11">
      <c r="A22" s="128">
        <v>16</v>
      </c>
      <c r="B22" s="128" t="s">
        <v>139</v>
      </c>
      <c r="C22" s="128" t="s">
        <v>83</v>
      </c>
      <c r="D22" s="128" t="s">
        <v>258</v>
      </c>
      <c r="E22" s="128">
        <v>3.9</v>
      </c>
      <c r="F22" s="135"/>
      <c r="G22" s="131" t="s">
        <v>620</v>
      </c>
      <c r="H22" s="128"/>
      <c r="I22" s="142"/>
      <c r="J22" s="130"/>
      <c r="K22" s="129"/>
    </row>
    <row r="23" ht="18.75" customHeight="1" spans="1:11">
      <c r="A23" s="128">
        <v>17</v>
      </c>
      <c r="B23" s="128" t="s">
        <v>251</v>
      </c>
      <c r="C23" s="128" t="s">
        <v>629</v>
      </c>
      <c r="D23" s="128" t="s">
        <v>113</v>
      </c>
      <c r="E23" s="128">
        <v>1.2</v>
      </c>
      <c r="F23" s="135"/>
      <c r="G23" s="131" t="s">
        <v>620</v>
      </c>
      <c r="H23" s="128"/>
      <c r="I23" s="142"/>
      <c r="J23" s="130"/>
      <c r="K23" s="129"/>
    </row>
    <row r="24" ht="18.75" customHeight="1" spans="1:11">
      <c r="A24" s="128">
        <v>18</v>
      </c>
      <c r="B24" s="128" t="s">
        <v>185</v>
      </c>
      <c r="C24" s="128" t="s">
        <v>93</v>
      </c>
      <c r="D24" s="128" t="s">
        <v>113</v>
      </c>
      <c r="E24" s="128">
        <v>0.45</v>
      </c>
      <c r="F24" s="135"/>
      <c r="G24" s="131" t="s">
        <v>620</v>
      </c>
      <c r="I24" s="142"/>
      <c r="J24" s="130"/>
      <c r="K24" s="129"/>
    </row>
    <row r="25" ht="18.75" customHeight="1" spans="1:11">
      <c r="A25" s="128">
        <v>19</v>
      </c>
      <c r="B25" s="128" t="s">
        <v>102</v>
      </c>
      <c r="C25" s="128" t="s">
        <v>88</v>
      </c>
      <c r="D25" s="128" t="s">
        <v>93</v>
      </c>
      <c r="E25" s="128">
        <v>0.5</v>
      </c>
      <c r="F25" s="135"/>
      <c r="G25" s="131" t="s">
        <v>620</v>
      </c>
      <c r="H25" s="131"/>
      <c r="I25" s="142"/>
      <c r="J25" s="130"/>
      <c r="K25" s="129"/>
    </row>
    <row r="26" ht="18.75" customHeight="1" spans="1:11">
      <c r="A26" s="128">
        <v>20</v>
      </c>
      <c r="B26" s="128" t="s">
        <v>630</v>
      </c>
      <c r="C26" s="128" t="s">
        <v>619</v>
      </c>
      <c r="D26" s="128" t="s">
        <v>114</v>
      </c>
      <c r="E26" s="128">
        <v>0.7</v>
      </c>
      <c r="F26" s="135"/>
      <c r="G26" s="131" t="s">
        <v>620</v>
      </c>
      <c r="H26" s="131"/>
      <c r="I26" s="142"/>
      <c r="J26" s="130"/>
      <c r="K26" s="129"/>
    </row>
    <row r="27" s="123" customFormat="1" ht="18.75" customHeight="1" spans="1:11">
      <c r="A27" s="128">
        <v>21</v>
      </c>
      <c r="B27" s="136" t="s">
        <v>204</v>
      </c>
      <c r="C27" s="137" t="s">
        <v>92</v>
      </c>
      <c r="D27" s="138" t="s">
        <v>274</v>
      </c>
      <c r="E27" s="138">
        <v>1.1</v>
      </c>
      <c r="F27" s="135"/>
      <c r="G27" s="131" t="s">
        <v>620</v>
      </c>
      <c r="H27" s="139"/>
      <c r="I27" s="142"/>
      <c r="J27" s="130"/>
      <c r="K27" s="129"/>
    </row>
    <row r="28" s="123" customFormat="1" ht="18.75" customHeight="1" spans="1:11">
      <c r="A28" s="128">
        <v>22</v>
      </c>
      <c r="B28" s="137" t="s">
        <v>114</v>
      </c>
      <c r="C28" s="137" t="s">
        <v>90</v>
      </c>
      <c r="D28" s="138" t="s">
        <v>286</v>
      </c>
      <c r="E28" s="140">
        <v>0.75</v>
      </c>
      <c r="F28" s="135"/>
      <c r="G28" s="131"/>
      <c r="H28" s="131" t="s">
        <v>620</v>
      </c>
      <c r="I28" s="142"/>
      <c r="J28" s="130"/>
      <c r="K28" s="129"/>
    </row>
    <row r="29" ht="18.75" customHeight="1" spans="1:11">
      <c r="A29" s="128" t="s">
        <v>537</v>
      </c>
      <c r="B29" s="128"/>
      <c r="C29" s="128"/>
      <c r="D29" s="128"/>
      <c r="E29" s="128">
        <f>SUM(E7:E28)</f>
        <v>31.208</v>
      </c>
      <c r="F29" s="128"/>
      <c r="G29" s="128"/>
      <c r="H29" s="128"/>
      <c r="I29" s="143"/>
      <c r="J29" s="143"/>
      <c r="K29" s="144"/>
    </row>
    <row r="30" spans="2:8">
      <c r="B30" s="141"/>
      <c r="C30" s="141"/>
      <c r="D30" s="141"/>
      <c r="E30" s="141"/>
      <c r="F30" s="141"/>
      <c r="G30" s="141"/>
      <c r="H30" s="141"/>
    </row>
    <row r="31" spans="2:8">
      <c r="B31" s="141"/>
      <c r="C31" s="141"/>
      <c r="D31" s="141"/>
      <c r="E31" s="141"/>
      <c r="F31" s="141"/>
      <c r="G31" s="141"/>
      <c r="H31" s="141"/>
    </row>
    <row r="32" spans="2:8">
      <c r="B32" s="141"/>
      <c r="C32" s="141"/>
      <c r="D32" s="141"/>
      <c r="E32" s="141"/>
      <c r="F32" s="141"/>
      <c r="G32" s="141"/>
      <c r="H32" s="141"/>
    </row>
    <row r="33" spans="2:8">
      <c r="B33" s="141"/>
      <c r="C33" s="141"/>
      <c r="D33" s="141"/>
      <c r="E33" s="141"/>
      <c r="F33" s="141"/>
      <c r="G33" s="141"/>
      <c r="H33" s="141"/>
    </row>
    <row r="34" spans="2:8">
      <c r="B34" s="141"/>
      <c r="C34" s="141"/>
      <c r="D34" s="141"/>
      <c r="E34" s="141"/>
      <c r="F34" s="141"/>
      <c r="G34" s="141"/>
      <c r="H34" s="141"/>
    </row>
    <row r="35" spans="2:8">
      <c r="B35" s="141"/>
      <c r="C35" s="141"/>
      <c r="D35" s="141"/>
      <c r="E35" s="141"/>
      <c r="F35" s="141"/>
      <c r="G35" s="141"/>
      <c r="H35" s="141"/>
    </row>
    <row r="36" spans="2:8">
      <c r="B36" s="141"/>
      <c r="C36" s="141"/>
      <c r="D36" s="141"/>
      <c r="E36" s="141"/>
      <c r="F36" s="141"/>
      <c r="G36" s="141"/>
      <c r="H36" s="141"/>
    </row>
    <row r="37" spans="2:8">
      <c r="B37" s="141"/>
      <c r="C37" s="141"/>
      <c r="D37" s="141"/>
      <c r="E37" s="141"/>
      <c r="F37" s="141"/>
      <c r="G37" s="141"/>
      <c r="H37" s="141"/>
    </row>
    <row r="38" spans="2:8">
      <c r="B38" s="141"/>
      <c r="C38" s="141"/>
      <c r="D38" s="141"/>
      <c r="E38" s="141"/>
      <c r="F38" s="141"/>
      <c r="G38" s="141"/>
      <c r="H38" s="141"/>
    </row>
    <row r="39" spans="2:8">
      <c r="B39" s="141"/>
      <c r="C39" s="141"/>
      <c r="D39" s="141"/>
      <c r="E39" s="141"/>
      <c r="F39" s="141"/>
      <c r="G39" s="141"/>
      <c r="H39" s="141"/>
    </row>
    <row r="40" spans="2:8">
      <c r="B40" s="141"/>
      <c r="C40" s="141"/>
      <c r="D40" s="141"/>
      <c r="E40" s="141"/>
      <c r="F40" s="141"/>
      <c r="G40" s="141"/>
      <c r="H40" s="141"/>
    </row>
    <row r="41" spans="2:8">
      <c r="B41" s="141"/>
      <c r="C41" s="141"/>
      <c r="D41" s="141"/>
      <c r="E41" s="141"/>
      <c r="F41" s="141"/>
      <c r="G41" s="141"/>
      <c r="H41" s="141"/>
    </row>
    <row r="42" spans="2:8">
      <c r="B42" s="141"/>
      <c r="C42" s="141"/>
      <c r="D42" s="141"/>
      <c r="E42" s="141"/>
      <c r="F42" s="141"/>
      <c r="G42" s="141"/>
      <c r="H42" s="141"/>
    </row>
    <row r="43" spans="2:8">
      <c r="B43" s="141"/>
      <c r="C43" s="141"/>
      <c r="D43" s="141"/>
      <c r="E43" s="141"/>
      <c r="F43" s="141"/>
      <c r="G43" s="141"/>
      <c r="H43" s="141"/>
    </row>
    <row r="44" spans="2:8">
      <c r="B44" s="141"/>
      <c r="C44" s="141"/>
      <c r="D44" s="141"/>
      <c r="E44" s="141"/>
      <c r="F44" s="141"/>
      <c r="G44" s="141"/>
      <c r="H44" s="141"/>
    </row>
    <row r="45" spans="2:8">
      <c r="B45" s="141"/>
      <c r="C45" s="141"/>
      <c r="D45" s="141"/>
      <c r="E45" s="141"/>
      <c r="F45" s="141"/>
      <c r="G45" s="141"/>
      <c r="H45" s="141"/>
    </row>
    <row r="46" spans="2:8">
      <c r="B46" s="141"/>
      <c r="C46" s="141"/>
      <c r="D46" s="141"/>
      <c r="E46" s="141"/>
      <c r="F46" s="141"/>
      <c r="G46" s="141"/>
      <c r="H46" s="141"/>
    </row>
    <row r="47" spans="2:8">
      <c r="B47" s="141"/>
      <c r="C47" s="141"/>
      <c r="D47" s="141"/>
      <c r="E47" s="141"/>
      <c r="F47" s="141"/>
      <c r="G47" s="141"/>
      <c r="H47" s="141"/>
    </row>
    <row r="48" spans="2:8">
      <c r="B48" s="141"/>
      <c r="C48" s="141"/>
      <c r="D48" s="141"/>
      <c r="E48" s="141"/>
      <c r="F48" s="141"/>
      <c r="G48" s="141"/>
      <c r="H48" s="141"/>
    </row>
    <row r="49" spans="2:8">
      <c r="B49" s="141"/>
      <c r="C49" s="141"/>
      <c r="D49" s="141"/>
      <c r="E49" s="141"/>
      <c r="F49" s="141"/>
      <c r="G49" s="141"/>
      <c r="H49" s="141"/>
    </row>
    <row r="50" spans="2:8">
      <c r="B50" s="141"/>
      <c r="C50" s="141"/>
      <c r="D50" s="141"/>
      <c r="E50" s="141"/>
      <c r="F50" s="141"/>
      <c r="G50" s="141"/>
      <c r="H50" s="141"/>
    </row>
    <row r="51" spans="2:8">
      <c r="B51" s="141"/>
      <c r="C51" s="141"/>
      <c r="D51" s="141"/>
      <c r="E51" s="141"/>
      <c r="F51" s="141"/>
      <c r="G51" s="141"/>
      <c r="H51" s="141"/>
    </row>
    <row r="52" spans="2:8">
      <c r="B52" s="141"/>
      <c r="C52" s="141"/>
      <c r="D52" s="141"/>
      <c r="E52" s="141"/>
      <c r="F52" s="141"/>
      <c r="G52" s="141"/>
      <c r="H52" s="141"/>
    </row>
    <row r="53" spans="2:8">
      <c r="B53" s="141"/>
      <c r="C53" s="141"/>
      <c r="D53" s="141"/>
      <c r="E53" s="141"/>
      <c r="F53" s="141"/>
      <c r="G53" s="141"/>
      <c r="H53" s="141"/>
    </row>
    <row r="54" spans="2:8">
      <c r="B54" s="141"/>
      <c r="C54" s="141"/>
      <c r="D54" s="141"/>
      <c r="E54" s="141"/>
      <c r="F54" s="141"/>
      <c r="G54" s="141"/>
      <c r="H54" s="141"/>
    </row>
    <row r="55" spans="2:8">
      <c r="B55" s="141"/>
      <c r="C55" s="141"/>
      <c r="D55" s="141"/>
      <c r="E55" s="141"/>
      <c r="F55" s="141"/>
      <c r="G55" s="141"/>
      <c r="H55" s="141"/>
    </row>
    <row r="56" spans="2:8">
      <c r="B56" s="141"/>
      <c r="C56" s="141"/>
      <c r="D56" s="141"/>
      <c r="E56" s="141"/>
      <c r="F56" s="141"/>
      <c r="G56" s="141"/>
      <c r="H56" s="141"/>
    </row>
    <row r="57" spans="2:8">
      <c r="B57" s="141"/>
      <c r="C57" s="141"/>
      <c r="D57" s="141"/>
      <c r="E57" s="141"/>
      <c r="F57" s="141"/>
      <c r="G57" s="141"/>
      <c r="H57" s="141"/>
    </row>
    <row r="58" spans="2:8">
      <c r="B58" s="141"/>
      <c r="C58" s="141"/>
      <c r="D58" s="141"/>
      <c r="E58" s="141"/>
      <c r="F58" s="141"/>
      <c r="G58" s="141"/>
      <c r="H58" s="141"/>
    </row>
    <row r="59" spans="2:8">
      <c r="B59" s="141"/>
      <c r="C59" s="141"/>
      <c r="D59" s="141"/>
      <c r="E59" s="141"/>
      <c r="F59" s="141"/>
      <c r="G59" s="141"/>
      <c r="H59" s="141"/>
    </row>
    <row r="60" spans="2:8">
      <c r="B60" s="141"/>
      <c r="C60" s="141"/>
      <c r="D60" s="141"/>
      <c r="E60" s="141"/>
      <c r="F60" s="141"/>
      <c r="G60" s="141"/>
      <c r="H60" s="141"/>
    </row>
    <row r="61" spans="2:8">
      <c r="B61" s="141"/>
      <c r="C61" s="141"/>
      <c r="D61" s="141"/>
      <c r="E61" s="141"/>
      <c r="F61" s="141"/>
      <c r="G61" s="141"/>
      <c r="H61" s="141"/>
    </row>
    <row r="62" spans="2:8">
      <c r="B62" s="141"/>
      <c r="C62" s="141"/>
      <c r="D62" s="141"/>
      <c r="E62" s="141"/>
      <c r="F62" s="141"/>
      <c r="G62" s="141"/>
      <c r="H62" s="141"/>
    </row>
    <row r="63" spans="2:8">
      <c r="B63" s="141"/>
      <c r="C63" s="141"/>
      <c r="D63" s="141"/>
      <c r="E63" s="141"/>
      <c r="F63" s="141"/>
      <c r="G63" s="141"/>
      <c r="H63" s="141"/>
    </row>
    <row r="64" spans="2:8">
      <c r="B64" s="141"/>
      <c r="C64" s="141"/>
      <c r="D64" s="141"/>
      <c r="E64" s="141"/>
      <c r="F64" s="141"/>
      <c r="G64" s="141"/>
      <c r="H64" s="141"/>
    </row>
    <row r="65" spans="2:8">
      <c r="B65" s="141"/>
      <c r="C65" s="141"/>
      <c r="D65" s="141"/>
      <c r="E65" s="141"/>
      <c r="F65" s="141"/>
      <c r="G65" s="141"/>
      <c r="H65" s="141"/>
    </row>
    <row r="66" spans="2:8">
      <c r="B66" s="141"/>
      <c r="C66" s="141"/>
      <c r="D66" s="141"/>
      <c r="E66" s="141"/>
      <c r="F66" s="141"/>
      <c r="G66" s="141"/>
      <c r="H66" s="141"/>
    </row>
    <row r="67" spans="2:8">
      <c r="B67" s="141"/>
      <c r="C67" s="141"/>
      <c r="D67" s="141"/>
      <c r="E67" s="141"/>
      <c r="F67" s="141"/>
      <c r="G67" s="141"/>
      <c r="H67" s="141"/>
    </row>
    <row r="68" spans="2:8">
      <c r="B68" s="141"/>
      <c r="C68" s="141"/>
      <c r="D68" s="141"/>
      <c r="E68" s="141"/>
      <c r="F68" s="141"/>
      <c r="G68" s="141"/>
      <c r="H68" s="141"/>
    </row>
    <row r="69" spans="2:8">
      <c r="B69" s="141"/>
      <c r="C69" s="141"/>
      <c r="D69" s="141"/>
      <c r="E69" s="141"/>
      <c r="F69" s="141"/>
      <c r="G69" s="141"/>
      <c r="H69" s="141"/>
    </row>
  </sheetData>
  <mergeCells count="11">
    <mergeCell ref="A2:J2"/>
    <mergeCell ref="A4:J4"/>
    <mergeCell ref="F5:H5"/>
    <mergeCell ref="A5:A6"/>
    <mergeCell ref="B5:B6"/>
    <mergeCell ref="C5:C6"/>
    <mergeCell ref="D5:D6"/>
    <mergeCell ref="E5:E6"/>
    <mergeCell ref="I5:I6"/>
    <mergeCell ref="J5:J6"/>
    <mergeCell ref="K5:K6"/>
  </mergeCells>
  <pageMargins left="0.826388888888889" right="0.34" top="0.472222222222222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57"/>
  <sheetViews>
    <sheetView topLeftCell="AK197" workbookViewId="0">
      <selection activeCell="AS6" sqref="AS6"/>
    </sheetView>
  </sheetViews>
  <sheetFormatPr defaultColWidth="9" defaultRowHeight="14.4"/>
  <cols>
    <col min="1" max="1" width="9.12962962962963" style="52" customWidth="1"/>
    <col min="2" max="3" width="21.2592592592593" style="52" customWidth="1"/>
    <col min="4" max="4" width="16.7592592592593" style="52" customWidth="1"/>
    <col min="5" max="5" width="15.5" style="52" customWidth="1"/>
    <col min="6" max="6" width="12.5" style="52" customWidth="1"/>
    <col min="7" max="7" width="22.1296296296296" style="52" customWidth="1"/>
    <col min="8" max="8" width="16.8796296296296" style="52" customWidth="1"/>
    <col min="9" max="10" width="13.1296296296296" style="52" customWidth="1"/>
    <col min="11" max="11" width="18" style="52" customWidth="1"/>
    <col min="12" max="12" width="12.8796296296296" style="52" customWidth="1"/>
    <col min="13" max="13" width="13.5" style="52" customWidth="1"/>
    <col min="14" max="14" width="12.8796296296296" style="52" customWidth="1"/>
    <col min="15" max="15" width="16.6296296296296" style="52" customWidth="1"/>
    <col min="16" max="16" width="15" style="52" customWidth="1"/>
    <col min="17" max="17" width="13" style="52" customWidth="1"/>
    <col min="18" max="18" width="13.7592592592593" style="52" customWidth="1"/>
    <col min="19" max="19" width="9" style="52"/>
    <col min="20" max="20" width="12.5" style="52" customWidth="1"/>
    <col min="21" max="21" width="5.62962962962963" style="52" customWidth="1"/>
    <col min="22" max="22" width="16.1296296296296" style="52" customWidth="1"/>
    <col min="23" max="23" width="12.1296296296296" style="52" customWidth="1"/>
    <col min="24" max="24" width="5.12962962962963" style="52" customWidth="1"/>
    <col min="25" max="25" width="14" style="52" customWidth="1"/>
    <col min="26" max="26" width="17.5" style="52" customWidth="1"/>
    <col min="27" max="27" width="17.6296296296296" style="52" customWidth="1"/>
    <col min="28" max="28" width="14.1296296296296" style="52" customWidth="1"/>
    <col min="29" max="29" width="10.3796296296296" style="52" customWidth="1"/>
    <col min="30" max="30" width="10.6296296296296" style="52" customWidth="1"/>
    <col min="31" max="32" width="9.62962962962963" style="52" customWidth="1"/>
    <col min="33" max="33" width="9" style="52"/>
    <col min="34" max="34" width="13" style="52" customWidth="1"/>
    <col min="35" max="35" width="11.5" style="52" customWidth="1"/>
    <col min="36" max="36" width="16.7592592592593" style="52" customWidth="1"/>
    <col min="37" max="37" width="14.2592592592593" style="52" customWidth="1"/>
    <col min="38" max="38" width="9" style="52"/>
    <col min="39" max="39" width="11.8796296296296" style="52" customWidth="1"/>
    <col min="40" max="40" width="10.8796296296296" style="52" customWidth="1"/>
    <col min="41" max="41" width="11.2592592592593" style="52" customWidth="1"/>
    <col min="42" max="42" width="11.6296296296296" style="52" customWidth="1"/>
    <col min="43" max="44" width="13.7592592592593" style="53" customWidth="1"/>
    <col min="45" max="46" width="14.2592592592593" style="52" customWidth="1"/>
    <col min="47" max="52" width="9" style="52"/>
    <col min="54" max="54" width="15.5" customWidth="1"/>
    <col min="55" max="55" width="13.7592592592593" customWidth="1"/>
    <col min="56" max="56" width="13.2592592592593" customWidth="1"/>
    <col min="57" max="57" width="15.6296296296296" customWidth="1"/>
    <col min="58" max="58" width="20" style="55" customWidth="1"/>
  </cols>
  <sheetData>
    <row r="1" ht="60.75" customHeight="1" spans="1:52">
      <c r="A1" s="56" t="s">
        <v>631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95"/>
    </row>
    <row r="2" ht="39" customHeight="1" spans="1:52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9" t="s">
        <v>632</v>
      </c>
      <c r="I2" s="59" t="s">
        <v>633</v>
      </c>
      <c r="J2" s="59" t="s">
        <v>634</v>
      </c>
      <c r="K2" s="59" t="s">
        <v>10</v>
      </c>
      <c r="L2" s="72" t="s">
        <v>11</v>
      </c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59" t="s">
        <v>12</v>
      </c>
      <c r="AQ2" s="84" t="s">
        <v>635</v>
      </c>
      <c r="AR2" s="84" t="s">
        <v>636</v>
      </c>
      <c r="AS2" s="59" t="s">
        <v>15</v>
      </c>
      <c r="AT2" s="59" t="s">
        <v>637</v>
      </c>
      <c r="AU2" s="59" t="s">
        <v>638</v>
      </c>
      <c r="AV2" s="59" t="s">
        <v>639</v>
      </c>
      <c r="AW2" s="59" t="s">
        <v>640</v>
      </c>
      <c r="AX2" s="59" t="s">
        <v>641</v>
      </c>
      <c r="AY2" s="59" t="s">
        <v>642</v>
      </c>
      <c r="AZ2" s="72" t="s">
        <v>36</v>
      </c>
    </row>
    <row r="3" ht="45.75" customHeight="1" spans="1:52">
      <c r="A3" s="60"/>
      <c r="B3" s="60"/>
      <c r="C3" s="60"/>
      <c r="D3" s="60"/>
      <c r="E3" s="60"/>
      <c r="F3" s="60"/>
      <c r="G3" s="60"/>
      <c r="H3" s="61"/>
      <c r="I3" s="61"/>
      <c r="J3" s="61"/>
      <c r="K3" s="61"/>
      <c r="L3" s="59" t="s">
        <v>37</v>
      </c>
      <c r="M3" s="73" t="s">
        <v>38</v>
      </c>
      <c r="N3" s="74"/>
      <c r="O3" s="74"/>
      <c r="P3" s="74"/>
      <c r="Q3" s="74"/>
      <c r="R3" s="74"/>
      <c r="S3" s="81"/>
      <c r="T3" s="59" t="s">
        <v>39</v>
      </c>
      <c r="U3" s="73" t="s">
        <v>40</v>
      </c>
      <c r="V3" s="74"/>
      <c r="W3" s="81"/>
      <c r="X3" s="73" t="s">
        <v>41</v>
      </c>
      <c r="Y3" s="81"/>
      <c r="Z3" s="73" t="s">
        <v>44</v>
      </c>
      <c r="AA3" s="81"/>
      <c r="AB3" s="73" t="s">
        <v>42</v>
      </c>
      <c r="AC3" s="81"/>
      <c r="AD3" s="73" t="s">
        <v>45</v>
      </c>
      <c r="AE3" s="81"/>
      <c r="AF3" s="73" t="s">
        <v>46</v>
      </c>
      <c r="AG3" s="81"/>
      <c r="AH3" s="73" t="s">
        <v>47</v>
      </c>
      <c r="AI3" s="81"/>
      <c r="AJ3" s="73" t="s">
        <v>48</v>
      </c>
      <c r="AK3" s="74"/>
      <c r="AL3" s="81"/>
      <c r="AM3" s="73" t="s">
        <v>50</v>
      </c>
      <c r="AN3" s="74"/>
      <c r="AO3" s="74"/>
      <c r="AP3" s="61"/>
      <c r="AQ3" s="87"/>
      <c r="AR3" s="87"/>
      <c r="AS3" s="61"/>
      <c r="AT3" s="61"/>
      <c r="AU3" s="61"/>
      <c r="AV3" s="61"/>
      <c r="AW3" s="61"/>
      <c r="AX3" s="61"/>
      <c r="AY3" s="61"/>
      <c r="AZ3" s="72"/>
    </row>
    <row r="4" ht="56.25" customHeight="1" spans="1:65">
      <c r="A4" s="60"/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59" t="s">
        <v>51</v>
      </c>
      <c r="N4" s="59" t="s">
        <v>643</v>
      </c>
      <c r="O4" s="59" t="s">
        <v>644</v>
      </c>
      <c r="P4" s="58" t="s">
        <v>52</v>
      </c>
      <c r="Q4" s="73" t="s">
        <v>53</v>
      </c>
      <c r="R4" s="74"/>
      <c r="S4" s="81"/>
      <c r="T4" s="61"/>
      <c r="U4" s="58" t="s">
        <v>54</v>
      </c>
      <c r="V4" s="58" t="s">
        <v>55</v>
      </c>
      <c r="W4" s="59" t="s">
        <v>57</v>
      </c>
      <c r="X4" s="58" t="s">
        <v>54</v>
      </c>
      <c r="Y4" s="58" t="s">
        <v>55</v>
      </c>
      <c r="Z4" s="59" t="s">
        <v>61</v>
      </c>
      <c r="AA4" s="58" t="s">
        <v>59</v>
      </c>
      <c r="AB4" s="59" t="s">
        <v>58</v>
      </c>
      <c r="AC4" s="59" t="s">
        <v>59</v>
      </c>
      <c r="AD4" s="59" t="s">
        <v>62</v>
      </c>
      <c r="AE4" s="59" t="s">
        <v>59</v>
      </c>
      <c r="AF4" s="59" t="s">
        <v>63</v>
      </c>
      <c r="AG4" s="59" t="s">
        <v>59</v>
      </c>
      <c r="AH4" s="59" t="s">
        <v>64</v>
      </c>
      <c r="AI4" s="59" t="s">
        <v>59</v>
      </c>
      <c r="AJ4" s="59" t="s">
        <v>65</v>
      </c>
      <c r="AK4" s="59" t="s">
        <v>66</v>
      </c>
      <c r="AL4" s="59" t="s">
        <v>645</v>
      </c>
      <c r="AM4" s="59" t="s">
        <v>67</v>
      </c>
      <c r="AN4" s="59" t="s">
        <v>68</v>
      </c>
      <c r="AO4" s="59" t="s">
        <v>69</v>
      </c>
      <c r="AP4" s="61"/>
      <c r="AQ4" s="87"/>
      <c r="AR4" s="87"/>
      <c r="AS4" s="61"/>
      <c r="AT4" s="61"/>
      <c r="AU4" s="61"/>
      <c r="AV4" s="61"/>
      <c r="AW4" s="61"/>
      <c r="AX4" s="61"/>
      <c r="AY4" s="61"/>
      <c r="AZ4" s="72"/>
      <c r="BM4" t="s">
        <v>646</v>
      </c>
    </row>
    <row r="5" ht="30" customHeight="1" spans="1:52">
      <c r="A5" s="62"/>
      <c r="B5" s="62"/>
      <c r="C5" s="62"/>
      <c r="D5" s="62"/>
      <c r="E5" s="62"/>
      <c r="F5" s="62"/>
      <c r="G5" s="62"/>
      <c r="H5" s="63"/>
      <c r="I5" s="63"/>
      <c r="J5" s="63"/>
      <c r="K5" s="63"/>
      <c r="L5" s="63"/>
      <c r="M5" s="63"/>
      <c r="N5" s="63"/>
      <c r="O5" s="63"/>
      <c r="P5" s="62"/>
      <c r="Q5" s="72" t="s">
        <v>71</v>
      </c>
      <c r="R5" s="72" t="s">
        <v>72</v>
      </c>
      <c r="S5" s="72" t="s">
        <v>73</v>
      </c>
      <c r="T5" s="63"/>
      <c r="U5" s="62"/>
      <c r="V5" s="62"/>
      <c r="W5" s="62"/>
      <c r="X5" s="62"/>
      <c r="Y5" s="62"/>
      <c r="Z5" s="63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89"/>
      <c r="AR5" s="89"/>
      <c r="AS5" s="63"/>
      <c r="AT5" s="63"/>
      <c r="AU5" s="63"/>
      <c r="AV5" s="63"/>
      <c r="AW5" s="63"/>
      <c r="AX5" s="63"/>
      <c r="AY5" s="63"/>
      <c r="AZ5" s="72"/>
    </row>
    <row r="6" ht="30" customHeight="1" spans="1:52">
      <c r="A6" s="64">
        <v>1</v>
      </c>
      <c r="B6" s="65" t="s">
        <v>74</v>
      </c>
      <c r="C6" s="65" t="s">
        <v>75</v>
      </c>
      <c r="D6" s="65" t="s">
        <v>76</v>
      </c>
      <c r="E6" s="65" t="s">
        <v>77</v>
      </c>
      <c r="F6" s="66">
        <v>309.62</v>
      </c>
      <c r="G6" s="67">
        <f t="shared" ref="G6:G69" si="0">H6/F6</f>
        <v>10.6757081422389</v>
      </c>
      <c r="H6" s="67">
        <f t="shared" ref="H6:H69" si="1">Q6+V6+Y6+AA6+AC6+AE6+AG6+AI6+AJ6+AK6+AL6+AM6+AN6+AO6</f>
        <v>3305.412755</v>
      </c>
      <c r="I6" s="75">
        <v>3</v>
      </c>
      <c r="J6" s="75">
        <v>3</v>
      </c>
      <c r="K6" s="76">
        <f t="shared" ref="K6:K69" si="2">R6+V6+Y6+AA6+AC6+AE6+AG6+AI6+AJ6+AK6+AL6+AM6+AN6+AO6</f>
        <v>3819.987448</v>
      </c>
      <c r="L6" s="76">
        <f t="shared" ref="L6:L69" si="3">S6+V6+Y6+AA6+AE6+AG6+AI6+AJ6+AK6+AL6+AM6+AN6+AO6</f>
        <v>1962.267448</v>
      </c>
      <c r="M6" s="75">
        <v>0</v>
      </c>
      <c r="N6" s="77">
        <v>0</v>
      </c>
      <c r="O6" s="75">
        <v>0</v>
      </c>
      <c r="P6" s="67">
        <f t="shared" ref="P6:P69" si="4">F6*2</f>
        <v>619.24</v>
      </c>
      <c r="Q6" s="77">
        <v>1343.145307</v>
      </c>
      <c r="R6" s="67">
        <f t="shared" ref="R6:R69" si="5">P6*3</f>
        <v>1857.72</v>
      </c>
      <c r="S6" s="67">
        <v>0</v>
      </c>
      <c r="T6" s="76">
        <f t="shared" ref="T6:T69" si="6">S6+V6+Y6+AA6+AE6+AG6+AI6+AJ6+AK6+AL6+AM6+AN6+AO6</f>
        <v>1962.267448</v>
      </c>
      <c r="U6" s="76"/>
      <c r="V6" s="77">
        <v>0</v>
      </c>
      <c r="W6" s="75">
        <v>0</v>
      </c>
      <c r="X6" s="76"/>
      <c r="Y6" s="77">
        <v>139.667096</v>
      </c>
      <c r="Z6" s="77">
        <v>0</v>
      </c>
      <c r="AA6" s="67">
        <f t="shared" ref="AA6:AA69" si="7">Z6*2</f>
        <v>0</v>
      </c>
      <c r="AB6" s="77">
        <v>0</v>
      </c>
      <c r="AC6" s="67">
        <f t="shared" ref="AC6:AC69" si="8">AB6*2</f>
        <v>0</v>
      </c>
      <c r="AD6" s="77">
        <v>0</v>
      </c>
      <c r="AE6" s="67">
        <f t="shared" ref="AE6:AE69" si="9">AD6*2</f>
        <v>0</v>
      </c>
      <c r="AF6" s="82">
        <v>0</v>
      </c>
      <c r="AG6" s="67">
        <f t="shared" ref="AG6:AG69" si="10">AF6*2</f>
        <v>0</v>
      </c>
      <c r="AH6" s="77">
        <v>0</v>
      </c>
      <c r="AI6" s="67">
        <f t="shared" ref="AI6:AI69" si="11">AH6*2</f>
        <v>0</v>
      </c>
      <c r="AJ6" s="77">
        <v>887.398468</v>
      </c>
      <c r="AK6" s="77">
        <v>0</v>
      </c>
      <c r="AL6" s="77">
        <v>0</v>
      </c>
      <c r="AM6" s="77">
        <v>0</v>
      </c>
      <c r="AN6" s="77">
        <v>0</v>
      </c>
      <c r="AO6" s="77">
        <v>935.201884</v>
      </c>
      <c r="AP6" s="67">
        <f t="shared" ref="AP6:AP69" si="12">F6*2</f>
        <v>619.24</v>
      </c>
      <c r="AQ6" s="91">
        <f t="shared" ref="AQ6:AQ69" si="13">P6*IF(J6=1,0,IF(J6=2,0,IF(J6=3,2,IF(J6=4,0))))/1000</f>
        <v>1.23848</v>
      </c>
      <c r="AR6" s="91">
        <f t="shared" ref="AR6:AR69" si="14">AQ6/60</f>
        <v>0.0206413333333333</v>
      </c>
      <c r="AS6" s="67">
        <f t="shared" ref="AS6:AS69" si="15">P6*IF(J6=1,3,IF(J6=2,2,IF(J6=3,0,IF(J6=4,0))))/1000</f>
        <v>0</v>
      </c>
      <c r="AT6" s="67">
        <f t="shared" ref="AT6:AT69" si="16">AS6/32</f>
        <v>0</v>
      </c>
      <c r="AU6" s="67">
        <f t="shared" ref="AU6:AU69" si="17">P6/1000/2*IF(J6=1,4,IF(J6=2,3,IF(J6=3,2,IF(J6=4,0))))</f>
        <v>0.61924</v>
      </c>
      <c r="AV6" s="67">
        <f t="shared" ref="AV6:AV69" si="18">AU6/48</f>
        <v>0.0129008333333333</v>
      </c>
      <c r="AW6" s="67">
        <f t="shared" ref="AW6:AW69" si="19">(Z6+AB6+AD6)/20/1000</f>
        <v>0</v>
      </c>
      <c r="AX6" s="67">
        <v>2</v>
      </c>
      <c r="AY6" s="67">
        <v>8</v>
      </c>
      <c r="AZ6" s="75"/>
    </row>
    <row r="7" ht="30" customHeight="1" spans="1:52">
      <c r="A7" s="64">
        <v>2</v>
      </c>
      <c r="B7" s="65" t="s">
        <v>78</v>
      </c>
      <c r="C7" s="65" t="s">
        <v>78</v>
      </c>
      <c r="D7" s="65" t="s">
        <v>79</v>
      </c>
      <c r="E7" s="65" t="s">
        <v>80</v>
      </c>
      <c r="F7" s="66">
        <v>143.8</v>
      </c>
      <c r="G7" s="67">
        <f t="shared" si="0"/>
        <v>52.9116675104312</v>
      </c>
      <c r="H7" s="67">
        <f t="shared" si="1"/>
        <v>7608.697788</v>
      </c>
      <c r="I7" s="75">
        <v>3</v>
      </c>
      <c r="J7" s="75">
        <v>3</v>
      </c>
      <c r="K7" s="76">
        <f t="shared" si="2"/>
        <v>7603.851034</v>
      </c>
      <c r="L7" s="76">
        <f t="shared" si="3"/>
        <v>6741.051034</v>
      </c>
      <c r="M7" s="75">
        <v>0</v>
      </c>
      <c r="N7" s="77">
        <v>0</v>
      </c>
      <c r="O7" s="75">
        <v>0</v>
      </c>
      <c r="P7" s="67">
        <f t="shared" si="4"/>
        <v>287.6</v>
      </c>
      <c r="Q7" s="77">
        <v>867.646754</v>
      </c>
      <c r="R7" s="67">
        <f t="shared" si="5"/>
        <v>862.8</v>
      </c>
      <c r="S7" s="67">
        <v>0</v>
      </c>
      <c r="T7" s="76">
        <f t="shared" si="6"/>
        <v>6741.051034</v>
      </c>
      <c r="U7" s="76"/>
      <c r="V7" s="77">
        <v>0</v>
      </c>
      <c r="W7" s="75">
        <v>0</v>
      </c>
      <c r="X7" s="76"/>
      <c r="Y7" s="77">
        <v>0</v>
      </c>
      <c r="Z7" s="77">
        <v>0</v>
      </c>
      <c r="AA7" s="67">
        <f t="shared" si="7"/>
        <v>0</v>
      </c>
      <c r="AB7" s="77">
        <v>0</v>
      </c>
      <c r="AC7" s="67">
        <f t="shared" si="8"/>
        <v>0</v>
      </c>
      <c r="AD7" s="77">
        <v>0</v>
      </c>
      <c r="AE7" s="67">
        <f t="shared" si="9"/>
        <v>0</v>
      </c>
      <c r="AF7" s="82">
        <v>0</v>
      </c>
      <c r="AG7" s="67">
        <f t="shared" si="10"/>
        <v>0</v>
      </c>
      <c r="AH7" s="77">
        <v>0</v>
      </c>
      <c r="AI7" s="67">
        <f t="shared" si="11"/>
        <v>0</v>
      </c>
      <c r="AJ7" s="77">
        <v>1861.70933</v>
      </c>
      <c r="AK7" s="77">
        <v>0</v>
      </c>
      <c r="AL7" s="77">
        <v>0</v>
      </c>
      <c r="AM7" s="77">
        <v>0</v>
      </c>
      <c r="AN7" s="77">
        <v>0</v>
      </c>
      <c r="AO7" s="77">
        <v>4879.341704</v>
      </c>
      <c r="AP7" s="67">
        <f t="shared" si="12"/>
        <v>287.6</v>
      </c>
      <c r="AQ7" s="91">
        <f t="shared" si="13"/>
        <v>0.5752</v>
      </c>
      <c r="AR7" s="91">
        <f t="shared" si="14"/>
        <v>0.00958666666666667</v>
      </c>
      <c r="AS7" s="67">
        <f t="shared" si="15"/>
        <v>0</v>
      </c>
      <c r="AT7" s="67">
        <f t="shared" si="16"/>
        <v>0</v>
      </c>
      <c r="AU7" s="67">
        <f t="shared" si="17"/>
        <v>0.2876</v>
      </c>
      <c r="AV7" s="67">
        <f t="shared" si="18"/>
        <v>0.00599166666666667</v>
      </c>
      <c r="AW7" s="67">
        <f t="shared" si="19"/>
        <v>0</v>
      </c>
      <c r="AX7" s="67"/>
      <c r="AY7" s="67"/>
      <c r="AZ7" s="75"/>
    </row>
    <row r="8" ht="30" customHeight="1" spans="1:52">
      <c r="A8" s="64">
        <v>3</v>
      </c>
      <c r="B8" s="65" t="s">
        <v>81</v>
      </c>
      <c r="C8" s="65" t="s">
        <v>81</v>
      </c>
      <c r="D8" s="65" t="s">
        <v>82</v>
      </c>
      <c r="E8" s="65" t="s">
        <v>83</v>
      </c>
      <c r="F8" s="66">
        <v>586.77</v>
      </c>
      <c r="G8" s="67">
        <f t="shared" si="0"/>
        <v>18.5467942873698</v>
      </c>
      <c r="H8" s="67">
        <f t="shared" si="1"/>
        <v>10882.702484</v>
      </c>
      <c r="I8" s="75">
        <v>3</v>
      </c>
      <c r="J8" s="75">
        <v>3</v>
      </c>
      <c r="K8" s="76">
        <f t="shared" si="2"/>
        <v>9503.492009</v>
      </c>
      <c r="L8" s="76">
        <f t="shared" si="3"/>
        <v>5982.872009</v>
      </c>
      <c r="M8" s="75">
        <v>0</v>
      </c>
      <c r="N8" s="77">
        <v>0</v>
      </c>
      <c r="O8" s="75">
        <v>0</v>
      </c>
      <c r="P8" s="67">
        <f t="shared" si="4"/>
        <v>1173.54</v>
      </c>
      <c r="Q8" s="77">
        <v>4899.830475</v>
      </c>
      <c r="R8" s="67">
        <f t="shared" si="5"/>
        <v>3520.62</v>
      </c>
      <c r="S8" s="67">
        <v>0</v>
      </c>
      <c r="T8" s="76">
        <f t="shared" si="6"/>
        <v>5982.872009</v>
      </c>
      <c r="U8" s="76"/>
      <c r="V8" s="77">
        <v>0</v>
      </c>
      <c r="W8" s="75">
        <v>0</v>
      </c>
      <c r="X8" s="76"/>
      <c r="Y8" s="77">
        <v>4786.149775</v>
      </c>
      <c r="Z8" s="77">
        <v>0</v>
      </c>
      <c r="AA8" s="67">
        <f t="shared" si="7"/>
        <v>0</v>
      </c>
      <c r="AB8" s="77">
        <v>0</v>
      </c>
      <c r="AC8" s="67">
        <f t="shared" si="8"/>
        <v>0</v>
      </c>
      <c r="AD8" s="77">
        <v>0</v>
      </c>
      <c r="AE8" s="67">
        <f t="shared" si="9"/>
        <v>0</v>
      </c>
      <c r="AF8" s="82">
        <v>0</v>
      </c>
      <c r="AG8" s="67">
        <f t="shared" si="10"/>
        <v>0</v>
      </c>
      <c r="AH8" s="77">
        <v>0</v>
      </c>
      <c r="AI8" s="67">
        <f t="shared" si="11"/>
        <v>0</v>
      </c>
      <c r="AJ8" s="77">
        <v>1119.456506</v>
      </c>
      <c r="AK8" s="77">
        <v>0</v>
      </c>
      <c r="AL8" s="77">
        <v>0</v>
      </c>
      <c r="AM8" s="77">
        <v>0</v>
      </c>
      <c r="AN8" s="77">
        <v>0</v>
      </c>
      <c r="AO8" s="77">
        <v>77.265728</v>
      </c>
      <c r="AP8" s="67">
        <f t="shared" si="12"/>
        <v>1173.54</v>
      </c>
      <c r="AQ8" s="91">
        <f t="shared" si="13"/>
        <v>2.34708</v>
      </c>
      <c r="AR8" s="91">
        <f t="shared" si="14"/>
        <v>0.039118</v>
      </c>
      <c r="AS8" s="67">
        <f t="shared" si="15"/>
        <v>0</v>
      </c>
      <c r="AT8" s="67">
        <f t="shared" si="16"/>
        <v>0</v>
      </c>
      <c r="AU8" s="67">
        <f t="shared" si="17"/>
        <v>1.17354</v>
      </c>
      <c r="AV8" s="67">
        <f t="shared" si="18"/>
        <v>0.02444875</v>
      </c>
      <c r="AW8" s="67">
        <f t="shared" si="19"/>
        <v>0</v>
      </c>
      <c r="AX8" s="67"/>
      <c r="AY8" s="67"/>
      <c r="AZ8" s="75"/>
    </row>
    <row r="9" ht="30" customHeight="1" spans="1:52">
      <c r="A9" s="64">
        <v>4</v>
      </c>
      <c r="B9" s="65" t="s">
        <v>84</v>
      </c>
      <c r="C9" s="65" t="s">
        <v>84</v>
      </c>
      <c r="D9" s="65" t="s">
        <v>85</v>
      </c>
      <c r="E9" s="65" t="s">
        <v>81</v>
      </c>
      <c r="F9" s="66">
        <v>299.42</v>
      </c>
      <c r="G9" s="67">
        <f t="shared" si="0"/>
        <v>10.3012722496827</v>
      </c>
      <c r="H9" s="67">
        <f t="shared" si="1"/>
        <v>3084.406937</v>
      </c>
      <c r="I9" s="75">
        <v>3</v>
      </c>
      <c r="J9" s="75">
        <v>3</v>
      </c>
      <c r="K9" s="76">
        <f t="shared" si="2"/>
        <v>3688.5716</v>
      </c>
      <c r="L9" s="76">
        <f t="shared" si="3"/>
        <v>1892.0516</v>
      </c>
      <c r="M9" s="75">
        <v>0</v>
      </c>
      <c r="N9" s="77">
        <v>0</v>
      </c>
      <c r="O9" s="75">
        <v>0</v>
      </c>
      <c r="P9" s="67">
        <f t="shared" si="4"/>
        <v>598.84</v>
      </c>
      <c r="Q9" s="77">
        <v>1192.355337</v>
      </c>
      <c r="R9" s="67">
        <f t="shared" si="5"/>
        <v>1796.52</v>
      </c>
      <c r="S9" s="67">
        <v>0</v>
      </c>
      <c r="T9" s="76">
        <f t="shared" si="6"/>
        <v>1892.0516</v>
      </c>
      <c r="U9" s="76"/>
      <c r="V9" s="77">
        <v>0</v>
      </c>
      <c r="W9" s="75">
        <v>0</v>
      </c>
      <c r="X9" s="76"/>
      <c r="Y9" s="77">
        <v>1892.0516</v>
      </c>
      <c r="Z9" s="77">
        <v>0</v>
      </c>
      <c r="AA9" s="67">
        <f t="shared" si="7"/>
        <v>0</v>
      </c>
      <c r="AB9" s="77">
        <v>0</v>
      </c>
      <c r="AC9" s="67">
        <f t="shared" si="8"/>
        <v>0</v>
      </c>
      <c r="AD9" s="77">
        <v>0</v>
      </c>
      <c r="AE9" s="67">
        <f t="shared" si="9"/>
        <v>0</v>
      </c>
      <c r="AF9" s="82">
        <v>0</v>
      </c>
      <c r="AG9" s="67">
        <f t="shared" si="10"/>
        <v>0</v>
      </c>
      <c r="AH9" s="77">
        <v>0</v>
      </c>
      <c r="AI9" s="67">
        <f t="shared" si="11"/>
        <v>0</v>
      </c>
      <c r="AJ9" s="77">
        <v>0</v>
      </c>
      <c r="AK9" s="77">
        <v>0</v>
      </c>
      <c r="AL9" s="77">
        <v>0</v>
      </c>
      <c r="AM9" s="77">
        <v>0</v>
      </c>
      <c r="AN9" s="77">
        <v>0</v>
      </c>
      <c r="AO9" s="77">
        <v>0</v>
      </c>
      <c r="AP9" s="67">
        <f t="shared" si="12"/>
        <v>598.84</v>
      </c>
      <c r="AQ9" s="91">
        <f t="shared" si="13"/>
        <v>1.19768</v>
      </c>
      <c r="AR9" s="91">
        <f t="shared" si="14"/>
        <v>0.0199613333333333</v>
      </c>
      <c r="AS9" s="67">
        <f t="shared" si="15"/>
        <v>0</v>
      </c>
      <c r="AT9" s="67">
        <f t="shared" si="16"/>
        <v>0</v>
      </c>
      <c r="AU9" s="67">
        <f t="shared" si="17"/>
        <v>0.59884</v>
      </c>
      <c r="AV9" s="67">
        <f t="shared" si="18"/>
        <v>0.0124758333333333</v>
      </c>
      <c r="AW9" s="67">
        <f t="shared" si="19"/>
        <v>0</v>
      </c>
      <c r="AX9" s="67"/>
      <c r="AY9" s="67"/>
      <c r="AZ9" s="75"/>
    </row>
    <row r="10" ht="30" customHeight="1" spans="1:52">
      <c r="A10" s="64">
        <v>5</v>
      </c>
      <c r="B10" s="65" t="s">
        <v>86</v>
      </c>
      <c r="C10" s="65" t="s">
        <v>86</v>
      </c>
      <c r="D10" s="65" t="s">
        <v>87</v>
      </c>
      <c r="E10" s="65" t="s">
        <v>88</v>
      </c>
      <c r="F10" s="66">
        <v>564.23</v>
      </c>
      <c r="G10" s="67">
        <f t="shared" si="0"/>
        <v>49.9160465040852</v>
      </c>
      <c r="H10" s="67">
        <f t="shared" si="1"/>
        <v>28164.130919</v>
      </c>
      <c r="I10" s="75">
        <v>1</v>
      </c>
      <c r="J10" s="78">
        <v>2</v>
      </c>
      <c r="K10" s="76">
        <f t="shared" si="2"/>
        <v>20279.660812</v>
      </c>
      <c r="L10" s="76">
        <f t="shared" si="3"/>
        <v>16894.280812</v>
      </c>
      <c r="M10" s="75">
        <v>2</v>
      </c>
      <c r="N10" s="77">
        <v>0</v>
      </c>
      <c r="O10" s="75">
        <v>0</v>
      </c>
      <c r="P10" s="67">
        <f t="shared" si="4"/>
        <v>1128.46</v>
      </c>
      <c r="Q10" s="77">
        <v>11269.850107</v>
      </c>
      <c r="R10" s="67">
        <f t="shared" si="5"/>
        <v>3385.38</v>
      </c>
      <c r="S10" s="67">
        <v>0</v>
      </c>
      <c r="T10" s="76">
        <f t="shared" si="6"/>
        <v>16894.280812</v>
      </c>
      <c r="U10" s="76"/>
      <c r="V10" s="77">
        <v>0</v>
      </c>
      <c r="W10" s="75">
        <v>0</v>
      </c>
      <c r="X10" s="76"/>
      <c r="Y10" s="77">
        <v>4136.281664</v>
      </c>
      <c r="Z10" s="77">
        <v>29.878034</v>
      </c>
      <c r="AA10" s="67">
        <f t="shared" si="7"/>
        <v>59.756068</v>
      </c>
      <c r="AB10" s="77">
        <v>0</v>
      </c>
      <c r="AC10" s="67">
        <f t="shared" si="8"/>
        <v>0</v>
      </c>
      <c r="AD10" s="77">
        <v>0</v>
      </c>
      <c r="AE10" s="67">
        <f t="shared" si="9"/>
        <v>0</v>
      </c>
      <c r="AF10" s="82">
        <v>0</v>
      </c>
      <c r="AG10" s="67">
        <f t="shared" si="10"/>
        <v>0</v>
      </c>
      <c r="AH10" s="77">
        <v>0</v>
      </c>
      <c r="AI10" s="67">
        <f t="shared" si="11"/>
        <v>0</v>
      </c>
      <c r="AJ10" s="77">
        <v>141.457696</v>
      </c>
      <c r="AK10" s="77">
        <v>0</v>
      </c>
      <c r="AL10" s="77">
        <v>0</v>
      </c>
      <c r="AM10" s="77">
        <v>0</v>
      </c>
      <c r="AN10" s="77">
        <v>0</v>
      </c>
      <c r="AO10" s="77">
        <v>12556.785384</v>
      </c>
      <c r="AP10" s="67">
        <f t="shared" si="12"/>
        <v>1128.46</v>
      </c>
      <c r="AQ10" s="91">
        <f t="shared" si="13"/>
        <v>0</v>
      </c>
      <c r="AR10" s="91">
        <f t="shared" si="14"/>
        <v>0</v>
      </c>
      <c r="AS10" s="67">
        <f t="shared" si="15"/>
        <v>2.25692</v>
      </c>
      <c r="AT10" s="67">
        <f t="shared" si="16"/>
        <v>0.07052875</v>
      </c>
      <c r="AU10" s="67">
        <f t="shared" si="17"/>
        <v>1.69269</v>
      </c>
      <c r="AV10" s="67">
        <f t="shared" si="18"/>
        <v>0.035264375</v>
      </c>
      <c r="AW10" s="67">
        <f t="shared" si="19"/>
        <v>0.0014939017</v>
      </c>
      <c r="AX10" s="67"/>
      <c r="AY10" s="67"/>
      <c r="AZ10" s="75"/>
    </row>
    <row r="11" ht="30" customHeight="1" spans="1:52">
      <c r="A11" s="64">
        <v>6</v>
      </c>
      <c r="B11" s="65" t="s">
        <v>86</v>
      </c>
      <c r="C11" s="65" t="s">
        <v>86</v>
      </c>
      <c r="D11" s="65" t="s">
        <v>90</v>
      </c>
      <c r="E11" s="65" t="s">
        <v>91</v>
      </c>
      <c r="F11" s="66">
        <v>209.42</v>
      </c>
      <c r="G11" s="67">
        <f t="shared" si="0"/>
        <v>63.9690016712826</v>
      </c>
      <c r="H11" s="67">
        <f t="shared" si="1"/>
        <v>13396.38833</v>
      </c>
      <c r="I11" s="75">
        <v>1</v>
      </c>
      <c r="J11" s="78">
        <v>2</v>
      </c>
      <c r="K11" s="76">
        <f t="shared" si="2"/>
        <v>9424.279901</v>
      </c>
      <c r="L11" s="76">
        <f t="shared" si="3"/>
        <v>8167.759901</v>
      </c>
      <c r="M11" s="75">
        <v>2</v>
      </c>
      <c r="N11" s="77">
        <v>0</v>
      </c>
      <c r="O11" s="75">
        <v>0</v>
      </c>
      <c r="P11" s="67">
        <f t="shared" si="4"/>
        <v>418.84</v>
      </c>
      <c r="Q11" s="77">
        <v>5228.628429</v>
      </c>
      <c r="R11" s="67">
        <f t="shared" si="5"/>
        <v>1256.52</v>
      </c>
      <c r="S11" s="67">
        <v>0</v>
      </c>
      <c r="T11" s="76">
        <f t="shared" si="6"/>
        <v>8167.759901</v>
      </c>
      <c r="U11" s="76"/>
      <c r="V11" s="77">
        <v>0</v>
      </c>
      <c r="W11" s="75">
        <v>0</v>
      </c>
      <c r="X11" s="76"/>
      <c r="Y11" s="77">
        <v>854.657403</v>
      </c>
      <c r="Z11" s="77">
        <v>0</v>
      </c>
      <c r="AA11" s="67">
        <f t="shared" si="7"/>
        <v>0</v>
      </c>
      <c r="AB11" s="77">
        <v>0</v>
      </c>
      <c r="AC11" s="67">
        <f t="shared" si="8"/>
        <v>0</v>
      </c>
      <c r="AD11" s="77">
        <v>0</v>
      </c>
      <c r="AE11" s="67">
        <f t="shared" si="9"/>
        <v>0</v>
      </c>
      <c r="AF11" s="82">
        <v>0</v>
      </c>
      <c r="AG11" s="67">
        <f t="shared" si="10"/>
        <v>0</v>
      </c>
      <c r="AH11" s="77">
        <v>0</v>
      </c>
      <c r="AI11" s="67">
        <f t="shared" si="11"/>
        <v>0</v>
      </c>
      <c r="AJ11" s="77">
        <v>1365.478214</v>
      </c>
      <c r="AK11" s="77">
        <v>0</v>
      </c>
      <c r="AL11" s="77">
        <v>0</v>
      </c>
      <c r="AM11" s="77">
        <v>284.704979</v>
      </c>
      <c r="AN11" s="77">
        <v>0</v>
      </c>
      <c r="AO11" s="77">
        <v>5662.919305</v>
      </c>
      <c r="AP11" s="67">
        <f t="shared" si="12"/>
        <v>418.84</v>
      </c>
      <c r="AQ11" s="91">
        <f t="shared" si="13"/>
        <v>0</v>
      </c>
      <c r="AR11" s="91">
        <f t="shared" si="14"/>
        <v>0</v>
      </c>
      <c r="AS11" s="67">
        <f t="shared" si="15"/>
        <v>0.83768</v>
      </c>
      <c r="AT11" s="67">
        <f t="shared" si="16"/>
        <v>0.0261775</v>
      </c>
      <c r="AU11" s="67">
        <f t="shared" si="17"/>
        <v>0.62826</v>
      </c>
      <c r="AV11" s="67">
        <f t="shared" si="18"/>
        <v>0.01308875</v>
      </c>
      <c r="AW11" s="67">
        <f t="shared" si="19"/>
        <v>0</v>
      </c>
      <c r="AX11" s="67"/>
      <c r="AY11" s="67"/>
      <c r="AZ11" s="75"/>
    </row>
    <row r="12" ht="30" customHeight="1" spans="1:52">
      <c r="A12" s="64">
        <v>7</v>
      </c>
      <c r="B12" s="65" t="s">
        <v>86</v>
      </c>
      <c r="C12" s="65" t="s">
        <v>86</v>
      </c>
      <c r="D12" s="65" t="s">
        <v>92</v>
      </c>
      <c r="E12" s="65" t="s">
        <v>87</v>
      </c>
      <c r="F12" s="66">
        <v>201.7</v>
      </c>
      <c r="G12" s="67">
        <f t="shared" si="0"/>
        <v>46.2985700049579</v>
      </c>
      <c r="H12" s="67">
        <f t="shared" si="1"/>
        <v>9338.42157</v>
      </c>
      <c r="I12" s="75">
        <v>1</v>
      </c>
      <c r="J12" s="78">
        <v>2</v>
      </c>
      <c r="K12" s="76">
        <f t="shared" si="2"/>
        <v>7230.646076</v>
      </c>
      <c r="L12" s="76">
        <f t="shared" si="3"/>
        <v>6020.446076</v>
      </c>
      <c r="M12" s="75">
        <v>2</v>
      </c>
      <c r="N12" s="77">
        <v>0</v>
      </c>
      <c r="O12" s="75">
        <v>0</v>
      </c>
      <c r="P12" s="67">
        <f t="shared" si="4"/>
        <v>403.4</v>
      </c>
      <c r="Q12" s="77">
        <v>3317.975494</v>
      </c>
      <c r="R12" s="67">
        <f t="shared" si="5"/>
        <v>1210.2</v>
      </c>
      <c r="S12" s="67">
        <v>0</v>
      </c>
      <c r="T12" s="76">
        <f t="shared" si="6"/>
        <v>6020.446076</v>
      </c>
      <c r="U12" s="76"/>
      <c r="V12" s="77">
        <v>729.768264</v>
      </c>
      <c r="W12" s="75">
        <v>1</v>
      </c>
      <c r="X12" s="76"/>
      <c r="Y12" s="77">
        <v>1022.553767</v>
      </c>
      <c r="Z12" s="77">
        <v>0</v>
      </c>
      <c r="AA12" s="67">
        <f t="shared" si="7"/>
        <v>0</v>
      </c>
      <c r="AB12" s="77">
        <v>0</v>
      </c>
      <c r="AC12" s="67">
        <f t="shared" si="8"/>
        <v>0</v>
      </c>
      <c r="AD12" s="77">
        <v>289.578325</v>
      </c>
      <c r="AE12" s="67">
        <f t="shared" si="9"/>
        <v>579.15665</v>
      </c>
      <c r="AF12" s="82">
        <v>0</v>
      </c>
      <c r="AG12" s="67">
        <f t="shared" si="10"/>
        <v>0</v>
      </c>
      <c r="AH12" s="77">
        <v>0</v>
      </c>
      <c r="AI12" s="67">
        <f t="shared" si="11"/>
        <v>0</v>
      </c>
      <c r="AJ12" s="77">
        <v>483.755662</v>
      </c>
      <c r="AK12" s="77">
        <v>0</v>
      </c>
      <c r="AL12" s="77">
        <v>0</v>
      </c>
      <c r="AM12" s="77">
        <v>0</v>
      </c>
      <c r="AN12" s="77">
        <v>0</v>
      </c>
      <c r="AO12" s="77">
        <v>3205.211733</v>
      </c>
      <c r="AP12" s="67">
        <f t="shared" si="12"/>
        <v>403.4</v>
      </c>
      <c r="AQ12" s="91">
        <f t="shared" si="13"/>
        <v>0</v>
      </c>
      <c r="AR12" s="91">
        <f t="shared" si="14"/>
        <v>0</v>
      </c>
      <c r="AS12" s="67">
        <f t="shared" si="15"/>
        <v>0.8068</v>
      </c>
      <c r="AT12" s="67">
        <f t="shared" si="16"/>
        <v>0.0252125</v>
      </c>
      <c r="AU12" s="67">
        <f t="shared" si="17"/>
        <v>0.6051</v>
      </c>
      <c r="AV12" s="67">
        <f t="shared" si="18"/>
        <v>0.01260625</v>
      </c>
      <c r="AW12" s="67">
        <f t="shared" si="19"/>
        <v>0.01447891625</v>
      </c>
      <c r="AX12" s="67"/>
      <c r="AY12" s="67"/>
      <c r="AZ12" s="75"/>
    </row>
    <row r="13" ht="30" customHeight="1" spans="1:52">
      <c r="A13" s="64">
        <v>8</v>
      </c>
      <c r="B13" s="65" t="s">
        <v>86</v>
      </c>
      <c r="C13" s="65" t="s">
        <v>86</v>
      </c>
      <c r="D13" s="65" t="s">
        <v>91</v>
      </c>
      <c r="E13" s="65" t="s">
        <v>92</v>
      </c>
      <c r="F13" s="66">
        <v>382.58</v>
      </c>
      <c r="G13" s="67">
        <f t="shared" si="0"/>
        <v>47.9328835746772</v>
      </c>
      <c r="H13" s="67">
        <f t="shared" si="1"/>
        <v>18338.162598</v>
      </c>
      <c r="I13" s="75">
        <v>1</v>
      </c>
      <c r="J13" s="78">
        <v>2</v>
      </c>
      <c r="K13" s="76">
        <f t="shared" si="2"/>
        <v>12050.843124</v>
      </c>
      <c r="L13" s="76">
        <f t="shared" si="3"/>
        <v>9755.363124</v>
      </c>
      <c r="M13" s="75">
        <v>2</v>
      </c>
      <c r="N13" s="77">
        <v>0</v>
      </c>
      <c r="O13" s="75">
        <v>0</v>
      </c>
      <c r="P13" s="67">
        <f t="shared" si="4"/>
        <v>765.16</v>
      </c>
      <c r="Q13" s="77">
        <v>8582.799474</v>
      </c>
      <c r="R13" s="67">
        <f t="shared" si="5"/>
        <v>2295.48</v>
      </c>
      <c r="S13" s="67">
        <v>0</v>
      </c>
      <c r="T13" s="76">
        <f t="shared" si="6"/>
        <v>9755.363124</v>
      </c>
      <c r="U13" s="76"/>
      <c r="V13" s="77">
        <v>510.95875</v>
      </c>
      <c r="W13" s="75">
        <v>1</v>
      </c>
      <c r="X13" s="76"/>
      <c r="Y13" s="77">
        <v>2255.759209</v>
      </c>
      <c r="Z13" s="77">
        <v>0</v>
      </c>
      <c r="AA13" s="67">
        <f t="shared" si="7"/>
        <v>0</v>
      </c>
      <c r="AB13" s="77">
        <v>0</v>
      </c>
      <c r="AC13" s="67">
        <f t="shared" si="8"/>
        <v>0</v>
      </c>
      <c r="AD13" s="77">
        <v>167.747201</v>
      </c>
      <c r="AE13" s="67">
        <f t="shared" si="9"/>
        <v>335.494402</v>
      </c>
      <c r="AF13" s="82">
        <v>0</v>
      </c>
      <c r="AG13" s="67">
        <f t="shared" si="10"/>
        <v>0</v>
      </c>
      <c r="AH13" s="77">
        <v>0</v>
      </c>
      <c r="AI13" s="67">
        <f t="shared" si="11"/>
        <v>0</v>
      </c>
      <c r="AJ13" s="77">
        <v>614.44148</v>
      </c>
      <c r="AK13" s="77">
        <v>0</v>
      </c>
      <c r="AL13" s="77">
        <v>0</v>
      </c>
      <c r="AM13" s="77">
        <v>713.635261</v>
      </c>
      <c r="AN13" s="77">
        <v>0</v>
      </c>
      <c r="AO13" s="77">
        <v>5325.074022</v>
      </c>
      <c r="AP13" s="67">
        <f t="shared" si="12"/>
        <v>765.16</v>
      </c>
      <c r="AQ13" s="91">
        <f t="shared" si="13"/>
        <v>0</v>
      </c>
      <c r="AR13" s="91">
        <f t="shared" si="14"/>
        <v>0</v>
      </c>
      <c r="AS13" s="67">
        <f t="shared" si="15"/>
        <v>1.53032</v>
      </c>
      <c r="AT13" s="67">
        <f t="shared" si="16"/>
        <v>0.0478225</v>
      </c>
      <c r="AU13" s="67">
        <f t="shared" si="17"/>
        <v>1.14774</v>
      </c>
      <c r="AV13" s="67">
        <f t="shared" si="18"/>
        <v>0.02391125</v>
      </c>
      <c r="AW13" s="67">
        <f t="shared" si="19"/>
        <v>0.00838736005</v>
      </c>
      <c r="AX13" s="67"/>
      <c r="AY13" s="67"/>
      <c r="AZ13" s="75"/>
    </row>
    <row r="14" ht="30" customHeight="1" spans="1:52">
      <c r="A14" s="64">
        <v>9</v>
      </c>
      <c r="B14" s="65" t="s">
        <v>86</v>
      </c>
      <c r="C14" s="65" t="s">
        <v>86</v>
      </c>
      <c r="D14" s="65" t="s">
        <v>88</v>
      </c>
      <c r="E14" s="65" t="s">
        <v>93</v>
      </c>
      <c r="F14" s="66">
        <v>466.36</v>
      </c>
      <c r="G14" s="67">
        <f t="shared" si="0"/>
        <v>56.3233326292993</v>
      </c>
      <c r="H14" s="67">
        <f t="shared" si="1"/>
        <v>26266.949405</v>
      </c>
      <c r="I14" s="75">
        <v>1</v>
      </c>
      <c r="J14" s="78">
        <v>2</v>
      </c>
      <c r="K14" s="76">
        <f t="shared" si="2"/>
        <v>19150.278611</v>
      </c>
      <c r="L14" s="76">
        <f t="shared" si="3"/>
        <v>15668.362473</v>
      </c>
      <c r="M14" s="75">
        <v>2</v>
      </c>
      <c r="N14" s="77">
        <v>0</v>
      </c>
      <c r="O14" s="75">
        <v>0</v>
      </c>
      <c r="P14" s="67">
        <f t="shared" si="4"/>
        <v>932.72</v>
      </c>
      <c r="Q14" s="77">
        <v>9914.830794</v>
      </c>
      <c r="R14" s="67">
        <f t="shared" si="5"/>
        <v>2798.16</v>
      </c>
      <c r="S14" s="67">
        <v>0</v>
      </c>
      <c r="T14" s="76">
        <f t="shared" si="6"/>
        <v>15668.362473</v>
      </c>
      <c r="U14" s="76"/>
      <c r="V14" s="77">
        <v>103.374087</v>
      </c>
      <c r="W14" s="75">
        <v>2</v>
      </c>
      <c r="X14" s="76"/>
      <c r="Y14" s="77">
        <v>2826.321434</v>
      </c>
      <c r="Z14" s="77">
        <v>0</v>
      </c>
      <c r="AA14" s="67">
        <f t="shared" si="7"/>
        <v>0</v>
      </c>
      <c r="AB14" s="77">
        <v>341.878069</v>
      </c>
      <c r="AC14" s="67">
        <f t="shared" si="8"/>
        <v>683.756138</v>
      </c>
      <c r="AD14" s="77">
        <v>0</v>
      </c>
      <c r="AE14" s="67">
        <f t="shared" si="9"/>
        <v>0</v>
      </c>
      <c r="AF14" s="82">
        <v>0</v>
      </c>
      <c r="AG14" s="67">
        <f t="shared" si="10"/>
        <v>0</v>
      </c>
      <c r="AH14" s="77">
        <v>0</v>
      </c>
      <c r="AI14" s="67">
        <f t="shared" si="11"/>
        <v>0</v>
      </c>
      <c r="AJ14" s="77">
        <v>0</v>
      </c>
      <c r="AK14" s="77">
        <v>1157.399529</v>
      </c>
      <c r="AL14" s="77">
        <v>0</v>
      </c>
      <c r="AM14" s="77">
        <v>0</v>
      </c>
      <c r="AN14" s="77">
        <v>51.738035</v>
      </c>
      <c r="AO14" s="77">
        <v>11529.529388</v>
      </c>
      <c r="AP14" s="67">
        <f t="shared" si="12"/>
        <v>932.72</v>
      </c>
      <c r="AQ14" s="91">
        <f t="shared" si="13"/>
        <v>0</v>
      </c>
      <c r="AR14" s="91">
        <f t="shared" si="14"/>
        <v>0</v>
      </c>
      <c r="AS14" s="67">
        <f t="shared" si="15"/>
        <v>1.86544</v>
      </c>
      <c r="AT14" s="67">
        <f t="shared" si="16"/>
        <v>0.058295</v>
      </c>
      <c r="AU14" s="67">
        <f t="shared" si="17"/>
        <v>1.39908</v>
      </c>
      <c r="AV14" s="67">
        <f t="shared" si="18"/>
        <v>0.0291475</v>
      </c>
      <c r="AW14" s="67">
        <f t="shared" si="19"/>
        <v>0.01709390345</v>
      </c>
      <c r="AX14" s="67"/>
      <c r="AY14" s="67"/>
      <c r="AZ14" s="75"/>
    </row>
    <row r="15" ht="30" customHeight="1" spans="1:52">
      <c r="A15" s="64">
        <v>10</v>
      </c>
      <c r="B15" s="65" t="s">
        <v>94</v>
      </c>
      <c r="C15" s="65" t="s">
        <v>94</v>
      </c>
      <c r="D15" s="65" t="s">
        <v>86</v>
      </c>
      <c r="E15" s="65" t="s">
        <v>95</v>
      </c>
      <c r="F15" s="66">
        <v>92.56</v>
      </c>
      <c r="G15" s="67">
        <f t="shared" si="0"/>
        <v>15.3066917458946</v>
      </c>
      <c r="H15" s="67">
        <f t="shared" si="1"/>
        <v>1416.787388</v>
      </c>
      <c r="I15" s="75">
        <v>3</v>
      </c>
      <c r="J15" s="75">
        <v>3</v>
      </c>
      <c r="K15" s="76">
        <f t="shared" si="2"/>
        <v>1225.932864</v>
      </c>
      <c r="L15" s="76">
        <f t="shared" si="3"/>
        <v>670.572864</v>
      </c>
      <c r="M15" s="75">
        <v>2</v>
      </c>
      <c r="N15" s="77">
        <v>0</v>
      </c>
      <c r="O15" s="75">
        <v>0</v>
      </c>
      <c r="P15" s="67">
        <f t="shared" si="4"/>
        <v>185.12</v>
      </c>
      <c r="Q15" s="77">
        <v>746.214524</v>
      </c>
      <c r="R15" s="67">
        <f t="shared" si="5"/>
        <v>555.36</v>
      </c>
      <c r="S15" s="67">
        <v>0</v>
      </c>
      <c r="T15" s="76">
        <f t="shared" si="6"/>
        <v>670.572864</v>
      </c>
      <c r="U15" s="76"/>
      <c r="V15" s="77">
        <v>0</v>
      </c>
      <c r="W15" s="75">
        <v>0</v>
      </c>
      <c r="X15" s="76"/>
      <c r="Y15" s="77">
        <v>289.4989</v>
      </c>
      <c r="Z15" s="77">
        <v>0</v>
      </c>
      <c r="AA15" s="67">
        <f t="shared" si="7"/>
        <v>0</v>
      </c>
      <c r="AB15" s="77">
        <v>0</v>
      </c>
      <c r="AC15" s="67">
        <f t="shared" si="8"/>
        <v>0</v>
      </c>
      <c r="AD15" s="77">
        <v>0</v>
      </c>
      <c r="AE15" s="67">
        <f t="shared" si="9"/>
        <v>0</v>
      </c>
      <c r="AF15" s="82">
        <v>0</v>
      </c>
      <c r="AG15" s="67">
        <f t="shared" si="10"/>
        <v>0</v>
      </c>
      <c r="AH15" s="77">
        <v>0</v>
      </c>
      <c r="AI15" s="67">
        <f t="shared" si="11"/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381.073964</v>
      </c>
      <c r="AP15" s="67">
        <f t="shared" si="12"/>
        <v>185.12</v>
      </c>
      <c r="AQ15" s="91">
        <f t="shared" si="13"/>
        <v>0.37024</v>
      </c>
      <c r="AR15" s="91">
        <f t="shared" si="14"/>
        <v>0.00617066666666667</v>
      </c>
      <c r="AS15" s="67">
        <f t="shared" si="15"/>
        <v>0</v>
      </c>
      <c r="AT15" s="67">
        <f t="shared" si="16"/>
        <v>0</v>
      </c>
      <c r="AU15" s="67">
        <f t="shared" si="17"/>
        <v>0.18512</v>
      </c>
      <c r="AV15" s="67">
        <f t="shared" si="18"/>
        <v>0.00385666666666667</v>
      </c>
      <c r="AW15" s="67">
        <f t="shared" si="19"/>
        <v>0</v>
      </c>
      <c r="AX15" s="67"/>
      <c r="AY15" s="67"/>
      <c r="AZ15" s="75"/>
    </row>
    <row r="16" ht="30" customHeight="1" spans="1:52">
      <c r="A16" s="64">
        <v>11</v>
      </c>
      <c r="B16" s="65" t="s">
        <v>96</v>
      </c>
      <c r="C16" s="65" t="s">
        <v>96</v>
      </c>
      <c r="D16" s="65" t="s">
        <v>97</v>
      </c>
      <c r="E16" s="65" t="s">
        <v>98</v>
      </c>
      <c r="F16" s="66">
        <v>334.02</v>
      </c>
      <c r="G16" s="67">
        <f t="shared" si="0"/>
        <v>7.11109340159272</v>
      </c>
      <c r="H16" s="67">
        <f t="shared" si="1"/>
        <v>2375.247418</v>
      </c>
      <c r="I16" s="75">
        <v>3</v>
      </c>
      <c r="J16" s="75">
        <v>3</v>
      </c>
      <c r="K16" s="76">
        <f t="shared" si="2"/>
        <v>2487.847412</v>
      </c>
      <c r="L16" s="76">
        <f t="shared" si="3"/>
        <v>483.727412</v>
      </c>
      <c r="M16" s="75">
        <v>0</v>
      </c>
      <c r="N16" s="77">
        <v>0</v>
      </c>
      <c r="O16" s="75">
        <v>0</v>
      </c>
      <c r="P16" s="67">
        <f t="shared" si="4"/>
        <v>668.04</v>
      </c>
      <c r="Q16" s="77">
        <v>1891.520006</v>
      </c>
      <c r="R16" s="67">
        <f t="shared" si="5"/>
        <v>2004.12</v>
      </c>
      <c r="S16" s="67">
        <v>0</v>
      </c>
      <c r="T16" s="76">
        <f t="shared" si="6"/>
        <v>483.727412</v>
      </c>
      <c r="U16" s="76"/>
      <c r="V16" s="77">
        <v>0</v>
      </c>
      <c r="W16" s="75">
        <v>0</v>
      </c>
      <c r="X16" s="76"/>
      <c r="Y16" s="77">
        <v>282.74332</v>
      </c>
      <c r="Z16" s="77">
        <v>0</v>
      </c>
      <c r="AA16" s="67">
        <f t="shared" si="7"/>
        <v>0</v>
      </c>
      <c r="AB16" s="77">
        <v>0</v>
      </c>
      <c r="AC16" s="67">
        <f t="shared" si="8"/>
        <v>0</v>
      </c>
      <c r="AD16" s="77">
        <v>0</v>
      </c>
      <c r="AE16" s="67">
        <f t="shared" si="9"/>
        <v>0</v>
      </c>
      <c r="AF16" s="82">
        <v>0</v>
      </c>
      <c r="AG16" s="67">
        <f t="shared" si="10"/>
        <v>0</v>
      </c>
      <c r="AH16" s="77">
        <v>0</v>
      </c>
      <c r="AI16" s="67">
        <f t="shared" si="11"/>
        <v>0</v>
      </c>
      <c r="AJ16" s="77">
        <v>21.776598</v>
      </c>
      <c r="AK16" s="77">
        <v>0</v>
      </c>
      <c r="AL16" s="77">
        <v>0</v>
      </c>
      <c r="AM16" s="77">
        <v>0</v>
      </c>
      <c r="AN16" s="77">
        <v>0</v>
      </c>
      <c r="AO16" s="77">
        <v>179.207494</v>
      </c>
      <c r="AP16" s="67">
        <f t="shared" si="12"/>
        <v>668.04</v>
      </c>
      <c r="AQ16" s="91">
        <f t="shared" si="13"/>
        <v>1.33608</v>
      </c>
      <c r="AR16" s="91">
        <f t="shared" si="14"/>
        <v>0.022268</v>
      </c>
      <c r="AS16" s="67">
        <f t="shared" si="15"/>
        <v>0</v>
      </c>
      <c r="AT16" s="67">
        <f t="shared" si="16"/>
        <v>0</v>
      </c>
      <c r="AU16" s="67">
        <f t="shared" si="17"/>
        <v>0.66804</v>
      </c>
      <c r="AV16" s="67">
        <f t="shared" si="18"/>
        <v>0.0139175</v>
      </c>
      <c r="AW16" s="67">
        <f t="shared" si="19"/>
        <v>0</v>
      </c>
      <c r="AX16" s="67"/>
      <c r="AY16" s="67"/>
      <c r="AZ16" s="75"/>
    </row>
    <row r="17" spans="1:52">
      <c r="A17" s="64">
        <v>12</v>
      </c>
      <c r="B17" s="65" t="s">
        <v>99</v>
      </c>
      <c r="C17" s="65" t="s">
        <v>99</v>
      </c>
      <c r="D17" s="65" t="s">
        <v>96</v>
      </c>
      <c r="E17" s="65" t="s">
        <v>98</v>
      </c>
      <c r="F17" s="66">
        <v>227.96</v>
      </c>
      <c r="G17" s="67">
        <f t="shared" si="0"/>
        <v>11.4927539480611</v>
      </c>
      <c r="H17" s="67">
        <f t="shared" si="1"/>
        <v>2619.88819</v>
      </c>
      <c r="I17" s="75">
        <v>3</v>
      </c>
      <c r="J17" s="75">
        <v>3</v>
      </c>
      <c r="K17" s="76">
        <f t="shared" si="2"/>
        <v>2718.855654</v>
      </c>
      <c r="L17" s="76">
        <f t="shared" si="3"/>
        <v>1351.095654</v>
      </c>
      <c r="M17" s="75">
        <v>0</v>
      </c>
      <c r="N17" s="77">
        <v>0</v>
      </c>
      <c r="O17" s="75">
        <v>0</v>
      </c>
      <c r="P17" s="67">
        <f t="shared" si="4"/>
        <v>455.92</v>
      </c>
      <c r="Q17" s="77">
        <v>1268.792536</v>
      </c>
      <c r="R17" s="67">
        <f t="shared" si="5"/>
        <v>1367.76</v>
      </c>
      <c r="S17" s="67">
        <v>0</v>
      </c>
      <c r="T17" s="76">
        <f t="shared" si="6"/>
        <v>1351.095654</v>
      </c>
      <c r="U17" s="76"/>
      <c r="V17" s="77">
        <v>0</v>
      </c>
      <c r="W17" s="75">
        <v>0</v>
      </c>
      <c r="X17" s="76"/>
      <c r="Y17" s="77">
        <v>432.592348</v>
      </c>
      <c r="Z17" s="77">
        <v>0</v>
      </c>
      <c r="AA17" s="67">
        <f t="shared" si="7"/>
        <v>0</v>
      </c>
      <c r="AB17" s="77">
        <v>0</v>
      </c>
      <c r="AC17" s="67">
        <f t="shared" si="8"/>
        <v>0</v>
      </c>
      <c r="AD17" s="77">
        <v>0</v>
      </c>
      <c r="AE17" s="67">
        <f t="shared" si="9"/>
        <v>0</v>
      </c>
      <c r="AF17" s="82">
        <v>0</v>
      </c>
      <c r="AG17" s="67">
        <f t="shared" si="10"/>
        <v>0</v>
      </c>
      <c r="AH17" s="77">
        <v>0</v>
      </c>
      <c r="AI17" s="67">
        <f t="shared" si="11"/>
        <v>0</v>
      </c>
      <c r="AJ17" s="77">
        <v>0</v>
      </c>
      <c r="AK17" s="77">
        <v>482.57101</v>
      </c>
      <c r="AL17" s="77">
        <v>0</v>
      </c>
      <c r="AM17" s="77">
        <v>0</v>
      </c>
      <c r="AN17" s="77">
        <v>0</v>
      </c>
      <c r="AO17" s="77">
        <v>435.932296</v>
      </c>
      <c r="AP17" s="67">
        <f t="shared" si="12"/>
        <v>455.92</v>
      </c>
      <c r="AQ17" s="91">
        <f t="shared" si="13"/>
        <v>0.91184</v>
      </c>
      <c r="AR17" s="91">
        <f t="shared" si="14"/>
        <v>0.0151973333333333</v>
      </c>
      <c r="AS17" s="67">
        <f t="shared" si="15"/>
        <v>0</v>
      </c>
      <c r="AT17" s="67">
        <f t="shared" si="16"/>
        <v>0</v>
      </c>
      <c r="AU17" s="67">
        <f t="shared" si="17"/>
        <v>0.45592</v>
      </c>
      <c r="AV17" s="67">
        <f t="shared" si="18"/>
        <v>0.00949833333333333</v>
      </c>
      <c r="AW17" s="67">
        <f t="shared" si="19"/>
        <v>0</v>
      </c>
      <c r="AX17" s="67"/>
      <c r="AY17" s="67"/>
      <c r="AZ17" s="75"/>
    </row>
    <row r="18" spans="1:52">
      <c r="A18" s="64">
        <v>13</v>
      </c>
      <c r="B18" s="65" t="s">
        <v>100</v>
      </c>
      <c r="C18" s="65" t="s">
        <v>100</v>
      </c>
      <c r="D18" s="65" t="s">
        <v>99</v>
      </c>
      <c r="E18" s="65" t="s">
        <v>97</v>
      </c>
      <c r="F18" s="66">
        <v>85.09</v>
      </c>
      <c r="G18" s="67">
        <f t="shared" si="0"/>
        <v>8.52016817487366</v>
      </c>
      <c r="H18" s="67">
        <f t="shared" si="1"/>
        <v>724.98111</v>
      </c>
      <c r="I18" s="75">
        <v>3</v>
      </c>
      <c r="J18" s="75">
        <v>3</v>
      </c>
      <c r="K18" s="76">
        <f t="shared" si="2"/>
        <v>829.881869</v>
      </c>
      <c r="L18" s="76">
        <f t="shared" si="3"/>
        <v>319.341869</v>
      </c>
      <c r="M18" s="75">
        <v>0</v>
      </c>
      <c r="N18" s="77">
        <v>0</v>
      </c>
      <c r="O18" s="75">
        <v>0</v>
      </c>
      <c r="P18" s="67">
        <f t="shared" si="4"/>
        <v>170.18</v>
      </c>
      <c r="Q18" s="77">
        <v>405.639241</v>
      </c>
      <c r="R18" s="67">
        <f t="shared" si="5"/>
        <v>510.54</v>
      </c>
      <c r="S18" s="67">
        <v>0</v>
      </c>
      <c r="T18" s="76">
        <f t="shared" si="6"/>
        <v>319.341869</v>
      </c>
      <c r="U18" s="76"/>
      <c r="V18" s="77">
        <v>0</v>
      </c>
      <c r="W18" s="75">
        <v>0</v>
      </c>
      <c r="X18" s="76"/>
      <c r="Y18" s="77">
        <v>319.341869</v>
      </c>
      <c r="Z18" s="77">
        <v>0</v>
      </c>
      <c r="AA18" s="67">
        <f t="shared" si="7"/>
        <v>0</v>
      </c>
      <c r="AB18" s="77">
        <v>0</v>
      </c>
      <c r="AC18" s="67">
        <f t="shared" si="8"/>
        <v>0</v>
      </c>
      <c r="AD18" s="77">
        <v>0</v>
      </c>
      <c r="AE18" s="67">
        <f t="shared" si="9"/>
        <v>0</v>
      </c>
      <c r="AF18" s="82">
        <v>0</v>
      </c>
      <c r="AG18" s="67">
        <f t="shared" si="10"/>
        <v>0</v>
      </c>
      <c r="AH18" s="77">
        <v>0</v>
      </c>
      <c r="AI18" s="67">
        <f t="shared" si="11"/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67">
        <f t="shared" si="12"/>
        <v>170.18</v>
      </c>
      <c r="AQ18" s="91">
        <f t="shared" si="13"/>
        <v>0.34036</v>
      </c>
      <c r="AR18" s="91">
        <f t="shared" si="14"/>
        <v>0.00567266666666667</v>
      </c>
      <c r="AS18" s="67">
        <f t="shared" si="15"/>
        <v>0</v>
      </c>
      <c r="AT18" s="67">
        <f t="shared" si="16"/>
        <v>0</v>
      </c>
      <c r="AU18" s="67">
        <f t="shared" si="17"/>
        <v>0.17018</v>
      </c>
      <c r="AV18" s="67">
        <f t="shared" si="18"/>
        <v>0.00354541666666667</v>
      </c>
      <c r="AW18" s="67">
        <f t="shared" si="19"/>
        <v>0</v>
      </c>
      <c r="AX18" s="67"/>
      <c r="AY18" s="67"/>
      <c r="AZ18" s="75"/>
    </row>
    <row r="19" spans="1:52">
      <c r="A19" s="64">
        <v>14</v>
      </c>
      <c r="B19" s="65" t="s">
        <v>101</v>
      </c>
      <c r="C19" s="65" t="s">
        <v>101</v>
      </c>
      <c r="D19" s="65" t="s">
        <v>102</v>
      </c>
      <c r="E19" s="65" t="s">
        <v>97</v>
      </c>
      <c r="F19" s="66">
        <v>120.58</v>
      </c>
      <c r="G19" s="67">
        <f t="shared" si="0"/>
        <v>9.57032517001161</v>
      </c>
      <c r="H19" s="67">
        <f t="shared" si="1"/>
        <v>1153.989809</v>
      </c>
      <c r="I19" s="75">
        <v>3</v>
      </c>
      <c r="J19" s="75">
        <v>3</v>
      </c>
      <c r="K19" s="76">
        <f t="shared" si="2"/>
        <v>972.653309</v>
      </c>
      <c r="L19" s="76">
        <f t="shared" si="3"/>
        <v>249.173309</v>
      </c>
      <c r="M19" s="75">
        <v>0</v>
      </c>
      <c r="N19" s="77">
        <v>0</v>
      </c>
      <c r="O19" s="75">
        <v>0</v>
      </c>
      <c r="P19" s="67">
        <f t="shared" si="4"/>
        <v>241.16</v>
      </c>
      <c r="Q19" s="77">
        <v>904.8165</v>
      </c>
      <c r="R19" s="67">
        <f t="shared" si="5"/>
        <v>723.48</v>
      </c>
      <c r="S19" s="67">
        <v>0</v>
      </c>
      <c r="T19" s="76">
        <f t="shared" si="6"/>
        <v>249.173309</v>
      </c>
      <c r="U19" s="76"/>
      <c r="V19" s="77">
        <v>0</v>
      </c>
      <c r="W19" s="75">
        <v>0</v>
      </c>
      <c r="X19" s="76"/>
      <c r="Y19" s="77">
        <v>0</v>
      </c>
      <c r="Z19" s="77">
        <v>0</v>
      </c>
      <c r="AA19" s="67">
        <f t="shared" si="7"/>
        <v>0</v>
      </c>
      <c r="AB19" s="77">
        <v>0</v>
      </c>
      <c r="AC19" s="67">
        <f t="shared" si="8"/>
        <v>0</v>
      </c>
      <c r="AD19" s="77">
        <v>0</v>
      </c>
      <c r="AE19" s="67">
        <f t="shared" si="9"/>
        <v>0</v>
      </c>
      <c r="AF19" s="82">
        <v>0</v>
      </c>
      <c r="AG19" s="67">
        <f t="shared" si="10"/>
        <v>0</v>
      </c>
      <c r="AH19" s="77">
        <v>0</v>
      </c>
      <c r="AI19" s="67">
        <f t="shared" si="11"/>
        <v>0</v>
      </c>
      <c r="AJ19" s="77">
        <v>15.871877</v>
      </c>
      <c r="AK19" s="77">
        <v>0</v>
      </c>
      <c r="AL19" s="77">
        <v>0</v>
      </c>
      <c r="AM19" s="77">
        <v>0</v>
      </c>
      <c r="AN19" s="77">
        <v>0</v>
      </c>
      <c r="AO19" s="77">
        <v>233.301432</v>
      </c>
      <c r="AP19" s="67">
        <f t="shared" si="12"/>
        <v>241.16</v>
      </c>
      <c r="AQ19" s="91">
        <f t="shared" si="13"/>
        <v>0.48232</v>
      </c>
      <c r="AR19" s="91">
        <f t="shared" si="14"/>
        <v>0.00803866666666667</v>
      </c>
      <c r="AS19" s="67">
        <f t="shared" si="15"/>
        <v>0</v>
      </c>
      <c r="AT19" s="67">
        <f t="shared" si="16"/>
        <v>0</v>
      </c>
      <c r="AU19" s="67">
        <f t="shared" si="17"/>
        <v>0.24116</v>
      </c>
      <c r="AV19" s="67">
        <f t="shared" si="18"/>
        <v>0.00502416666666667</v>
      </c>
      <c r="AW19" s="67">
        <f t="shared" si="19"/>
        <v>0</v>
      </c>
      <c r="AX19" s="67"/>
      <c r="AY19" s="67"/>
      <c r="AZ19" s="75"/>
    </row>
    <row r="20" spans="1:52">
      <c r="A20" s="64">
        <v>15</v>
      </c>
      <c r="B20" s="65" t="s">
        <v>103</v>
      </c>
      <c r="C20" s="65" t="s">
        <v>103</v>
      </c>
      <c r="D20" s="65" t="s">
        <v>104</v>
      </c>
      <c r="E20" s="65" t="s">
        <v>102</v>
      </c>
      <c r="F20" s="66">
        <v>53.91</v>
      </c>
      <c r="G20" s="67">
        <f t="shared" si="0"/>
        <v>6.64657842700798</v>
      </c>
      <c r="H20" s="67">
        <f t="shared" si="1"/>
        <v>358.317043</v>
      </c>
      <c r="I20" s="75">
        <v>3</v>
      </c>
      <c r="J20" s="75">
        <v>3</v>
      </c>
      <c r="K20" s="76">
        <f t="shared" si="2"/>
        <v>351.724952</v>
      </c>
      <c r="L20" s="76">
        <f t="shared" si="3"/>
        <v>28.264952</v>
      </c>
      <c r="M20" s="75">
        <v>0</v>
      </c>
      <c r="N20" s="77">
        <v>0</v>
      </c>
      <c r="O20" s="75">
        <v>0</v>
      </c>
      <c r="P20" s="67">
        <f t="shared" si="4"/>
        <v>107.82</v>
      </c>
      <c r="Q20" s="77">
        <v>330.052091</v>
      </c>
      <c r="R20" s="67">
        <f t="shared" si="5"/>
        <v>323.46</v>
      </c>
      <c r="S20" s="67">
        <v>0</v>
      </c>
      <c r="T20" s="76">
        <f t="shared" si="6"/>
        <v>28.264952</v>
      </c>
      <c r="U20" s="76"/>
      <c r="V20" s="77">
        <v>0</v>
      </c>
      <c r="W20" s="75">
        <v>0</v>
      </c>
      <c r="X20" s="76"/>
      <c r="Y20" s="77">
        <v>0</v>
      </c>
      <c r="Z20" s="77">
        <v>0</v>
      </c>
      <c r="AA20" s="67">
        <f t="shared" si="7"/>
        <v>0</v>
      </c>
      <c r="AB20" s="77">
        <v>0</v>
      </c>
      <c r="AC20" s="67">
        <f t="shared" si="8"/>
        <v>0</v>
      </c>
      <c r="AD20" s="77">
        <v>0</v>
      </c>
      <c r="AE20" s="67">
        <f t="shared" si="9"/>
        <v>0</v>
      </c>
      <c r="AF20" s="82">
        <v>0</v>
      </c>
      <c r="AG20" s="67">
        <f t="shared" si="10"/>
        <v>0</v>
      </c>
      <c r="AH20" s="77">
        <v>0</v>
      </c>
      <c r="AI20" s="67">
        <f t="shared" si="11"/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28.264952</v>
      </c>
      <c r="AP20" s="67">
        <f t="shared" si="12"/>
        <v>107.82</v>
      </c>
      <c r="AQ20" s="91">
        <f t="shared" si="13"/>
        <v>0.21564</v>
      </c>
      <c r="AR20" s="91">
        <f t="shared" si="14"/>
        <v>0.003594</v>
      </c>
      <c r="AS20" s="67">
        <f t="shared" si="15"/>
        <v>0</v>
      </c>
      <c r="AT20" s="67">
        <f t="shared" si="16"/>
        <v>0</v>
      </c>
      <c r="AU20" s="67">
        <f t="shared" si="17"/>
        <v>0.10782</v>
      </c>
      <c r="AV20" s="67">
        <f t="shared" si="18"/>
        <v>0.00224625</v>
      </c>
      <c r="AW20" s="67">
        <f t="shared" si="19"/>
        <v>0</v>
      </c>
      <c r="AX20" s="67"/>
      <c r="AY20" s="67"/>
      <c r="AZ20" s="75"/>
    </row>
    <row r="21" spans="1:52">
      <c r="A21" s="64">
        <v>16</v>
      </c>
      <c r="B21" s="65" t="s">
        <v>105</v>
      </c>
      <c r="C21" s="65" t="s">
        <v>105</v>
      </c>
      <c r="D21" s="65" t="s">
        <v>104</v>
      </c>
      <c r="E21" s="65" t="s">
        <v>101</v>
      </c>
      <c r="F21" s="66">
        <v>73.34</v>
      </c>
      <c r="G21" s="67">
        <f t="shared" si="0"/>
        <v>6.78038592855195</v>
      </c>
      <c r="H21" s="67">
        <f t="shared" si="1"/>
        <v>497.273504</v>
      </c>
      <c r="I21" s="75">
        <v>3</v>
      </c>
      <c r="J21" s="75">
        <v>3</v>
      </c>
      <c r="K21" s="76">
        <f t="shared" si="2"/>
        <v>486.2092</v>
      </c>
      <c r="L21" s="76">
        <f t="shared" si="3"/>
        <v>46.1692</v>
      </c>
      <c r="M21" s="75">
        <v>0</v>
      </c>
      <c r="N21" s="77">
        <v>0</v>
      </c>
      <c r="O21" s="75">
        <v>0</v>
      </c>
      <c r="P21" s="67">
        <f t="shared" si="4"/>
        <v>146.68</v>
      </c>
      <c r="Q21" s="77">
        <v>451.104304</v>
      </c>
      <c r="R21" s="67">
        <f t="shared" si="5"/>
        <v>440.04</v>
      </c>
      <c r="S21" s="67">
        <v>0</v>
      </c>
      <c r="T21" s="76">
        <f t="shared" si="6"/>
        <v>46.1692</v>
      </c>
      <c r="U21" s="76"/>
      <c r="V21" s="77">
        <v>0</v>
      </c>
      <c r="W21" s="75">
        <v>0</v>
      </c>
      <c r="X21" s="76"/>
      <c r="Y21" s="77">
        <v>0</v>
      </c>
      <c r="Z21" s="77">
        <v>0</v>
      </c>
      <c r="AA21" s="67">
        <f t="shared" si="7"/>
        <v>0</v>
      </c>
      <c r="AB21" s="77">
        <v>0</v>
      </c>
      <c r="AC21" s="67">
        <f t="shared" si="8"/>
        <v>0</v>
      </c>
      <c r="AD21" s="77">
        <v>0</v>
      </c>
      <c r="AE21" s="67">
        <f t="shared" si="9"/>
        <v>0</v>
      </c>
      <c r="AF21" s="82">
        <v>0</v>
      </c>
      <c r="AG21" s="67">
        <f t="shared" si="10"/>
        <v>0</v>
      </c>
      <c r="AH21" s="77">
        <v>0</v>
      </c>
      <c r="AI21" s="67">
        <f t="shared" si="11"/>
        <v>0</v>
      </c>
      <c r="AJ21" s="77">
        <v>13.422744</v>
      </c>
      <c r="AK21" s="77">
        <v>0</v>
      </c>
      <c r="AL21" s="77">
        <v>0</v>
      </c>
      <c r="AM21" s="77">
        <v>0</v>
      </c>
      <c r="AN21" s="77">
        <v>0</v>
      </c>
      <c r="AO21" s="77">
        <v>32.746456</v>
      </c>
      <c r="AP21" s="67">
        <f t="shared" si="12"/>
        <v>146.68</v>
      </c>
      <c r="AQ21" s="91">
        <f t="shared" si="13"/>
        <v>0.29336</v>
      </c>
      <c r="AR21" s="91">
        <f t="shared" si="14"/>
        <v>0.00488933333333333</v>
      </c>
      <c r="AS21" s="67">
        <f t="shared" si="15"/>
        <v>0</v>
      </c>
      <c r="AT21" s="67">
        <f t="shared" si="16"/>
        <v>0</v>
      </c>
      <c r="AU21" s="67">
        <f t="shared" si="17"/>
        <v>0.14668</v>
      </c>
      <c r="AV21" s="67">
        <f t="shared" si="18"/>
        <v>0.00305583333333333</v>
      </c>
      <c r="AW21" s="67">
        <f t="shared" si="19"/>
        <v>0</v>
      </c>
      <c r="AX21" s="67"/>
      <c r="AY21" s="67"/>
      <c r="AZ21" s="75"/>
    </row>
    <row r="22" spans="1:52">
      <c r="A22" s="64">
        <v>17</v>
      </c>
      <c r="B22" s="65" t="s">
        <v>106</v>
      </c>
      <c r="C22" s="65" t="s">
        <v>106</v>
      </c>
      <c r="D22" s="65" t="s">
        <v>104</v>
      </c>
      <c r="E22" s="65" t="s">
        <v>101</v>
      </c>
      <c r="F22" s="66">
        <v>73.06</v>
      </c>
      <c r="G22" s="67">
        <f t="shared" si="0"/>
        <v>7.08740324390911</v>
      </c>
      <c r="H22" s="67">
        <f t="shared" si="1"/>
        <v>517.805681</v>
      </c>
      <c r="I22" s="75">
        <v>3</v>
      </c>
      <c r="J22" s="75">
        <v>3</v>
      </c>
      <c r="K22" s="76">
        <f t="shared" si="2"/>
        <v>491.650857</v>
      </c>
      <c r="L22" s="76">
        <f t="shared" si="3"/>
        <v>53.290857</v>
      </c>
      <c r="M22" s="75">
        <v>0</v>
      </c>
      <c r="N22" s="77">
        <v>0</v>
      </c>
      <c r="O22" s="75">
        <v>0</v>
      </c>
      <c r="P22" s="67">
        <f t="shared" si="4"/>
        <v>146.12</v>
      </c>
      <c r="Q22" s="77">
        <v>464.514824</v>
      </c>
      <c r="R22" s="67">
        <f t="shared" si="5"/>
        <v>438.36</v>
      </c>
      <c r="S22" s="67">
        <v>0</v>
      </c>
      <c r="T22" s="76">
        <f t="shared" si="6"/>
        <v>53.290857</v>
      </c>
      <c r="U22" s="76"/>
      <c r="V22" s="77">
        <v>0</v>
      </c>
      <c r="W22" s="75">
        <v>0</v>
      </c>
      <c r="X22" s="76"/>
      <c r="Y22" s="77">
        <v>0</v>
      </c>
      <c r="Z22" s="77">
        <v>0</v>
      </c>
      <c r="AA22" s="67">
        <f t="shared" si="7"/>
        <v>0</v>
      </c>
      <c r="AB22" s="77">
        <v>0</v>
      </c>
      <c r="AC22" s="67">
        <f t="shared" si="8"/>
        <v>0</v>
      </c>
      <c r="AD22" s="77">
        <v>0</v>
      </c>
      <c r="AE22" s="67">
        <f t="shared" si="9"/>
        <v>0</v>
      </c>
      <c r="AF22" s="82">
        <v>0</v>
      </c>
      <c r="AG22" s="67">
        <f t="shared" si="10"/>
        <v>0</v>
      </c>
      <c r="AH22" s="77">
        <v>0</v>
      </c>
      <c r="AI22" s="67">
        <f t="shared" si="11"/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53.290857</v>
      </c>
      <c r="AP22" s="67">
        <f t="shared" si="12"/>
        <v>146.12</v>
      </c>
      <c r="AQ22" s="91">
        <f t="shared" si="13"/>
        <v>0.29224</v>
      </c>
      <c r="AR22" s="91">
        <f t="shared" si="14"/>
        <v>0.00487066666666667</v>
      </c>
      <c r="AS22" s="67">
        <f t="shared" si="15"/>
        <v>0</v>
      </c>
      <c r="AT22" s="67">
        <f t="shared" si="16"/>
        <v>0</v>
      </c>
      <c r="AU22" s="67">
        <f t="shared" si="17"/>
        <v>0.14612</v>
      </c>
      <c r="AV22" s="67">
        <f t="shared" si="18"/>
        <v>0.00304416666666667</v>
      </c>
      <c r="AW22" s="67">
        <f t="shared" si="19"/>
        <v>0</v>
      </c>
      <c r="AX22" s="67"/>
      <c r="AY22" s="67"/>
      <c r="AZ22" s="75"/>
    </row>
    <row r="23" spans="1:52">
      <c r="A23" s="64">
        <v>18</v>
      </c>
      <c r="B23" s="65" t="s">
        <v>107</v>
      </c>
      <c r="C23" s="65" t="s">
        <v>107</v>
      </c>
      <c r="D23" s="65" t="s">
        <v>97</v>
      </c>
      <c r="E23" s="65" t="s">
        <v>101</v>
      </c>
      <c r="F23" s="66">
        <v>66.79</v>
      </c>
      <c r="G23" s="67">
        <f t="shared" si="0"/>
        <v>7.49090369815841</v>
      </c>
      <c r="H23" s="67">
        <f t="shared" si="1"/>
        <v>500.317458</v>
      </c>
      <c r="I23" s="75">
        <v>3</v>
      </c>
      <c r="J23" s="75">
        <v>3</v>
      </c>
      <c r="K23" s="76">
        <f t="shared" si="2"/>
        <v>497.936739</v>
      </c>
      <c r="L23" s="76">
        <f t="shared" si="3"/>
        <v>97.196739</v>
      </c>
      <c r="M23" s="75">
        <v>0</v>
      </c>
      <c r="N23" s="77">
        <v>0</v>
      </c>
      <c r="O23" s="75">
        <v>0</v>
      </c>
      <c r="P23" s="67">
        <f t="shared" si="4"/>
        <v>133.58</v>
      </c>
      <c r="Q23" s="77">
        <v>403.120719</v>
      </c>
      <c r="R23" s="67">
        <f t="shared" si="5"/>
        <v>400.74</v>
      </c>
      <c r="S23" s="67">
        <v>0</v>
      </c>
      <c r="T23" s="76">
        <f t="shared" si="6"/>
        <v>97.196739</v>
      </c>
      <c r="U23" s="76"/>
      <c r="V23" s="77">
        <v>0</v>
      </c>
      <c r="W23" s="75">
        <v>0</v>
      </c>
      <c r="X23" s="76"/>
      <c r="Y23" s="77">
        <v>0</v>
      </c>
      <c r="Z23" s="77">
        <v>0</v>
      </c>
      <c r="AA23" s="67">
        <f t="shared" si="7"/>
        <v>0</v>
      </c>
      <c r="AB23" s="77">
        <v>0</v>
      </c>
      <c r="AC23" s="67">
        <f t="shared" si="8"/>
        <v>0</v>
      </c>
      <c r="AD23" s="77">
        <v>0</v>
      </c>
      <c r="AE23" s="67">
        <f t="shared" si="9"/>
        <v>0</v>
      </c>
      <c r="AF23" s="82">
        <v>0</v>
      </c>
      <c r="AG23" s="67">
        <f t="shared" si="10"/>
        <v>0</v>
      </c>
      <c r="AH23" s="77">
        <v>0</v>
      </c>
      <c r="AI23" s="67">
        <f t="shared" si="11"/>
        <v>0</v>
      </c>
      <c r="AJ23" s="77">
        <v>2.076414</v>
      </c>
      <c r="AK23" s="77">
        <v>0</v>
      </c>
      <c r="AL23" s="77">
        <v>0</v>
      </c>
      <c r="AM23" s="77">
        <v>0</v>
      </c>
      <c r="AN23" s="77">
        <v>0</v>
      </c>
      <c r="AO23" s="77">
        <v>95.120325</v>
      </c>
      <c r="AP23" s="67">
        <f t="shared" si="12"/>
        <v>133.58</v>
      </c>
      <c r="AQ23" s="91">
        <f t="shared" si="13"/>
        <v>0.26716</v>
      </c>
      <c r="AR23" s="91">
        <f t="shared" si="14"/>
        <v>0.00445266666666667</v>
      </c>
      <c r="AS23" s="67">
        <f t="shared" si="15"/>
        <v>0</v>
      </c>
      <c r="AT23" s="67">
        <f t="shared" si="16"/>
        <v>0</v>
      </c>
      <c r="AU23" s="67">
        <f t="shared" si="17"/>
        <v>0.13358</v>
      </c>
      <c r="AV23" s="67">
        <f t="shared" si="18"/>
        <v>0.00278291666666667</v>
      </c>
      <c r="AW23" s="67">
        <f t="shared" si="19"/>
        <v>0</v>
      </c>
      <c r="AX23" s="67"/>
      <c r="AY23" s="67"/>
      <c r="AZ23" s="75"/>
    </row>
    <row r="24" spans="1:52">
      <c r="A24" s="64">
        <v>19</v>
      </c>
      <c r="B24" s="65" t="s">
        <v>108</v>
      </c>
      <c r="C24" s="65" t="s">
        <v>108</v>
      </c>
      <c r="D24" s="65" t="s">
        <v>97</v>
      </c>
      <c r="E24" s="65" t="s">
        <v>101</v>
      </c>
      <c r="F24" s="66">
        <v>39.94</v>
      </c>
      <c r="G24" s="67">
        <f t="shared" si="0"/>
        <v>7.63049066099149</v>
      </c>
      <c r="H24" s="67">
        <f t="shared" si="1"/>
        <v>304.761797</v>
      </c>
      <c r="I24" s="75">
        <v>3</v>
      </c>
      <c r="J24" s="75">
        <v>3</v>
      </c>
      <c r="K24" s="76">
        <f t="shared" si="2"/>
        <v>252.112339</v>
      </c>
      <c r="L24" s="76">
        <f t="shared" si="3"/>
        <v>12.472339</v>
      </c>
      <c r="M24" s="75">
        <v>0</v>
      </c>
      <c r="N24" s="77">
        <v>0</v>
      </c>
      <c r="O24" s="75">
        <v>0</v>
      </c>
      <c r="P24" s="67">
        <f t="shared" si="4"/>
        <v>79.88</v>
      </c>
      <c r="Q24" s="77">
        <v>292.289458</v>
      </c>
      <c r="R24" s="67">
        <f t="shared" si="5"/>
        <v>239.64</v>
      </c>
      <c r="S24" s="67">
        <v>0</v>
      </c>
      <c r="T24" s="76">
        <f t="shared" si="6"/>
        <v>12.472339</v>
      </c>
      <c r="U24" s="76"/>
      <c r="V24" s="77">
        <v>0</v>
      </c>
      <c r="W24" s="75">
        <v>0</v>
      </c>
      <c r="X24" s="76"/>
      <c r="Y24" s="77">
        <v>0</v>
      </c>
      <c r="Z24" s="77">
        <v>0</v>
      </c>
      <c r="AA24" s="67">
        <f t="shared" si="7"/>
        <v>0</v>
      </c>
      <c r="AB24" s="77">
        <v>0</v>
      </c>
      <c r="AC24" s="67">
        <f t="shared" si="8"/>
        <v>0</v>
      </c>
      <c r="AD24" s="77">
        <v>0</v>
      </c>
      <c r="AE24" s="67">
        <f t="shared" si="9"/>
        <v>0</v>
      </c>
      <c r="AF24" s="82">
        <v>0</v>
      </c>
      <c r="AG24" s="67">
        <f t="shared" si="10"/>
        <v>0</v>
      </c>
      <c r="AH24" s="77">
        <v>0</v>
      </c>
      <c r="AI24" s="67">
        <f t="shared" si="11"/>
        <v>0</v>
      </c>
      <c r="AJ24" s="77">
        <v>4.693533</v>
      </c>
      <c r="AK24" s="77">
        <v>0</v>
      </c>
      <c r="AL24" s="77">
        <v>0</v>
      </c>
      <c r="AM24" s="77">
        <v>0</v>
      </c>
      <c r="AN24" s="77">
        <v>0</v>
      </c>
      <c r="AO24" s="77">
        <v>7.778806</v>
      </c>
      <c r="AP24" s="67">
        <f t="shared" si="12"/>
        <v>79.88</v>
      </c>
      <c r="AQ24" s="91">
        <f t="shared" si="13"/>
        <v>0.15976</v>
      </c>
      <c r="AR24" s="91">
        <f t="shared" si="14"/>
        <v>0.00266266666666667</v>
      </c>
      <c r="AS24" s="67">
        <f t="shared" si="15"/>
        <v>0</v>
      </c>
      <c r="AT24" s="67">
        <f t="shared" si="16"/>
        <v>0</v>
      </c>
      <c r="AU24" s="67">
        <f t="shared" si="17"/>
        <v>0.07988</v>
      </c>
      <c r="AV24" s="67">
        <f t="shared" si="18"/>
        <v>0.00166416666666667</v>
      </c>
      <c r="AW24" s="67">
        <f t="shared" si="19"/>
        <v>0</v>
      </c>
      <c r="AX24" s="67"/>
      <c r="AY24" s="67"/>
      <c r="AZ24" s="75"/>
    </row>
    <row r="25" spans="1:52">
      <c r="A25" s="64">
        <v>20</v>
      </c>
      <c r="B25" s="65" t="s">
        <v>109</v>
      </c>
      <c r="C25" s="65" t="s">
        <v>109</v>
      </c>
      <c r="D25" s="65" t="s">
        <v>101</v>
      </c>
      <c r="E25" s="65" t="s">
        <v>104</v>
      </c>
      <c r="F25" s="66">
        <v>65.66</v>
      </c>
      <c r="G25" s="67">
        <f t="shared" si="0"/>
        <v>5.48894859884252</v>
      </c>
      <c r="H25" s="67">
        <f t="shared" si="1"/>
        <v>360.404365</v>
      </c>
      <c r="I25" s="75">
        <v>3</v>
      </c>
      <c r="J25" s="75">
        <v>3</v>
      </c>
      <c r="K25" s="76">
        <f t="shared" si="2"/>
        <v>400.103376</v>
      </c>
      <c r="L25" s="76">
        <f t="shared" si="3"/>
        <v>6.143376</v>
      </c>
      <c r="M25" s="75">
        <v>0</v>
      </c>
      <c r="N25" s="77">
        <v>0</v>
      </c>
      <c r="O25" s="75">
        <v>0</v>
      </c>
      <c r="P25" s="67">
        <f t="shared" si="4"/>
        <v>131.32</v>
      </c>
      <c r="Q25" s="77">
        <v>354.260989</v>
      </c>
      <c r="R25" s="67">
        <f t="shared" si="5"/>
        <v>393.96</v>
      </c>
      <c r="S25" s="67">
        <v>0</v>
      </c>
      <c r="T25" s="76">
        <f t="shared" si="6"/>
        <v>6.143376</v>
      </c>
      <c r="U25" s="76"/>
      <c r="V25" s="77">
        <v>0</v>
      </c>
      <c r="W25" s="75">
        <v>0</v>
      </c>
      <c r="X25" s="76"/>
      <c r="Y25" s="77">
        <v>0</v>
      </c>
      <c r="Z25" s="77">
        <v>0</v>
      </c>
      <c r="AA25" s="67">
        <f t="shared" si="7"/>
        <v>0</v>
      </c>
      <c r="AB25" s="77">
        <v>0</v>
      </c>
      <c r="AC25" s="67">
        <f t="shared" si="8"/>
        <v>0</v>
      </c>
      <c r="AD25" s="77">
        <v>0</v>
      </c>
      <c r="AE25" s="67">
        <f t="shared" si="9"/>
        <v>0</v>
      </c>
      <c r="AF25" s="82">
        <v>0</v>
      </c>
      <c r="AG25" s="67">
        <f t="shared" si="10"/>
        <v>0</v>
      </c>
      <c r="AH25" s="77">
        <v>0</v>
      </c>
      <c r="AI25" s="67">
        <f t="shared" si="11"/>
        <v>0</v>
      </c>
      <c r="AJ25" s="77">
        <v>6.143376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67">
        <f t="shared" si="12"/>
        <v>131.32</v>
      </c>
      <c r="AQ25" s="91">
        <f t="shared" si="13"/>
        <v>0.26264</v>
      </c>
      <c r="AR25" s="91">
        <f t="shared" si="14"/>
        <v>0.00437733333333333</v>
      </c>
      <c r="AS25" s="67">
        <f t="shared" si="15"/>
        <v>0</v>
      </c>
      <c r="AT25" s="67">
        <f t="shared" si="16"/>
        <v>0</v>
      </c>
      <c r="AU25" s="67">
        <f t="shared" si="17"/>
        <v>0.13132</v>
      </c>
      <c r="AV25" s="67">
        <f t="shared" si="18"/>
        <v>0.00273583333333333</v>
      </c>
      <c r="AW25" s="67">
        <f t="shared" si="19"/>
        <v>0</v>
      </c>
      <c r="AX25" s="67"/>
      <c r="AY25" s="67"/>
      <c r="AZ25" s="75"/>
    </row>
    <row r="26" spans="1:52">
      <c r="A26" s="64">
        <v>21</v>
      </c>
      <c r="B26" s="65" t="s">
        <v>110</v>
      </c>
      <c r="C26" s="65" t="s">
        <v>110</v>
      </c>
      <c r="D26" s="65" t="s">
        <v>101</v>
      </c>
      <c r="E26" s="65" t="s">
        <v>104</v>
      </c>
      <c r="F26" s="66">
        <v>60.23</v>
      </c>
      <c r="G26" s="67">
        <f t="shared" si="0"/>
        <v>5.28033020089656</v>
      </c>
      <c r="H26" s="67">
        <f t="shared" si="1"/>
        <v>318.034288</v>
      </c>
      <c r="I26" s="75">
        <v>3</v>
      </c>
      <c r="J26" s="75">
        <v>3</v>
      </c>
      <c r="K26" s="76">
        <f t="shared" si="2"/>
        <v>387.624944</v>
      </c>
      <c r="L26" s="76">
        <f t="shared" si="3"/>
        <v>26.244944</v>
      </c>
      <c r="M26" s="75">
        <v>0</v>
      </c>
      <c r="N26" s="77">
        <v>0</v>
      </c>
      <c r="O26" s="75">
        <v>0</v>
      </c>
      <c r="P26" s="67">
        <f t="shared" si="4"/>
        <v>120.46</v>
      </c>
      <c r="Q26" s="77">
        <v>291.789344</v>
      </c>
      <c r="R26" s="67">
        <f t="shared" si="5"/>
        <v>361.38</v>
      </c>
      <c r="S26" s="67">
        <v>0</v>
      </c>
      <c r="T26" s="76">
        <f t="shared" si="6"/>
        <v>26.244944</v>
      </c>
      <c r="U26" s="76"/>
      <c r="V26" s="77">
        <v>0</v>
      </c>
      <c r="W26" s="75">
        <v>0</v>
      </c>
      <c r="X26" s="76"/>
      <c r="Y26" s="77">
        <v>0</v>
      </c>
      <c r="Z26" s="77">
        <v>0</v>
      </c>
      <c r="AA26" s="67">
        <f t="shared" si="7"/>
        <v>0</v>
      </c>
      <c r="AB26" s="77">
        <v>0</v>
      </c>
      <c r="AC26" s="67">
        <f t="shared" si="8"/>
        <v>0</v>
      </c>
      <c r="AD26" s="77">
        <v>0</v>
      </c>
      <c r="AE26" s="67">
        <f t="shared" si="9"/>
        <v>0</v>
      </c>
      <c r="AF26" s="82">
        <v>0</v>
      </c>
      <c r="AG26" s="67">
        <f t="shared" si="10"/>
        <v>0</v>
      </c>
      <c r="AH26" s="77">
        <v>0</v>
      </c>
      <c r="AI26" s="67">
        <f t="shared" si="11"/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26.244944</v>
      </c>
      <c r="AP26" s="67">
        <f t="shared" si="12"/>
        <v>120.46</v>
      </c>
      <c r="AQ26" s="91">
        <f t="shared" si="13"/>
        <v>0.24092</v>
      </c>
      <c r="AR26" s="91">
        <f t="shared" si="14"/>
        <v>0.00401533333333333</v>
      </c>
      <c r="AS26" s="67">
        <f t="shared" si="15"/>
        <v>0</v>
      </c>
      <c r="AT26" s="67">
        <f t="shared" si="16"/>
        <v>0</v>
      </c>
      <c r="AU26" s="67">
        <f t="shared" si="17"/>
        <v>0.12046</v>
      </c>
      <c r="AV26" s="67">
        <f t="shared" si="18"/>
        <v>0.00250958333333333</v>
      </c>
      <c r="AW26" s="67">
        <f t="shared" si="19"/>
        <v>0</v>
      </c>
      <c r="AX26" s="67"/>
      <c r="AY26" s="67"/>
      <c r="AZ26" s="75"/>
    </row>
    <row r="27" spans="1:52">
      <c r="A27" s="64">
        <v>22</v>
      </c>
      <c r="B27" s="65" t="s">
        <v>111</v>
      </c>
      <c r="C27" s="65" t="s">
        <v>111</v>
      </c>
      <c r="D27" s="65" t="s">
        <v>112</v>
      </c>
      <c r="E27" s="65" t="s">
        <v>113</v>
      </c>
      <c r="F27" s="66">
        <v>320.84</v>
      </c>
      <c r="G27" s="67">
        <f t="shared" si="0"/>
        <v>41.6302225314799</v>
      </c>
      <c r="H27" s="67">
        <f t="shared" si="1"/>
        <v>13356.640597</v>
      </c>
      <c r="I27" s="75">
        <v>1</v>
      </c>
      <c r="J27" s="78">
        <v>2</v>
      </c>
      <c r="K27" s="76">
        <f t="shared" si="2"/>
        <v>10425.897135</v>
      </c>
      <c r="L27" s="76">
        <f t="shared" si="3"/>
        <v>8500.857135</v>
      </c>
      <c r="M27" s="75">
        <v>2</v>
      </c>
      <c r="N27" s="77">
        <v>0</v>
      </c>
      <c r="O27" s="75">
        <v>0</v>
      </c>
      <c r="P27" s="67">
        <f t="shared" si="4"/>
        <v>641.68</v>
      </c>
      <c r="Q27" s="77">
        <v>4855.783462</v>
      </c>
      <c r="R27" s="67">
        <f t="shared" si="5"/>
        <v>1925.04</v>
      </c>
      <c r="S27" s="67">
        <v>0</v>
      </c>
      <c r="T27" s="76">
        <f t="shared" si="6"/>
        <v>8500.857135</v>
      </c>
      <c r="U27" s="76"/>
      <c r="V27" s="77">
        <v>0</v>
      </c>
      <c r="W27" s="75">
        <v>0</v>
      </c>
      <c r="X27" s="76"/>
      <c r="Y27" s="77">
        <v>1614.68971</v>
      </c>
      <c r="Z27" s="77">
        <v>0</v>
      </c>
      <c r="AA27" s="67">
        <f t="shared" si="7"/>
        <v>0</v>
      </c>
      <c r="AB27" s="77">
        <v>0</v>
      </c>
      <c r="AC27" s="67">
        <f t="shared" si="8"/>
        <v>0</v>
      </c>
      <c r="AD27" s="77">
        <v>0</v>
      </c>
      <c r="AE27" s="67">
        <f t="shared" si="9"/>
        <v>0</v>
      </c>
      <c r="AF27" s="82">
        <v>0</v>
      </c>
      <c r="AG27" s="67">
        <f t="shared" si="10"/>
        <v>0</v>
      </c>
      <c r="AH27" s="77">
        <v>50.294347</v>
      </c>
      <c r="AI27" s="67">
        <f t="shared" si="11"/>
        <v>100.588694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6785.578731</v>
      </c>
      <c r="AP27" s="67">
        <f t="shared" si="12"/>
        <v>641.68</v>
      </c>
      <c r="AQ27" s="91">
        <f t="shared" si="13"/>
        <v>0</v>
      </c>
      <c r="AR27" s="91">
        <f t="shared" si="14"/>
        <v>0</v>
      </c>
      <c r="AS27" s="67">
        <f t="shared" si="15"/>
        <v>1.28336</v>
      </c>
      <c r="AT27" s="67">
        <f t="shared" si="16"/>
        <v>0.040105</v>
      </c>
      <c r="AU27" s="67">
        <f t="shared" si="17"/>
        <v>0.96252</v>
      </c>
      <c r="AV27" s="67">
        <f t="shared" si="18"/>
        <v>0.0200525</v>
      </c>
      <c r="AW27" s="67">
        <f t="shared" si="19"/>
        <v>0</v>
      </c>
      <c r="AX27" s="67"/>
      <c r="AY27" s="67"/>
      <c r="AZ27" s="75"/>
    </row>
    <row r="28" spans="1:52">
      <c r="A28" s="64">
        <v>23</v>
      </c>
      <c r="B28" s="65" t="s">
        <v>111</v>
      </c>
      <c r="C28" s="65" t="s">
        <v>111</v>
      </c>
      <c r="D28" s="65" t="s">
        <v>102</v>
      </c>
      <c r="E28" s="65" t="s">
        <v>86</v>
      </c>
      <c r="F28" s="66">
        <v>331.04</v>
      </c>
      <c r="G28" s="67">
        <f t="shared" si="0"/>
        <v>38.8489986436684</v>
      </c>
      <c r="H28" s="67">
        <f t="shared" si="1"/>
        <v>12860.572511</v>
      </c>
      <c r="I28" s="75">
        <v>1</v>
      </c>
      <c r="J28" s="75">
        <v>1</v>
      </c>
      <c r="K28" s="76">
        <f t="shared" si="2"/>
        <v>9837.411334</v>
      </c>
      <c r="L28" s="76">
        <f t="shared" si="3"/>
        <v>7851.171334</v>
      </c>
      <c r="M28" s="75">
        <v>2</v>
      </c>
      <c r="N28" s="77">
        <v>0</v>
      </c>
      <c r="O28" s="75">
        <v>0</v>
      </c>
      <c r="P28" s="67">
        <f t="shared" si="4"/>
        <v>662.08</v>
      </c>
      <c r="Q28" s="77">
        <v>5009.401177</v>
      </c>
      <c r="R28" s="67">
        <f t="shared" si="5"/>
        <v>1986.24</v>
      </c>
      <c r="S28" s="67">
        <v>0</v>
      </c>
      <c r="T28" s="76">
        <f t="shared" si="6"/>
        <v>7851.171334</v>
      </c>
      <c r="U28" s="76"/>
      <c r="V28" s="77">
        <v>0</v>
      </c>
      <c r="W28" s="75">
        <v>0</v>
      </c>
      <c r="X28" s="76"/>
      <c r="Y28" s="77">
        <v>1330.875714</v>
      </c>
      <c r="Z28" s="77">
        <v>52.783336</v>
      </c>
      <c r="AA28" s="67">
        <f t="shared" si="7"/>
        <v>105.566672</v>
      </c>
      <c r="AB28" s="77">
        <v>0</v>
      </c>
      <c r="AC28" s="67">
        <f t="shared" si="8"/>
        <v>0</v>
      </c>
      <c r="AD28" s="77">
        <v>0</v>
      </c>
      <c r="AE28" s="67">
        <f t="shared" si="9"/>
        <v>0</v>
      </c>
      <c r="AF28" s="82">
        <v>0</v>
      </c>
      <c r="AG28" s="67">
        <f t="shared" si="10"/>
        <v>0</v>
      </c>
      <c r="AH28" s="77">
        <v>0</v>
      </c>
      <c r="AI28" s="67">
        <f t="shared" si="11"/>
        <v>0</v>
      </c>
      <c r="AJ28" s="77">
        <v>3371.96977</v>
      </c>
      <c r="AK28" s="77">
        <v>0</v>
      </c>
      <c r="AL28" s="77">
        <v>0</v>
      </c>
      <c r="AM28" s="77">
        <v>0</v>
      </c>
      <c r="AN28" s="77">
        <v>0</v>
      </c>
      <c r="AO28" s="77">
        <v>3042.759178</v>
      </c>
      <c r="AP28" s="67">
        <f t="shared" si="12"/>
        <v>662.08</v>
      </c>
      <c r="AQ28" s="91">
        <f t="shared" si="13"/>
        <v>0</v>
      </c>
      <c r="AR28" s="91">
        <f t="shared" si="14"/>
        <v>0</v>
      </c>
      <c r="AS28" s="67">
        <f t="shared" si="15"/>
        <v>1.98624</v>
      </c>
      <c r="AT28" s="67">
        <f t="shared" si="16"/>
        <v>0.06207</v>
      </c>
      <c r="AU28" s="67">
        <f t="shared" si="17"/>
        <v>1.32416</v>
      </c>
      <c r="AV28" s="67">
        <f t="shared" si="18"/>
        <v>0.0275866666666667</v>
      </c>
      <c r="AW28" s="67">
        <f t="shared" si="19"/>
        <v>0.0026391668</v>
      </c>
      <c r="AX28" s="67"/>
      <c r="AY28" s="67"/>
      <c r="AZ28" s="75"/>
    </row>
    <row r="29" spans="1:52">
      <c r="A29" s="64">
        <v>24</v>
      </c>
      <c r="B29" s="65" t="s">
        <v>111</v>
      </c>
      <c r="C29" s="65" t="s">
        <v>111</v>
      </c>
      <c r="D29" s="65" t="s">
        <v>112</v>
      </c>
      <c r="E29" s="65" t="s">
        <v>114</v>
      </c>
      <c r="F29" s="66">
        <v>796.61</v>
      </c>
      <c r="G29" s="67">
        <f t="shared" si="0"/>
        <v>31.1578485921593</v>
      </c>
      <c r="H29" s="67">
        <f t="shared" si="1"/>
        <v>24820.653767</v>
      </c>
      <c r="I29" s="75">
        <v>1</v>
      </c>
      <c r="J29" s="78">
        <v>2</v>
      </c>
      <c r="K29" s="76">
        <f t="shared" si="2"/>
        <v>17550.833355</v>
      </c>
      <c r="L29" s="76">
        <f t="shared" si="3"/>
        <v>12771.173355</v>
      </c>
      <c r="M29" s="75">
        <v>2</v>
      </c>
      <c r="N29" s="77">
        <v>0</v>
      </c>
      <c r="O29" s="75">
        <v>0</v>
      </c>
      <c r="P29" s="67">
        <f t="shared" si="4"/>
        <v>1593.22</v>
      </c>
      <c r="Q29" s="77">
        <v>12049.480412</v>
      </c>
      <c r="R29" s="67">
        <f t="shared" si="5"/>
        <v>4779.66</v>
      </c>
      <c r="S29" s="67">
        <v>0</v>
      </c>
      <c r="T29" s="76">
        <f t="shared" si="6"/>
        <v>12771.173355</v>
      </c>
      <c r="U29" s="76"/>
      <c r="V29" s="77">
        <v>0</v>
      </c>
      <c r="W29" s="75">
        <v>0</v>
      </c>
      <c r="X29" s="76"/>
      <c r="Y29" s="77">
        <v>3464.05085</v>
      </c>
      <c r="Z29" s="77">
        <v>63.679795</v>
      </c>
      <c r="AA29" s="67">
        <f t="shared" si="7"/>
        <v>127.35959</v>
      </c>
      <c r="AB29" s="77">
        <v>0</v>
      </c>
      <c r="AC29" s="67">
        <f t="shared" si="8"/>
        <v>0</v>
      </c>
      <c r="AD29" s="77">
        <v>0</v>
      </c>
      <c r="AE29" s="67">
        <f t="shared" si="9"/>
        <v>0</v>
      </c>
      <c r="AF29" s="82">
        <v>0</v>
      </c>
      <c r="AG29" s="67">
        <f t="shared" si="10"/>
        <v>0</v>
      </c>
      <c r="AH29" s="77">
        <v>0</v>
      </c>
      <c r="AI29" s="67">
        <f t="shared" si="11"/>
        <v>0</v>
      </c>
      <c r="AJ29" s="77">
        <v>2443.101716</v>
      </c>
      <c r="AK29" s="77">
        <v>305.776797</v>
      </c>
      <c r="AL29" s="77">
        <v>0</v>
      </c>
      <c r="AM29" s="77">
        <v>0</v>
      </c>
      <c r="AN29" s="77">
        <v>0</v>
      </c>
      <c r="AO29" s="77">
        <v>6430.884402</v>
      </c>
      <c r="AP29" s="67">
        <f t="shared" si="12"/>
        <v>1593.22</v>
      </c>
      <c r="AQ29" s="91">
        <f t="shared" si="13"/>
        <v>0</v>
      </c>
      <c r="AR29" s="91">
        <f t="shared" si="14"/>
        <v>0</v>
      </c>
      <c r="AS29" s="67">
        <f t="shared" si="15"/>
        <v>3.18644</v>
      </c>
      <c r="AT29" s="67">
        <f t="shared" si="16"/>
        <v>0.09957625</v>
      </c>
      <c r="AU29" s="67">
        <f t="shared" si="17"/>
        <v>2.38983</v>
      </c>
      <c r="AV29" s="67">
        <f t="shared" si="18"/>
        <v>0.049788125</v>
      </c>
      <c r="AW29" s="67">
        <f t="shared" si="19"/>
        <v>0.00318398975</v>
      </c>
      <c r="AX29" s="67"/>
      <c r="AY29" s="67"/>
      <c r="AZ29" s="75"/>
    </row>
    <row r="30" spans="1:52">
      <c r="A30" s="64">
        <v>25</v>
      </c>
      <c r="B30" s="65" t="s">
        <v>111</v>
      </c>
      <c r="C30" s="65" t="s">
        <v>111</v>
      </c>
      <c r="D30" s="65" t="s">
        <v>114</v>
      </c>
      <c r="E30" s="65" t="s">
        <v>102</v>
      </c>
      <c r="F30" s="66">
        <v>338.03</v>
      </c>
      <c r="G30" s="67">
        <f t="shared" si="0"/>
        <v>52.1898589858888</v>
      </c>
      <c r="H30" s="67">
        <f t="shared" si="1"/>
        <v>17641.738033</v>
      </c>
      <c r="I30" s="75">
        <v>1</v>
      </c>
      <c r="J30" s="75">
        <v>1</v>
      </c>
      <c r="K30" s="76">
        <f t="shared" si="2"/>
        <v>14584.449751</v>
      </c>
      <c r="L30" s="76">
        <f t="shared" si="3"/>
        <v>12556.269751</v>
      </c>
      <c r="M30" s="75">
        <v>2</v>
      </c>
      <c r="N30" s="77">
        <v>0</v>
      </c>
      <c r="O30" s="75">
        <v>0</v>
      </c>
      <c r="P30" s="67">
        <f t="shared" si="4"/>
        <v>676.06</v>
      </c>
      <c r="Q30" s="77">
        <v>5085.468282</v>
      </c>
      <c r="R30" s="67">
        <f t="shared" si="5"/>
        <v>2028.18</v>
      </c>
      <c r="S30" s="67">
        <v>0</v>
      </c>
      <c r="T30" s="76">
        <f t="shared" si="6"/>
        <v>12556.269751</v>
      </c>
      <c r="U30" s="76"/>
      <c r="V30" s="77">
        <v>0</v>
      </c>
      <c r="W30" s="75">
        <v>0</v>
      </c>
      <c r="X30" s="76"/>
      <c r="Y30" s="77">
        <v>1345.339476</v>
      </c>
      <c r="Z30" s="77">
        <v>6.635899</v>
      </c>
      <c r="AA30" s="67">
        <f t="shared" si="7"/>
        <v>13.271798</v>
      </c>
      <c r="AB30" s="77">
        <v>0</v>
      </c>
      <c r="AC30" s="67">
        <f t="shared" si="8"/>
        <v>0</v>
      </c>
      <c r="AD30" s="77">
        <v>0</v>
      </c>
      <c r="AE30" s="67">
        <f t="shared" si="9"/>
        <v>0</v>
      </c>
      <c r="AF30" s="82">
        <v>0</v>
      </c>
      <c r="AG30" s="67">
        <f t="shared" si="10"/>
        <v>0</v>
      </c>
      <c r="AH30" s="77">
        <v>0</v>
      </c>
      <c r="AI30" s="67">
        <f t="shared" si="11"/>
        <v>0</v>
      </c>
      <c r="AJ30" s="77">
        <v>6087.91907</v>
      </c>
      <c r="AK30" s="77">
        <v>1745.1731</v>
      </c>
      <c r="AL30" s="77">
        <v>0</v>
      </c>
      <c r="AM30" s="77">
        <v>0</v>
      </c>
      <c r="AN30" s="77">
        <v>0</v>
      </c>
      <c r="AO30" s="77">
        <v>3364.566307</v>
      </c>
      <c r="AP30" s="67">
        <f t="shared" si="12"/>
        <v>676.06</v>
      </c>
      <c r="AQ30" s="91">
        <f t="shared" si="13"/>
        <v>0</v>
      </c>
      <c r="AR30" s="91">
        <f t="shared" si="14"/>
        <v>0</v>
      </c>
      <c r="AS30" s="67">
        <f t="shared" si="15"/>
        <v>2.02818</v>
      </c>
      <c r="AT30" s="67">
        <f t="shared" si="16"/>
        <v>0.063380625</v>
      </c>
      <c r="AU30" s="67">
        <f t="shared" si="17"/>
        <v>1.35212</v>
      </c>
      <c r="AV30" s="67">
        <f t="shared" si="18"/>
        <v>0.0281691666666667</v>
      </c>
      <c r="AW30" s="67">
        <f t="shared" si="19"/>
        <v>0.00033179495</v>
      </c>
      <c r="AX30" s="67"/>
      <c r="AY30" s="67"/>
      <c r="AZ30" s="75"/>
    </row>
    <row r="31" spans="1:52">
      <c r="A31" s="64">
        <v>26</v>
      </c>
      <c r="B31" s="65" t="s">
        <v>115</v>
      </c>
      <c r="C31" s="65" t="s">
        <v>115</v>
      </c>
      <c r="D31" s="65" t="s">
        <v>116</v>
      </c>
      <c r="E31" s="65" t="s">
        <v>117</v>
      </c>
      <c r="F31" s="66">
        <v>981.2</v>
      </c>
      <c r="G31" s="67">
        <f t="shared" si="0"/>
        <v>17.1317664033836</v>
      </c>
      <c r="H31" s="67">
        <f t="shared" si="1"/>
        <v>16809.689195</v>
      </c>
      <c r="I31" s="75">
        <v>3</v>
      </c>
      <c r="J31" s="75">
        <v>3</v>
      </c>
      <c r="K31" s="76">
        <f t="shared" si="2"/>
        <v>7407.28888</v>
      </c>
      <c r="L31" s="76">
        <f t="shared" si="3"/>
        <v>726.820314</v>
      </c>
      <c r="M31" s="75">
        <v>0</v>
      </c>
      <c r="N31" s="77">
        <v>0</v>
      </c>
      <c r="O31" s="75">
        <v>0</v>
      </c>
      <c r="P31" s="67">
        <f t="shared" si="4"/>
        <v>1962.4</v>
      </c>
      <c r="Q31" s="77">
        <v>15289.600315</v>
      </c>
      <c r="R31" s="67">
        <f t="shared" si="5"/>
        <v>5887.2</v>
      </c>
      <c r="S31" s="67">
        <v>0</v>
      </c>
      <c r="T31" s="76">
        <f t="shared" si="6"/>
        <v>726.820314</v>
      </c>
      <c r="U31" s="76"/>
      <c r="V31" s="77">
        <v>103.787608</v>
      </c>
      <c r="W31" s="75">
        <v>1</v>
      </c>
      <c r="X31" s="76"/>
      <c r="Y31" s="77">
        <v>0</v>
      </c>
      <c r="Z31" s="77">
        <v>0</v>
      </c>
      <c r="AA31" s="67">
        <f t="shared" si="7"/>
        <v>0</v>
      </c>
      <c r="AB31" s="77">
        <v>396.634283</v>
      </c>
      <c r="AC31" s="67">
        <f t="shared" si="8"/>
        <v>793.268566</v>
      </c>
      <c r="AD31" s="77">
        <v>45.778037</v>
      </c>
      <c r="AE31" s="67">
        <f t="shared" si="9"/>
        <v>91.556074</v>
      </c>
      <c r="AF31" s="82">
        <v>0</v>
      </c>
      <c r="AG31" s="67">
        <f t="shared" si="10"/>
        <v>0</v>
      </c>
      <c r="AH31" s="77">
        <v>0</v>
      </c>
      <c r="AI31" s="67">
        <f t="shared" si="11"/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531.476632</v>
      </c>
      <c r="AP31" s="67">
        <f t="shared" si="12"/>
        <v>1962.4</v>
      </c>
      <c r="AQ31" s="91">
        <f t="shared" si="13"/>
        <v>3.9248</v>
      </c>
      <c r="AR31" s="91">
        <f t="shared" si="14"/>
        <v>0.0654133333333333</v>
      </c>
      <c r="AS31" s="67">
        <f t="shared" si="15"/>
        <v>0</v>
      </c>
      <c r="AT31" s="67">
        <f t="shared" si="16"/>
        <v>0</v>
      </c>
      <c r="AU31" s="67">
        <f t="shared" si="17"/>
        <v>1.9624</v>
      </c>
      <c r="AV31" s="67">
        <f t="shared" si="18"/>
        <v>0.0408833333333333</v>
      </c>
      <c r="AW31" s="67">
        <f t="shared" si="19"/>
        <v>0.022120616</v>
      </c>
      <c r="AX31" s="67"/>
      <c r="AY31" s="67"/>
      <c r="AZ31" s="75"/>
    </row>
    <row r="32" spans="1:52">
      <c r="A32" s="64">
        <v>27</v>
      </c>
      <c r="B32" s="65" t="s">
        <v>118</v>
      </c>
      <c r="C32" s="65" t="s">
        <v>118</v>
      </c>
      <c r="D32" s="65" t="s">
        <v>111</v>
      </c>
      <c r="E32" s="65" t="s">
        <v>119</v>
      </c>
      <c r="F32" s="66">
        <v>161.62</v>
      </c>
      <c r="G32" s="67">
        <f t="shared" si="0"/>
        <v>14.7676354225962</v>
      </c>
      <c r="H32" s="67">
        <f t="shared" si="1"/>
        <v>2386.745237</v>
      </c>
      <c r="I32" s="75">
        <v>3</v>
      </c>
      <c r="J32" s="75">
        <v>3</v>
      </c>
      <c r="K32" s="76">
        <f t="shared" si="2"/>
        <v>2798.614727</v>
      </c>
      <c r="L32" s="76">
        <f t="shared" si="3"/>
        <v>1828.894727</v>
      </c>
      <c r="M32" s="75">
        <v>0</v>
      </c>
      <c r="N32" s="77">
        <v>0</v>
      </c>
      <c r="O32" s="75">
        <v>0</v>
      </c>
      <c r="P32" s="67">
        <f t="shared" si="4"/>
        <v>323.24</v>
      </c>
      <c r="Q32" s="77">
        <v>557.85051</v>
      </c>
      <c r="R32" s="67">
        <f t="shared" si="5"/>
        <v>969.72</v>
      </c>
      <c r="S32" s="67">
        <v>0</v>
      </c>
      <c r="T32" s="76">
        <f t="shared" si="6"/>
        <v>1828.894727</v>
      </c>
      <c r="U32" s="76"/>
      <c r="V32" s="77">
        <v>0</v>
      </c>
      <c r="W32" s="75">
        <v>0</v>
      </c>
      <c r="X32" s="76"/>
      <c r="Y32" s="77">
        <v>746.778923</v>
      </c>
      <c r="Z32" s="77">
        <v>0</v>
      </c>
      <c r="AA32" s="67">
        <f t="shared" si="7"/>
        <v>0</v>
      </c>
      <c r="AB32" s="77">
        <v>0</v>
      </c>
      <c r="AC32" s="67">
        <f t="shared" si="8"/>
        <v>0</v>
      </c>
      <c r="AD32" s="77">
        <v>0</v>
      </c>
      <c r="AE32" s="67">
        <f t="shared" si="9"/>
        <v>0</v>
      </c>
      <c r="AF32" s="82">
        <v>0</v>
      </c>
      <c r="AG32" s="67">
        <f t="shared" si="10"/>
        <v>0</v>
      </c>
      <c r="AH32" s="77">
        <v>0</v>
      </c>
      <c r="AI32" s="67">
        <f t="shared" si="11"/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1082.115804</v>
      </c>
      <c r="AP32" s="67">
        <f t="shared" si="12"/>
        <v>323.24</v>
      </c>
      <c r="AQ32" s="91">
        <f t="shared" si="13"/>
        <v>0.64648</v>
      </c>
      <c r="AR32" s="91">
        <f t="shared" si="14"/>
        <v>0.0107746666666667</v>
      </c>
      <c r="AS32" s="67">
        <f t="shared" si="15"/>
        <v>0</v>
      </c>
      <c r="AT32" s="67">
        <f t="shared" si="16"/>
        <v>0</v>
      </c>
      <c r="AU32" s="67">
        <f t="shared" si="17"/>
        <v>0.32324</v>
      </c>
      <c r="AV32" s="67">
        <f t="shared" si="18"/>
        <v>0.00673416666666667</v>
      </c>
      <c r="AW32" s="67">
        <f t="shared" si="19"/>
        <v>0</v>
      </c>
      <c r="AX32" s="67"/>
      <c r="AY32" s="67"/>
      <c r="AZ32" s="75"/>
    </row>
    <row r="33" spans="1:52">
      <c r="A33" s="64">
        <v>28</v>
      </c>
      <c r="B33" s="65" t="s">
        <v>120</v>
      </c>
      <c r="C33" s="65" t="s">
        <v>120</v>
      </c>
      <c r="D33" s="65" t="s">
        <v>121</v>
      </c>
      <c r="E33" s="65" t="s">
        <v>119</v>
      </c>
      <c r="F33" s="66">
        <v>179.75</v>
      </c>
      <c r="G33" s="67">
        <f t="shared" si="0"/>
        <v>10.9905195104312</v>
      </c>
      <c r="H33" s="67">
        <f t="shared" si="1"/>
        <v>1975.545882</v>
      </c>
      <c r="I33" s="75">
        <v>3</v>
      </c>
      <c r="J33" s="75">
        <v>3</v>
      </c>
      <c r="K33" s="76">
        <f t="shared" si="2"/>
        <v>2330.738816</v>
      </c>
      <c r="L33" s="76">
        <f t="shared" si="3"/>
        <v>1252.238816</v>
      </c>
      <c r="M33" s="75">
        <v>0</v>
      </c>
      <c r="N33" s="77">
        <v>0</v>
      </c>
      <c r="O33" s="75">
        <v>0</v>
      </c>
      <c r="P33" s="67">
        <f t="shared" si="4"/>
        <v>359.5</v>
      </c>
      <c r="Q33" s="77">
        <v>723.307066</v>
      </c>
      <c r="R33" s="67">
        <f t="shared" si="5"/>
        <v>1078.5</v>
      </c>
      <c r="S33" s="67">
        <v>0</v>
      </c>
      <c r="T33" s="76">
        <f t="shared" si="6"/>
        <v>1252.238816</v>
      </c>
      <c r="U33" s="76"/>
      <c r="V33" s="77">
        <v>0</v>
      </c>
      <c r="W33" s="75">
        <v>0</v>
      </c>
      <c r="X33" s="76"/>
      <c r="Y33" s="77">
        <v>636.334596</v>
      </c>
      <c r="Z33" s="77">
        <v>0</v>
      </c>
      <c r="AA33" s="67">
        <f t="shared" si="7"/>
        <v>0</v>
      </c>
      <c r="AB33" s="77">
        <v>0</v>
      </c>
      <c r="AC33" s="67">
        <f t="shared" si="8"/>
        <v>0</v>
      </c>
      <c r="AD33" s="77">
        <v>0</v>
      </c>
      <c r="AE33" s="67">
        <f t="shared" si="9"/>
        <v>0</v>
      </c>
      <c r="AF33" s="82">
        <v>0</v>
      </c>
      <c r="AG33" s="67">
        <f t="shared" si="10"/>
        <v>0</v>
      </c>
      <c r="AH33" s="77">
        <v>0</v>
      </c>
      <c r="AI33" s="67">
        <f t="shared" si="11"/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615.90422</v>
      </c>
      <c r="AP33" s="67">
        <f t="shared" si="12"/>
        <v>359.5</v>
      </c>
      <c r="AQ33" s="91">
        <f t="shared" si="13"/>
        <v>0.719</v>
      </c>
      <c r="AR33" s="91">
        <f t="shared" si="14"/>
        <v>0.0119833333333333</v>
      </c>
      <c r="AS33" s="67">
        <f t="shared" si="15"/>
        <v>0</v>
      </c>
      <c r="AT33" s="67">
        <f t="shared" si="16"/>
        <v>0</v>
      </c>
      <c r="AU33" s="67">
        <f t="shared" si="17"/>
        <v>0.3595</v>
      </c>
      <c r="AV33" s="67">
        <f t="shared" si="18"/>
        <v>0.00748958333333333</v>
      </c>
      <c r="AW33" s="67">
        <f t="shared" si="19"/>
        <v>0</v>
      </c>
      <c r="AX33" s="67"/>
      <c r="AY33" s="67"/>
      <c r="AZ33" s="75"/>
    </row>
    <row r="34" spans="1:52">
      <c r="A34" s="64">
        <v>29</v>
      </c>
      <c r="B34" s="65" t="s">
        <v>122</v>
      </c>
      <c r="C34" s="65" t="s">
        <v>122</v>
      </c>
      <c r="D34" s="65" t="s">
        <v>121</v>
      </c>
      <c r="E34" s="65" t="s">
        <v>119</v>
      </c>
      <c r="F34" s="66">
        <v>167.46</v>
      </c>
      <c r="G34" s="67">
        <f t="shared" si="0"/>
        <v>10.242967646005</v>
      </c>
      <c r="H34" s="67">
        <f t="shared" si="1"/>
        <v>1715.287362</v>
      </c>
      <c r="I34" s="75">
        <v>3</v>
      </c>
      <c r="J34" s="75">
        <v>3</v>
      </c>
      <c r="K34" s="76">
        <f t="shared" si="2"/>
        <v>2037.487626</v>
      </c>
      <c r="L34" s="76">
        <f t="shared" si="3"/>
        <v>1032.727626</v>
      </c>
      <c r="M34" s="75">
        <v>0</v>
      </c>
      <c r="N34" s="77">
        <v>0</v>
      </c>
      <c r="O34" s="75">
        <v>0</v>
      </c>
      <c r="P34" s="67">
        <f t="shared" si="4"/>
        <v>334.92</v>
      </c>
      <c r="Q34" s="77">
        <v>682.559736</v>
      </c>
      <c r="R34" s="67">
        <f t="shared" si="5"/>
        <v>1004.76</v>
      </c>
      <c r="S34" s="67">
        <v>0</v>
      </c>
      <c r="T34" s="76">
        <f t="shared" si="6"/>
        <v>1032.727626</v>
      </c>
      <c r="U34" s="76"/>
      <c r="V34" s="77">
        <v>0</v>
      </c>
      <c r="W34" s="75">
        <v>0</v>
      </c>
      <c r="X34" s="76"/>
      <c r="Y34" s="77">
        <v>730.849998</v>
      </c>
      <c r="Z34" s="77">
        <v>0</v>
      </c>
      <c r="AA34" s="67">
        <f t="shared" si="7"/>
        <v>0</v>
      </c>
      <c r="AB34" s="77">
        <v>0</v>
      </c>
      <c r="AC34" s="67">
        <f t="shared" si="8"/>
        <v>0</v>
      </c>
      <c r="AD34" s="77">
        <v>0</v>
      </c>
      <c r="AE34" s="67">
        <f t="shared" si="9"/>
        <v>0</v>
      </c>
      <c r="AF34" s="82">
        <v>0</v>
      </c>
      <c r="AG34" s="67">
        <f t="shared" si="10"/>
        <v>0</v>
      </c>
      <c r="AH34" s="77">
        <v>0</v>
      </c>
      <c r="AI34" s="67">
        <f t="shared" si="11"/>
        <v>0</v>
      </c>
      <c r="AJ34" s="77">
        <v>0</v>
      </c>
      <c r="AK34" s="77">
        <v>0</v>
      </c>
      <c r="AL34" s="77">
        <v>0</v>
      </c>
      <c r="AM34" s="77">
        <v>0</v>
      </c>
      <c r="AN34" s="77">
        <v>0</v>
      </c>
      <c r="AO34" s="77">
        <v>301.877628</v>
      </c>
      <c r="AP34" s="67">
        <f t="shared" si="12"/>
        <v>334.92</v>
      </c>
      <c r="AQ34" s="91">
        <f t="shared" si="13"/>
        <v>0.66984</v>
      </c>
      <c r="AR34" s="91">
        <f t="shared" si="14"/>
        <v>0.011164</v>
      </c>
      <c r="AS34" s="67">
        <f t="shared" si="15"/>
        <v>0</v>
      </c>
      <c r="AT34" s="67">
        <f t="shared" si="16"/>
        <v>0</v>
      </c>
      <c r="AU34" s="67">
        <f t="shared" si="17"/>
        <v>0.33492</v>
      </c>
      <c r="AV34" s="67">
        <f t="shared" si="18"/>
        <v>0.0069775</v>
      </c>
      <c r="AW34" s="67">
        <f t="shared" si="19"/>
        <v>0</v>
      </c>
      <c r="AX34" s="67"/>
      <c r="AY34" s="67"/>
      <c r="AZ34" s="75"/>
    </row>
    <row r="35" spans="1:52">
      <c r="A35" s="64">
        <v>30</v>
      </c>
      <c r="B35" s="65" t="s">
        <v>123</v>
      </c>
      <c r="C35" s="65" t="s">
        <v>123</v>
      </c>
      <c r="D35" s="65" t="s">
        <v>124</v>
      </c>
      <c r="E35" s="65" t="s">
        <v>119</v>
      </c>
      <c r="F35" s="66">
        <v>210.32</v>
      </c>
      <c r="G35" s="67">
        <f t="shared" si="0"/>
        <v>7.67668161848612</v>
      </c>
      <c r="H35" s="67">
        <f t="shared" si="1"/>
        <v>1614.559678</v>
      </c>
      <c r="I35" s="75">
        <v>3</v>
      </c>
      <c r="J35" s="75">
        <v>3</v>
      </c>
      <c r="K35" s="76">
        <f t="shared" si="2"/>
        <v>2252.566419</v>
      </c>
      <c r="L35" s="76">
        <f t="shared" si="3"/>
        <v>990.646419</v>
      </c>
      <c r="M35" s="75">
        <v>0</v>
      </c>
      <c r="N35" s="77">
        <v>0</v>
      </c>
      <c r="O35" s="75">
        <v>0</v>
      </c>
      <c r="P35" s="67">
        <f t="shared" si="4"/>
        <v>420.64</v>
      </c>
      <c r="Q35" s="77">
        <v>623.913259</v>
      </c>
      <c r="R35" s="67">
        <f t="shared" si="5"/>
        <v>1261.92</v>
      </c>
      <c r="S35" s="67">
        <v>0</v>
      </c>
      <c r="T35" s="76">
        <f t="shared" si="6"/>
        <v>990.646419</v>
      </c>
      <c r="U35" s="76"/>
      <c r="V35" s="77">
        <v>0</v>
      </c>
      <c r="W35" s="75">
        <v>0</v>
      </c>
      <c r="X35" s="76"/>
      <c r="Y35" s="77">
        <v>530.347968</v>
      </c>
      <c r="Z35" s="77">
        <v>0</v>
      </c>
      <c r="AA35" s="67">
        <f t="shared" si="7"/>
        <v>0</v>
      </c>
      <c r="AB35" s="77">
        <v>0</v>
      </c>
      <c r="AC35" s="67">
        <f t="shared" si="8"/>
        <v>0</v>
      </c>
      <c r="AD35" s="77">
        <v>0</v>
      </c>
      <c r="AE35" s="67">
        <f t="shared" si="9"/>
        <v>0</v>
      </c>
      <c r="AF35" s="82">
        <v>0</v>
      </c>
      <c r="AG35" s="67">
        <f t="shared" si="10"/>
        <v>0</v>
      </c>
      <c r="AH35" s="77">
        <v>0</v>
      </c>
      <c r="AI35" s="67">
        <f t="shared" si="11"/>
        <v>0</v>
      </c>
      <c r="AJ35" s="77">
        <v>0</v>
      </c>
      <c r="AK35" s="77">
        <v>0</v>
      </c>
      <c r="AL35" s="77">
        <v>0</v>
      </c>
      <c r="AM35" s="77">
        <v>0</v>
      </c>
      <c r="AN35" s="77">
        <v>0</v>
      </c>
      <c r="AO35" s="77">
        <v>460.298451</v>
      </c>
      <c r="AP35" s="67">
        <f t="shared" si="12"/>
        <v>420.64</v>
      </c>
      <c r="AQ35" s="91">
        <f t="shared" si="13"/>
        <v>0.84128</v>
      </c>
      <c r="AR35" s="91">
        <f t="shared" si="14"/>
        <v>0.0140213333333333</v>
      </c>
      <c r="AS35" s="67">
        <f t="shared" si="15"/>
        <v>0</v>
      </c>
      <c r="AT35" s="67">
        <f t="shared" si="16"/>
        <v>0</v>
      </c>
      <c r="AU35" s="67">
        <f t="shared" si="17"/>
        <v>0.42064</v>
      </c>
      <c r="AV35" s="67">
        <f t="shared" si="18"/>
        <v>0.00876333333333333</v>
      </c>
      <c r="AW35" s="67">
        <f t="shared" si="19"/>
        <v>0</v>
      </c>
      <c r="AX35" s="67"/>
      <c r="AY35" s="67"/>
      <c r="AZ35" s="75"/>
    </row>
    <row r="36" spans="1:52">
      <c r="A36" s="64">
        <v>31</v>
      </c>
      <c r="B36" s="65" t="s">
        <v>124</v>
      </c>
      <c r="C36" s="65" t="s">
        <v>124</v>
      </c>
      <c r="D36" s="65" t="s">
        <v>125</v>
      </c>
      <c r="E36" s="65" t="s">
        <v>119</v>
      </c>
      <c r="F36" s="66">
        <v>213.4</v>
      </c>
      <c r="G36" s="67">
        <f t="shared" si="0"/>
        <v>8.34001036551078</v>
      </c>
      <c r="H36" s="67">
        <f t="shared" si="1"/>
        <v>1779.758212</v>
      </c>
      <c r="I36" s="75">
        <v>3</v>
      </c>
      <c r="J36" s="75">
        <v>3</v>
      </c>
      <c r="K36" s="76">
        <f t="shared" si="2"/>
        <v>2131.012674</v>
      </c>
      <c r="L36" s="76">
        <f t="shared" si="3"/>
        <v>850.612674</v>
      </c>
      <c r="M36" s="75">
        <v>0</v>
      </c>
      <c r="N36" s="77">
        <v>0</v>
      </c>
      <c r="O36" s="75">
        <v>0</v>
      </c>
      <c r="P36" s="67">
        <f t="shared" si="4"/>
        <v>426.8</v>
      </c>
      <c r="Q36" s="77">
        <v>929.145538</v>
      </c>
      <c r="R36" s="67">
        <f t="shared" si="5"/>
        <v>1280.4</v>
      </c>
      <c r="S36" s="67">
        <v>0</v>
      </c>
      <c r="T36" s="76">
        <f t="shared" si="6"/>
        <v>850.612674</v>
      </c>
      <c r="U36" s="76"/>
      <c r="V36" s="77">
        <v>0</v>
      </c>
      <c r="W36" s="75">
        <v>0</v>
      </c>
      <c r="X36" s="76"/>
      <c r="Y36" s="77">
        <v>582.419393</v>
      </c>
      <c r="Z36" s="77">
        <v>0</v>
      </c>
      <c r="AA36" s="67">
        <f t="shared" si="7"/>
        <v>0</v>
      </c>
      <c r="AB36" s="77">
        <v>0</v>
      </c>
      <c r="AC36" s="67">
        <f t="shared" si="8"/>
        <v>0</v>
      </c>
      <c r="AD36" s="77">
        <v>0</v>
      </c>
      <c r="AE36" s="67">
        <f t="shared" si="9"/>
        <v>0</v>
      </c>
      <c r="AF36" s="82">
        <v>0</v>
      </c>
      <c r="AG36" s="67">
        <f t="shared" si="10"/>
        <v>0</v>
      </c>
      <c r="AH36" s="77">
        <v>0</v>
      </c>
      <c r="AI36" s="67">
        <f t="shared" si="11"/>
        <v>0</v>
      </c>
      <c r="AJ36" s="77">
        <v>0</v>
      </c>
      <c r="AK36" s="77">
        <v>0</v>
      </c>
      <c r="AL36" s="77">
        <v>0</v>
      </c>
      <c r="AM36" s="77">
        <v>0</v>
      </c>
      <c r="AN36" s="77">
        <v>0</v>
      </c>
      <c r="AO36" s="77">
        <v>268.193281</v>
      </c>
      <c r="AP36" s="67">
        <f t="shared" si="12"/>
        <v>426.8</v>
      </c>
      <c r="AQ36" s="91">
        <f t="shared" si="13"/>
        <v>0.8536</v>
      </c>
      <c r="AR36" s="91">
        <f t="shared" si="14"/>
        <v>0.0142266666666667</v>
      </c>
      <c r="AS36" s="67">
        <f t="shared" si="15"/>
        <v>0</v>
      </c>
      <c r="AT36" s="67">
        <f t="shared" si="16"/>
        <v>0</v>
      </c>
      <c r="AU36" s="67">
        <f t="shared" si="17"/>
        <v>0.4268</v>
      </c>
      <c r="AV36" s="67">
        <f t="shared" si="18"/>
        <v>0.00889166666666667</v>
      </c>
      <c r="AW36" s="67">
        <f t="shared" si="19"/>
        <v>0</v>
      </c>
      <c r="AX36" s="67"/>
      <c r="AY36" s="67"/>
      <c r="AZ36" s="75"/>
    </row>
    <row r="37" spans="1:52">
      <c r="A37" s="64">
        <v>32</v>
      </c>
      <c r="B37" s="65" t="s">
        <v>125</v>
      </c>
      <c r="C37" s="65" t="s">
        <v>125</v>
      </c>
      <c r="D37" s="65" t="s">
        <v>111</v>
      </c>
      <c r="E37" s="65" t="s">
        <v>119</v>
      </c>
      <c r="F37" s="66">
        <v>282.95</v>
      </c>
      <c r="G37" s="67">
        <f t="shared" si="0"/>
        <v>7.65495043293868</v>
      </c>
      <c r="H37" s="67">
        <f t="shared" si="1"/>
        <v>2165.968225</v>
      </c>
      <c r="I37" s="75">
        <v>3</v>
      </c>
      <c r="J37" s="75">
        <v>3</v>
      </c>
      <c r="K37" s="76">
        <f t="shared" si="2"/>
        <v>2457.915575</v>
      </c>
      <c r="L37" s="76">
        <f t="shared" si="3"/>
        <v>760.215575</v>
      </c>
      <c r="M37" s="75">
        <v>0</v>
      </c>
      <c r="N37" s="77">
        <v>0</v>
      </c>
      <c r="O37" s="75">
        <v>0</v>
      </c>
      <c r="P37" s="67">
        <f t="shared" si="4"/>
        <v>565.9</v>
      </c>
      <c r="Q37" s="77">
        <v>1405.75265</v>
      </c>
      <c r="R37" s="67">
        <f t="shared" si="5"/>
        <v>1697.7</v>
      </c>
      <c r="S37" s="67">
        <v>0</v>
      </c>
      <c r="T37" s="76">
        <f t="shared" si="6"/>
        <v>760.215575</v>
      </c>
      <c r="U37" s="76"/>
      <c r="V37" s="77">
        <v>55.083625</v>
      </c>
      <c r="W37" s="75">
        <v>0</v>
      </c>
      <c r="X37" s="76"/>
      <c r="Y37" s="77">
        <v>417.891065</v>
      </c>
      <c r="Z37" s="77">
        <v>0</v>
      </c>
      <c r="AA37" s="67">
        <f t="shared" si="7"/>
        <v>0</v>
      </c>
      <c r="AB37" s="77">
        <v>0</v>
      </c>
      <c r="AC37" s="67">
        <f t="shared" si="8"/>
        <v>0</v>
      </c>
      <c r="AD37" s="77">
        <v>36.530908</v>
      </c>
      <c r="AE37" s="67">
        <f t="shared" si="9"/>
        <v>73.061816</v>
      </c>
      <c r="AF37" s="82">
        <v>0</v>
      </c>
      <c r="AG37" s="67">
        <f t="shared" si="10"/>
        <v>0</v>
      </c>
      <c r="AH37" s="77">
        <v>0</v>
      </c>
      <c r="AI37" s="67">
        <f t="shared" si="11"/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214.179069</v>
      </c>
      <c r="AP37" s="67">
        <f t="shared" si="12"/>
        <v>565.9</v>
      </c>
      <c r="AQ37" s="91">
        <f t="shared" si="13"/>
        <v>1.1318</v>
      </c>
      <c r="AR37" s="91">
        <f t="shared" si="14"/>
        <v>0.0188633333333333</v>
      </c>
      <c r="AS37" s="67">
        <f t="shared" si="15"/>
        <v>0</v>
      </c>
      <c r="AT37" s="67">
        <f t="shared" si="16"/>
        <v>0</v>
      </c>
      <c r="AU37" s="67">
        <f t="shared" si="17"/>
        <v>0.5659</v>
      </c>
      <c r="AV37" s="67">
        <f t="shared" si="18"/>
        <v>0.0117895833333333</v>
      </c>
      <c r="AW37" s="67">
        <f t="shared" si="19"/>
        <v>0.0018265454</v>
      </c>
      <c r="AX37" s="67"/>
      <c r="AY37" s="67"/>
      <c r="AZ37" s="75"/>
    </row>
    <row r="38" spans="1:52">
      <c r="A38" s="64">
        <v>33</v>
      </c>
      <c r="B38" s="65" t="s">
        <v>126</v>
      </c>
      <c r="C38" s="65" t="s">
        <v>126</v>
      </c>
      <c r="D38" s="65" t="s">
        <v>125</v>
      </c>
      <c r="E38" s="65" t="s">
        <v>119</v>
      </c>
      <c r="F38" s="66">
        <v>111.04</v>
      </c>
      <c r="G38" s="67">
        <f t="shared" si="0"/>
        <v>8.6858229917147</v>
      </c>
      <c r="H38" s="67">
        <f t="shared" si="1"/>
        <v>964.473785</v>
      </c>
      <c r="I38" s="75">
        <v>3</v>
      </c>
      <c r="J38" s="75">
        <v>3</v>
      </c>
      <c r="K38" s="76">
        <f t="shared" si="2"/>
        <v>1124.968974</v>
      </c>
      <c r="L38" s="76">
        <f t="shared" si="3"/>
        <v>458.728974</v>
      </c>
      <c r="M38" s="75">
        <v>0</v>
      </c>
      <c r="N38" s="77">
        <v>0</v>
      </c>
      <c r="O38" s="75">
        <v>0</v>
      </c>
      <c r="P38" s="67">
        <f t="shared" si="4"/>
        <v>222.08</v>
      </c>
      <c r="Q38" s="77">
        <v>505.744811</v>
      </c>
      <c r="R38" s="67">
        <f t="shared" si="5"/>
        <v>666.24</v>
      </c>
      <c r="S38" s="67">
        <v>0</v>
      </c>
      <c r="T38" s="76">
        <f t="shared" si="6"/>
        <v>458.728974</v>
      </c>
      <c r="U38" s="76"/>
      <c r="V38" s="77">
        <v>0</v>
      </c>
      <c r="W38" s="75">
        <v>0</v>
      </c>
      <c r="X38" s="76"/>
      <c r="Y38" s="77">
        <v>164.234818</v>
      </c>
      <c r="Z38" s="77">
        <v>0</v>
      </c>
      <c r="AA38" s="67">
        <f t="shared" si="7"/>
        <v>0</v>
      </c>
      <c r="AB38" s="77">
        <v>0</v>
      </c>
      <c r="AC38" s="67">
        <f t="shared" si="8"/>
        <v>0</v>
      </c>
      <c r="AD38" s="77">
        <v>0</v>
      </c>
      <c r="AE38" s="67">
        <f t="shared" si="9"/>
        <v>0</v>
      </c>
      <c r="AF38" s="82">
        <v>0</v>
      </c>
      <c r="AG38" s="67">
        <f t="shared" si="10"/>
        <v>0</v>
      </c>
      <c r="AH38" s="77">
        <v>0</v>
      </c>
      <c r="AI38" s="67">
        <f t="shared" si="11"/>
        <v>0</v>
      </c>
      <c r="AJ38" s="77">
        <v>0</v>
      </c>
      <c r="AK38" s="77">
        <v>0</v>
      </c>
      <c r="AL38" s="77">
        <v>0</v>
      </c>
      <c r="AM38" s="77">
        <v>0</v>
      </c>
      <c r="AN38" s="77">
        <v>0</v>
      </c>
      <c r="AO38" s="77">
        <v>294.494156</v>
      </c>
      <c r="AP38" s="67">
        <f t="shared" si="12"/>
        <v>222.08</v>
      </c>
      <c r="AQ38" s="91">
        <f t="shared" si="13"/>
        <v>0.44416</v>
      </c>
      <c r="AR38" s="91">
        <f t="shared" si="14"/>
        <v>0.00740266666666667</v>
      </c>
      <c r="AS38" s="67">
        <f t="shared" si="15"/>
        <v>0</v>
      </c>
      <c r="AT38" s="67">
        <f t="shared" si="16"/>
        <v>0</v>
      </c>
      <c r="AU38" s="67">
        <f t="shared" si="17"/>
        <v>0.22208</v>
      </c>
      <c r="AV38" s="67">
        <f t="shared" si="18"/>
        <v>0.00462666666666667</v>
      </c>
      <c r="AW38" s="67">
        <f t="shared" si="19"/>
        <v>0</v>
      </c>
      <c r="AX38" s="67"/>
      <c r="AY38" s="67"/>
      <c r="AZ38" s="75"/>
    </row>
    <row r="39" spans="1:52">
      <c r="A39" s="64">
        <v>34</v>
      </c>
      <c r="B39" s="65" t="s">
        <v>119</v>
      </c>
      <c r="C39" s="65" t="s">
        <v>119</v>
      </c>
      <c r="D39" s="65" t="s">
        <v>111</v>
      </c>
      <c r="E39" s="65" t="s">
        <v>88</v>
      </c>
      <c r="F39" s="66">
        <v>675.06</v>
      </c>
      <c r="G39" s="67">
        <f t="shared" si="0"/>
        <v>27.3506180517287</v>
      </c>
      <c r="H39" s="67">
        <f t="shared" si="1"/>
        <v>18463.308222</v>
      </c>
      <c r="I39" s="75">
        <v>2</v>
      </c>
      <c r="J39" s="75">
        <v>2</v>
      </c>
      <c r="K39" s="76">
        <f t="shared" si="2"/>
        <v>17632.355766</v>
      </c>
      <c r="L39" s="76">
        <f t="shared" si="3"/>
        <v>13581.995766</v>
      </c>
      <c r="M39" s="75">
        <v>2</v>
      </c>
      <c r="N39" s="77">
        <v>0</v>
      </c>
      <c r="O39" s="75">
        <v>0</v>
      </c>
      <c r="P39" s="67">
        <f t="shared" si="4"/>
        <v>1350.12</v>
      </c>
      <c r="Q39" s="77">
        <v>4881.312456</v>
      </c>
      <c r="R39" s="67">
        <f t="shared" si="5"/>
        <v>4050.36</v>
      </c>
      <c r="S39" s="67">
        <v>0</v>
      </c>
      <c r="T39" s="76">
        <f t="shared" si="6"/>
        <v>13581.995766</v>
      </c>
      <c r="U39" s="76"/>
      <c r="V39" s="77">
        <v>0</v>
      </c>
      <c r="W39" s="75">
        <v>0</v>
      </c>
      <c r="X39" s="76"/>
      <c r="Y39" s="77">
        <v>1914.959819</v>
      </c>
      <c r="Z39" s="77">
        <v>62.42545</v>
      </c>
      <c r="AA39" s="67">
        <f t="shared" si="7"/>
        <v>124.8509</v>
      </c>
      <c r="AB39" s="77">
        <v>0</v>
      </c>
      <c r="AC39" s="67">
        <f t="shared" si="8"/>
        <v>0</v>
      </c>
      <c r="AD39" s="77">
        <v>0</v>
      </c>
      <c r="AE39" s="67">
        <f t="shared" si="9"/>
        <v>0</v>
      </c>
      <c r="AF39" s="82">
        <v>0</v>
      </c>
      <c r="AG39" s="67">
        <f t="shared" si="10"/>
        <v>0</v>
      </c>
      <c r="AH39" s="77">
        <v>0</v>
      </c>
      <c r="AI39" s="67">
        <f t="shared" si="11"/>
        <v>0</v>
      </c>
      <c r="AJ39" s="77">
        <v>1995.64365</v>
      </c>
      <c r="AK39" s="77">
        <v>259.054846</v>
      </c>
      <c r="AL39" s="77">
        <v>0</v>
      </c>
      <c r="AM39" s="77">
        <v>0</v>
      </c>
      <c r="AN39" s="77">
        <v>0</v>
      </c>
      <c r="AO39" s="77">
        <v>9287.486551</v>
      </c>
      <c r="AP39" s="67">
        <f t="shared" si="12"/>
        <v>1350.12</v>
      </c>
      <c r="AQ39" s="91">
        <f t="shared" si="13"/>
        <v>0</v>
      </c>
      <c r="AR39" s="91">
        <f t="shared" si="14"/>
        <v>0</v>
      </c>
      <c r="AS39" s="67">
        <f t="shared" si="15"/>
        <v>2.70024</v>
      </c>
      <c r="AT39" s="67">
        <f t="shared" si="16"/>
        <v>0.0843825</v>
      </c>
      <c r="AU39" s="67">
        <f t="shared" si="17"/>
        <v>2.02518</v>
      </c>
      <c r="AV39" s="67">
        <f t="shared" si="18"/>
        <v>0.04219125</v>
      </c>
      <c r="AW39" s="67">
        <f t="shared" si="19"/>
        <v>0.0031212725</v>
      </c>
      <c r="AX39" s="67"/>
      <c r="AY39" s="67"/>
      <c r="AZ39" s="75"/>
    </row>
    <row r="40" spans="1:52">
      <c r="A40" s="64">
        <v>35</v>
      </c>
      <c r="B40" s="65" t="s">
        <v>119</v>
      </c>
      <c r="C40" s="65" t="s">
        <v>119</v>
      </c>
      <c r="D40" s="65" t="s">
        <v>92</v>
      </c>
      <c r="E40" s="65" t="s">
        <v>111</v>
      </c>
      <c r="F40" s="66">
        <v>235.19</v>
      </c>
      <c r="G40" s="67">
        <f t="shared" si="0"/>
        <v>18.4986038862197</v>
      </c>
      <c r="H40" s="67">
        <f t="shared" si="1"/>
        <v>4350.686648</v>
      </c>
      <c r="I40" s="75">
        <v>2</v>
      </c>
      <c r="J40" s="75">
        <v>2</v>
      </c>
      <c r="K40" s="76">
        <f t="shared" si="2"/>
        <v>2893.636325</v>
      </c>
      <c r="L40" s="76">
        <f t="shared" si="3"/>
        <v>1482.496325</v>
      </c>
      <c r="M40" s="75">
        <v>2</v>
      </c>
      <c r="N40" s="77">
        <v>0</v>
      </c>
      <c r="O40" s="75">
        <v>0</v>
      </c>
      <c r="P40" s="67">
        <f t="shared" si="4"/>
        <v>470.38</v>
      </c>
      <c r="Q40" s="77">
        <v>2868.190323</v>
      </c>
      <c r="R40" s="67">
        <f t="shared" si="5"/>
        <v>1411.14</v>
      </c>
      <c r="S40" s="67">
        <v>0</v>
      </c>
      <c r="T40" s="76">
        <f t="shared" si="6"/>
        <v>1482.496325</v>
      </c>
      <c r="U40" s="76"/>
      <c r="V40" s="77">
        <v>0</v>
      </c>
      <c r="W40" s="75">
        <v>0</v>
      </c>
      <c r="X40" s="76"/>
      <c r="Y40" s="77">
        <v>1482.496325</v>
      </c>
      <c r="Z40" s="77">
        <v>0</v>
      </c>
      <c r="AA40" s="67">
        <f t="shared" si="7"/>
        <v>0</v>
      </c>
      <c r="AB40" s="77">
        <v>0</v>
      </c>
      <c r="AC40" s="67">
        <f t="shared" si="8"/>
        <v>0</v>
      </c>
      <c r="AD40" s="77">
        <v>0</v>
      </c>
      <c r="AE40" s="67">
        <f t="shared" si="9"/>
        <v>0</v>
      </c>
      <c r="AF40" s="82">
        <v>0</v>
      </c>
      <c r="AG40" s="67">
        <f t="shared" si="10"/>
        <v>0</v>
      </c>
      <c r="AH40" s="77">
        <v>0</v>
      </c>
      <c r="AI40" s="67">
        <f t="shared" si="11"/>
        <v>0</v>
      </c>
      <c r="AJ40" s="77">
        <v>0</v>
      </c>
      <c r="AK40" s="77">
        <v>0</v>
      </c>
      <c r="AL40" s="77">
        <v>0</v>
      </c>
      <c r="AM40" s="77">
        <v>0</v>
      </c>
      <c r="AN40" s="77">
        <v>0</v>
      </c>
      <c r="AO40" s="77">
        <v>0</v>
      </c>
      <c r="AP40" s="67">
        <f t="shared" si="12"/>
        <v>470.38</v>
      </c>
      <c r="AQ40" s="91">
        <f t="shared" si="13"/>
        <v>0</v>
      </c>
      <c r="AR40" s="91">
        <f t="shared" si="14"/>
        <v>0</v>
      </c>
      <c r="AS40" s="67">
        <f t="shared" si="15"/>
        <v>0.94076</v>
      </c>
      <c r="AT40" s="67">
        <f t="shared" si="16"/>
        <v>0.02939875</v>
      </c>
      <c r="AU40" s="67">
        <f t="shared" si="17"/>
        <v>0.70557</v>
      </c>
      <c r="AV40" s="67">
        <f t="shared" si="18"/>
        <v>0.014699375</v>
      </c>
      <c r="AW40" s="67">
        <f t="shared" si="19"/>
        <v>0</v>
      </c>
      <c r="AX40" s="67"/>
      <c r="AY40" s="67"/>
      <c r="AZ40" s="75"/>
    </row>
    <row r="41" spans="1:52">
      <c r="A41" s="64">
        <v>36</v>
      </c>
      <c r="B41" s="65" t="s">
        <v>127</v>
      </c>
      <c r="C41" s="65" t="s">
        <v>127</v>
      </c>
      <c r="D41" s="65" t="s">
        <v>119</v>
      </c>
      <c r="E41" s="65" t="s">
        <v>114</v>
      </c>
      <c r="F41" s="66">
        <v>214.81</v>
      </c>
      <c r="G41" s="67">
        <f t="shared" si="0"/>
        <v>10.829396485266</v>
      </c>
      <c r="H41" s="67">
        <f t="shared" si="1"/>
        <v>2326.262659</v>
      </c>
      <c r="I41" s="75">
        <v>3</v>
      </c>
      <c r="J41" s="75">
        <v>3</v>
      </c>
      <c r="K41" s="76">
        <f t="shared" si="2"/>
        <v>1897.770569</v>
      </c>
      <c r="L41" s="76">
        <f t="shared" si="3"/>
        <v>608.910569</v>
      </c>
      <c r="M41" s="75">
        <v>0</v>
      </c>
      <c r="N41" s="77">
        <v>0</v>
      </c>
      <c r="O41" s="75">
        <v>0</v>
      </c>
      <c r="P41" s="67">
        <f t="shared" si="4"/>
        <v>429.62</v>
      </c>
      <c r="Q41" s="77">
        <v>1717.35209</v>
      </c>
      <c r="R41" s="67">
        <f t="shared" si="5"/>
        <v>1288.86</v>
      </c>
      <c r="S41" s="67">
        <v>0</v>
      </c>
      <c r="T41" s="76">
        <f t="shared" si="6"/>
        <v>608.910569</v>
      </c>
      <c r="U41" s="76"/>
      <c r="V41" s="77">
        <v>0</v>
      </c>
      <c r="W41" s="75">
        <v>0</v>
      </c>
      <c r="X41" s="76"/>
      <c r="Y41" s="77">
        <v>224.635679</v>
      </c>
      <c r="Z41" s="77">
        <v>0</v>
      </c>
      <c r="AA41" s="67">
        <f t="shared" si="7"/>
        <v>0</v>
      </c>
      <c r="AB41" s="77">
        <v>0</v>
      </c>
      <c r="AC41" s="67">
        <f t="shared" si="8"/>
        <v>0</v>
      </c>
      <c r="AD41" s="77">
        <v>0</v>
      </c>
      <c r="AE41" s="67">
        <f t="shared" si="9"/>
        <v>0</v>
      </c>
      <c r="AF41" s="82">
        <v>0</v>
      </c>
      <c r="AG41" s="67">
        <f t="shared" si="10"/>
        <v>0</v>
      </c>
      <c r="AH41" s="77">
        <v>0</v>
      </c>
      <c r="AI41" s="67">
        <f t="shared" si="11"/>
        <v>0</v>
      </c>
      <c r="AJ41" s="77">
        <v>368.997599</v>
      </c>
      <c r="AK41" s="77">
        <v>0</v>
      </c>
      <c r="AL41" s="77">
        <v>0</v>
      </c>
      <c r="AM41" s="77">
        <v>0</v>
      </c>
      <c r="AN41" s="77">
        <v>0</v>
      </c>
      <c r="AO41" s="77">
        <v>15.277291</v>
      </c>
      <c r="AP41" s="67">
        <f t="shared" si="12"/>
        <v>429.62</v>
      </c>
      <c r="AQ41" s="91">
        <f t="shared" si="13"/>
        <v>0.85924</v>
      </c>
      <c r="AR41" s="91">
        <f t="shared" si="14"/>
        <v>0.0143206666666667</v>
      </c>
      <c r="AS41" s="67">
        <f t="shared" si="15"/>
        <v>0</v>
      </c>
      <c r="AT41" s="67">
        <f t="shared" si="16"/>
        <v>0</v>
      </c>
      <c r="AU41" s="67">
        <f t="shared" si="17"/>
        <v>0.42962</v>
      </c>
      <c r="AV41" s="67">
        <f t="shared" si="18"/>
        <v>0.00895041666666667</v>
      </c>
      <c r="AW41" s="67">
        <f t="shared" si="19"/>
        <v>0</v>
      </c>
      <c r="AX41" s="67"/>
      <c r="AY41" s="67"/>
      <c r="AZ41" s="75"/>
    </row>
    <row r="42" spans="1:52">
      <c r="A42" s="64">
        <v>37</v>
      </c>
      <c r="B42" s="65" t="s">
        <v>128</v>
      </c>
      <c r="C42" s="65" t="s">
        <v>128</v>
      </c>
      <c r="D42" s="65" t="s">
        <v>111</v>
      </c>
      <c r="E42" s="65" t="s">
        <v>129</v>
      </c>
      <c r="F42" s="66">
        <v>232.57</v>
      </c>
      <c r="G42" s="67">
        <f t="shared" si="0"/>
        <v>6.77325046652621</v>
      </c>
      <c r="H42" s="67">
        <f t="shared" si="1"/>
        <v>1575.254861</v>
      </c>
      <c r="I42" s="75">
        <v>3</v>
      </c>
      <c r="J42" s="75">
        <v>3</v>
      </c>
      <c r="K42" s="76">
        <f t="shared" si="2"/>
        <v>1849.829558</v>
      </c>
      <c r="L42" s="76">
        <f t="shared" si="3"/>
        <v>454.409558</v>
      </c>
      <c r="M42" s="75">
        <v>0</v>
      </c>
      <c r="N42" s="77">
        <v>0</v>
      </c>
      <c r="O42" s="75">
        <v>0</v>
      </c>
      <c r="P42" s="67">
        <f t="shared" si="4"/>
        <v>465.14</v>
      </c>
      <c r="Q42" s="77">
        <v>1120.845303</v>
      </c>
      <c r="R42" s="67">
        <f t="shared" si="5"/>
        <v>1395.42</v>
      </c>
      <c r="S42" s="67">
        <v>0</v>
      </c>
      <c r="T42" s="76">
        <f t="shared" si="6"/>
        <v>454.409558</v>
      </c>
      <c r="U42" s="76"/>
      <c r="V42" s="77">
        <v>0</v>
      </c>
      <c r="W42" s="75">
        <v>0</v>
      </c>
      <c r="X42" s="76"/>
      <c r="Y42" s="77">
        <v>283.949681</v>
      </c>
      <c r="Z42" s="77">
        <v>0</v>
      </c>
      <c r="AA42" s="67">
        <f t="shared" si="7"/>
        <v>0</v>
      </c>
      <c r="AB42" s="77">
        <v>0</v>
      </c>
      <c r="AC42" s="67">
        <f t="shared" si="8"/>
        <v>0</v>
      </c>
      <c r="AD42" s="77">
        <v>0</v>
      </c>
      <c r="AE42" s="67">
        <f t="shared" si="9"/>
        <v>0</v>
      </c>
      <c r="AF42" s="82">
        <v>0</v>
      </c>
      <c r="AG42" s="67">
        <f t="shared" si="10"/>
        <v>0</v>
      </c>
      <c r="AH42" s="77">
        <v>0</v>
      </c>
      <c r="AI42" s="67">
        <f t="shared" si="11"/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170.459877</v>
      </c>
      <c r="AP42" s="67">
        <f t="shared" si="12"/>
        <v>465.14</v>
      </c>
      <c r="AQ42" s="91">
        <f t="shared" si="13"/>
        <v>0.93028</v>
      </c>
      <c r="AR42" s="91">
        <f t="shared" si="14"/>
        <v>0.0155046666666667</v>
      </c>
      <c r="AS42" s="67">
        <f t="shared" si="15"/>
        <v>0</v>
      </c>
      <c r="AT42" s="67">
        <f t="shared" si="16"/>
        <v>0</v>
      </c>
      <c r="AU42" s="67">
        <f t="shared" si="17"/>
        <v>0.46514</v>
      </c>
      <c r="AV42" s="67">
        <f t="shared" si="18"/>
        <v>0.00969041666666667</v>
      </c>
      <c r="AW42" s="67">
        <f t="shared" si="19"/>
        <v>0</v>
      </c>
      <c r="AX42" s="67"/>
      <c r="AY42" s="67"/>
      <c r="AZ42" s="75"/>
    </row>
    <row r="43" spans="1:52">
      <c r="A43" s="64">
        <v>38</v>
      </c>
      <c r="B43" s="65" t="s">
        <v>129</v>
      </c>
      <c r="C43" s="65" t="s">
        <v>129</v>
      </c>
      <c r="D43" s="65" t="s">
        <v>128</v>
      </c>
      <c r="E43" s="65" t="s">
        <v>102</v>
      </c>
      <c r="F43" s="66">
        <v>112.61</v>
      </c>
      <c r="G43" s="67">
        <f t="shared" si="0"/>
        <v>12.2937287363467</v>
      </c>
      <c r="H43" s="67">
        <f t="shared" si="1"/>
        <v>1384.396793</v>
      </c>
      <c r="I43" s="75">
        <v>3</v>
      </c>
      <c r="J43" s="75">
        <v>3</v>
      </c>
      <c r="K43" s="76">
        <f t="shared" si="2"/>
        <v>1159.469862</v>
      </c>
      <c r="L43" s="76">
        <f t="shared" si="3"/>
        <v>483.809862</v>
      </c>
      <c r="M43" s="75">
        <v>0</v>
      </c>
      <c r="N43" s="77">
        <v>0</v>
      </c>
      <c r="O43" s="75">
        <v>0</v>
      </c>
      <c r="P43" s="67">
        <f t="shared" si="4"/>
        <v>225.22</v>
      </c>
      <c r="Q43" s="77">
        <v>900.586931</v>
      </c>
      <c r="R43" s="67">
        <f t="shared" si="5"/>
        <v>675.66</v>
      </c>
      <c r="S43" s="67">
        <v>0</v>
      </c>
      <c r="T43" s="76">
        <f t="shared" si="6"/>
        <v>483.809862</v>
      </c>
      <c r="U43" s="76"/>
      <c r="V43" s="77">
        <v>0</v>
      </c>
      <c r="W43" s="75">
        <v>0</v>
      </c>
      <c r="X43" s="76"/>
      <c r="Y43" s="77">
        <v>0</v>
      </c>
      <c r="Z43" s="77">
        <v>0</v>
      </c>
      <c r="AA43" s="67">
        <f t="shared" si="7"/>
        <v>0</v>
      </c>
      <c r="AB43" s="77">
        <v>0</v>
      </c>
      <c r="AC43" s="67">
        <f t="shared" si="8"/>
        <v>0</v>
      </c>
      <c r="AD43" s="77">
        <v>0</v>
      </c>
      <c r="AE43" s="67">
        <f t="shared" si="9"/>
        <v>0</v>
      </c>
      <c r="AF43" s="82">
        <v>0</v>
      </c>
      <c r="AG43" s="67">
        <f t="shared" si="10"/>
        <v>0</v>
      </c>
      <c r="AH43" s="77">
        <v>0</v>
      </c>
      <c r="AI43" s="67">
        <f t="shared" si="11"/>
        <v>0</v>
      </c>
      <c r="AJ43" s="77">
        <v>36.351799</v>
      </c>
      <c r="AK43" s="77">
        <v>0</v>
      </c>
      <c r="AL43" s="77">
        <v>0</v>
      </c>
      <c r="AM43" s="77">
        <v>0</v>
      </c>
      <c r="AN43" s="77">
        <v>0</v>
      </c>
      <c r="AO43" s="77">
        <v>447.458063</v>
      </c>
      <c r="AP43" s="67">
        <f t="shared" si="12"/>
        <v>225.22</v>
      </c>
      <c r="AQ43" s="91">
        <f t="shared" si="13"/>
        <v>0.45044</v>
      </c>
      <c r="AR43" s="91">
        <f t="shared" si="14"/>
        <v>0.00750733333333333</v>
      </c>
      <c r="AS43" s="67">
        <f t="shared" si="15"/>
        <v>0</v>
      </c>
      <c r="AT43" s="67">
        <f t="shared" si="16"/>
        <v>0</v>
      </c>
      <c r="AU43" s="67">
        <f t="shared" si="17"/>
        <v>0.22522</v>
      </c>
      <c r="AV43" s="67">
        <f t="shared" si="18"/>
        <v>0.00469208333333333</v>
      </c>
      <c r="AW43" s="67">
        <f t="shared" si="19"/>
        <v>0</v>
      </c>
      <c r="AX43" s="67"/>
      <c r="AY43" s="67"/>
      <c r="AZ43" s="75"/>
    </row>
    <row r="44" spans="1:52">
      <c r="A44" s="64">
        <v>39</v>
      </c>
      <c r="B44" s="65" t="s">
        <v>130</v>
      </c>
      <c r="C44" s="65" t="s">
        <v>130</v>
      </c>
      <c r="D44" s="65" t="s">
        <v>128</v>
      </c>
      <c r="E44" s="65" t="s">
        <v>129</v>
      </c>
      <c r="F44" s="66">
        <v>52.94</v>
      </c>
      <c r="G44" s="67">
        <f t="shared" si="0"/>
        <v>19.0693223271628</v>
      </c>
      <c r="H44" s="67">
        <f t="shared" si="1"/>
        <v>1009.529924</v>
      </c>
      <c r="I44" s="75">
        <v>3</v>
      </c>
      <c r="J44" s="75">
        <v>3</v>
      </c>
      <c r="K44" s="76">
        <f t="shared" si="2"/>
        <v>994.495322</v>
      </c>
      <c r="L44" s="76">
        <f t="shared" si="3"/>
        <v>676.855322</v>
      </c>
      <c r="M44" s="75">
        <v>0</v>
      </c>
      <c r="N44" s="77">
        <v>0</v>
      </c>
      <c r="O44" s="75">
        <v>0</v>
      </c>
      <c r="P44" s="67">
        <f t="shared" si="4"/>
        <v>105.88</v>
      </c>
      <c r="Q44" s="77">
        <v>332.674602</v>
      </c>
      <c r="R44" s="67">
        <f t="shared" si="5"/>
        <v>317.64</v>
      </c>
      <c r="S44" s="67">
        <v>0</v>
      </c>
      <c r="T44" s="76">
        <f t="shared" si="6"/>
        <v>676.855322</v>
      </c>
      <c r="U44" s="76"/>
      <c r="V44" s="77">
        <v>0</v>
      </c>
      <c r="W44" s="75">
        <v>0</v>
      </c>
      <c r="X44" s="76"/>
      <c r="Y44" s="77">
        <v>0</v>
      </c>
      <c r="Z44" s="77">
        <v>0</v>
      </c>
      <c r="AA44" s="67">
        <f t="shared" si="7"/>
        <v>0</v>
      </c>
      <c r="AB44" s="77">
        <v>0</v>
      </c>
      <c r="AC44" s="67">
        <f t="shared" si="8"/>
        <v>0</v>
      </c>
      <c r="AD44" s="77">
        <v>0</v>
      </c>
      <c r="AE44" s="67">
        <f t="shared" si="9"/>
        <v>0</v>
      </c>
      <c r="AF44" s="82">
        <v>0</v>
      </c>
      <c r="AG44" s="67">
        <f t="shared" si="10"/>
        <v>0</v>
      </c>
      <c r="AH44" s="77">
        <v>0</v>
      </c>
      <c r="AI44" s="67">
        <f t="shared" si="11"/>
        <v>0</v>
      </c>
      <c r="AJ44" s="77">
        <v>61.349151</v>
      </c>
      <c r="AK44" s="77">
        <v>0</v>
      </c>
      <c r="AL44" s="77">
        <v>0</v>
      </c>
      <c r="AM44" s="77">
        <v>0</v>
      </c>
      <c r="AN44" s="77">
        <v>0</v>
      </c>
      <c r="AO44" s="77">
        <v>615.506171</v>
      </c>
      <c r="AP44" s="67">
        <f t="shared" si="12"/>
        <v>105.88</v>
      </c>
      <c r="AQ44" s="91">
        <f t="shared" si="13"/>
        <v>0.21176</v>
      </c>
      <c r="AR44" s="91">
        <f t="shared" si="14"/>
        <v>0.00352933333333333</v>
      </c>
      <c r="AS44" s="67">
        <f t="shared" si="15"/>
        <v>0</v>
      </c>
      <c r="AT44" s="67">
        <f t="shared" si="16"/>
        <v>0</v>
      </c>
      <c r="AU44" s="67">
        <f t="shared" si="17"/>
        <v>0.10588</v>
      </c>
      <c r="AV44" s="67">
        <f t="shared" si="18"/>
        <v>0.00220583333333333</v>
      </c>
      <c r="AW44" s="67">
        <f t="shared" si="19"/>
        <v>0</v>
      </c>
      <c r="AX44" s="67"/>
      <c r="AY44" s="67"/>
      <c r="AZ44" s="75"/>
    </row>
    <row r="45" spans="1:52">
      <c r="A45" s="64">
        <v>40</v>
      </c>
      <c r="B45" s="65" t="s">
        <v>131</v>
      </c>
      <c r="C45" s="65" t="s">
        <v>131</v>
      </c>
      <c r="D45" s="65" t="s">
        <v>128</v>
      </c>
      <c r="E45" s="65" t="s">
        <v>132</v>
      </c>
      <c r="F45" s="66">
        <v>51.04</v>
      </c>
      <c r="G45" s="67">
        <f t="shared" si="0"/>
        <v>19.6295080329154</v>
      </c>
      <c r="H45" s="67">
        <f t="shared" si="1"/>
        <v>1001.89009</v>
      </c>
      <c r="I45" s="75">
        <v>3</v>
      </c>
      <c r="J45" s="75">
        <v>3</v>
      </c>
      <c r="K45" s="76">
        <f t="shared" si="2"/>
        <v>1059.17634</v>
      </c>
      <c r="L45" s="76">
        <f t="shared" si="3"/>
        <v>752.93634</v>
      </c>
      <c r="M45" s="75">
        <v>0</v>
      </c>
      <c r="N45" s="77">
        <v>0</v>
      </c>
      <c r="O45" s="75">
        <v>0</v>
      </c>
      <c r="P45" s="67">
        <f t="shared" si="4"/>
        <v>102.08</v>
      </c>
      <c r="Q45" s="77">
        <v>248.95375</v>
      </c>
      <c r="R45" s="67">
        <f t="shared" si="5"/>
        <v>306.24</v>
      </c>
      <c r="S45" s="67">
        <v>0</v>
      </c>
      <c r="T45" s="76">
        <f t="shared" si="6"/>
        <v>752.93634</v>
      </c>
      <c r="U45" s="76"/>
      <c r="V45" s="77">
        <v>0</v>
      </c>
      <c r="W45" s="75">
        <v>0</v>
      </c>
      <c r="X45" s="76"/>
      <c r="Y45" s="77">
        <v>0</v>
      </c>
      <c r="Z45" s="77">
        <v>0</v>
      </c>
      <c r="AA45" s="67">
        <f t="shared" si="7"/>
        <v>0</v>
      </c>
      <c r="AB45" s="77">
        <v>0</v>
      </c>
      <c r="AC45" s="67">
        <f t="shared" si="8"/>
        <v>0</v>
      </c>
      <c r="AD45" s="77">
        <v>0</v>
      </c>
      <c r="AE45" s="67">
        <f t="shared" si="9"/>
        <v>0</v>
      </c>
      <c r="AF45" s="82">
        <v>0</v>
      </c>
      <c r="AG45" s="67">
        <f t="shared" si="10"/>
        <v>0</v>
      </c>
      <c r="AH45" s="77">
        <v>0</v>
      </c>
      <c r="AI45" s="67">
        <f t="shared" si="11"/>
        <v>0</v>
      </c>
      <c r="AJ45" s="77">
        <v>56.425481</v>
      </c>
      <c r="AK45" s="77">
        <v>154.754325</v>
      </c>
      <c r="AL45" s="77">
        <v>0</v>
      </c>
      <c r="AM45" s="77">
        <v>0</v>
      </c>
      <c r="AN45" s="77">
        <v>0</v>
      </c>
      <c r="AO45" s="77">
        <v>541.756534</v>
      </c>
      <c r="AP45" s="67">
        <f t="shared" si="12"/>
        <v>102.08</v>
      </c>
      <c r="AQ45" s="91">
        <f t="shared" si="13"/>
        <v>0.20416</v>
      </c>
      <c r="AR45" s="91">
        <f t="shared" si="14"/>
        <v>0.00340266666666667</v>
      </c>
      <c r="AS45" s="67">
        <f t="shared" si="15"/>
        <v>0</v>
      </c>
      <c r="AT45" s="67">
        <f t="shared" si="16"/>
        <v>0</v>
      </c>
      <c r="AU45" s="67">
        <f t="shared" si="17"/>
        <v>0.10208</v>
      </c>
      <c r="AV45" s="67">
        <f t="shared" si="18"/>
        <v>0.00212666666666667</v>
      </c>
      <c r="AW45" s="67">
        <f t="shared" si="19"/>
        <v>0</v>
      </c>
      <c r="AX45" s="67"/>
      <c r="AY45" s="67"/>
      <c r="AZ45" s="75"/>
    </row>
    <row r="46" spans="1:52">
      <c r="A46" s="64">
        <v>41</v>
      </c>
      <c r="B46" s="65" t="s">
        <v>133</v>
      </c>
      <c r="C46" s="65" t="s">
        <v>133</v>
      </c>
      <c r="D46" s="65" t="s">
        <v>119</v>
      </c>
      <c r="E46" s="65" t="s">
        <v>127</v>
      </c>
      <c r="F46" s="66">
        <v>154.88</v>
      </c>
      <c r="G46" s="67">
        <f t="shared" si="0"/>
        <v>14.8837656508264</v>
      </c>
      <c r="H46" s="67">
        <f t="shared" si="1"/>
        <v>2305.197624</v>
      </c>
      <c r="I46" s="75">
        <v>3</v>
      </c>
      <c r="J46" s="75">
        <v>3</v>
      </c>
      <c r="K46" s="76">
        <f t="shared" si="2"/>
        <v>2031.637392</v>
      </c>
      <c r="L46" s="76">
        <f t="shared" si="3"/>
        <v>1102.357392</v>
      </c>
      <c r="M46" s="75">
        <v>0</v>
      </c>
      <c r="N46" s="77">
        <v>0</v>
      </c>
      <c r="O46" s="75">
        <v>0</v>
      </c>
      <c r="P46" s="67">
        <f t="shared" si="4"/>
        <v>309.76</v>
      </c>
      <c r="Q46" s="77">
        <v>1202.840232</v>
      </c>
      <c r="R46" s="67">
        <f t="shared" si="5"/>
        <v>929.28</v>
      </c>
      <c r="S46" s="67">
        <v>0</v>
      </c>
      <c r="T46" s="76">
        <f t="shared" si="6"/>
        <v>1102.357392</v>
      </c>
      <c r="U46" s="76"/>
      <c r="V46" s="77">
        <v>0</v>
      </c>
      <c r="W46" s="75">
        <v>0</v>
      </c>
      <c r="X46" s="76"/>
      <c r="Y46" s="77">
        <v>1102.357392</v>
      </c>
      <c r="Z46" s="77">
        <v>0</v>
      </c>
      <c r="AA46" s="67">
        <f t="shared" si="7"/>
        <v>0</v>
      </c>
      <c r="AB46" s="77">
        <v>0</v>
      </c>
      <c r="AC46" s="67">
        <f t="shared" si="8"/>
        <v>0</v>
      </c>
      <c r="AD46" s="77">
        <v>0</v>
      </c>
      <c r="AE46" s="67">
        <f t="shared" si="9"/>
        <v>0</v>
      </c>
      <c r="AF46" s="82">
        <v>0</v>
      </c>
      <c r="AG46" s="67">
        <f t="shared" si="10"/>
        <v>0</v>
      </c>
      <c r="AH46" s="77">
        <v>0</v>
      </c>
      <c r="AI46" s="67">
        <f t="shared" si="11"/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67">
        <f t="shared" si="12"/>
        <v>309.76</v>
      </c>
      <c r="AQ46" s="91">
        <f t="shared" si="13"/>
        <v>0.61952</v>
      </c>
      <c r="AR46" s="91">
        <f t="shared" si="14"/>
        <v>0.0103253333333333</v>
      </c>
      <c r="AS46" s="67">
        <f t="shared" si="15"/>
        <v>0</v>
      </c>
      <c r="AT46" s="67">
        <f t="shared" si="16"/>
        <v>0</v>
      </c>
      <c r="AU46" s="67">
        <f t="shared" si="17"/>
        <v>0.30976</v>
      </c>
      <c r="AV46" s="67">
        <f t="shared" si="18"/>
        <v>0.00645333333333333</v>
      </c>
      <c r="AW46" s="67">
        <f t="shared" si="19"/>
        <v>0</v>
      </c>
      <c r="AX46" s="67"/>
      <c r="AY46" s="67"/>
      <c r="AZ46" s="75"/>
    </row>
    <row r="47" spans="1:52">
      <c r="A47" s="64">
        <v>42</v>
      </c>
      <c r="B47" s="65" t="s">
        <v>134</v>
      </c>
      <c r="C47" s="65" t="s">
        <v>134</v>
      </c>
      <c r="D47" s="65" t="s">
        <v>80</v>
      </c>
      <c r="E47" s="65" t="s">
        <v>135</v>
      </c>
      <c r="F47" s="66">
        <v>515.2</v>
      </c>
      <c r="G47" s="67">
        <f t="shared" si="0"/>
        <v>13.8995397612578</v>
      </c>
      <c r="H47" s="67">
        <f t="shared" si="1"/>
        <v>7161.042885</v>
      </c>
      <c r="I47" s="75">
        <v>2</v>
      </c>
      <c r="J47" s="78">
        <v>3</v>
      </c>
      <c r="K47" s="76">
        <f t="shared" si="2"/>
        <v>6343.752348</v>
      </c>
      <c r="L47" s="76">
        <f t="shared" si="3"/>
        <v>3191.058674</v>
      </c>
      <c r="M47" s="75">
        <v>2</v>
      </c>
      <c r="N47" s="77">
        <v>0</v>
      </c>
      <c r="O47" s="75">
        <v>0</v>
      </c>
      <c r="P47" s="67">
        <f t="shared" si="4"/>
        <v>1030.4</v>
      </c>
      <c r="Q47" s="77">
        <v>3908.490537</v>
      </c>
      <c r="R47" s="67">
        <f t="shared" si="5"/>
        <v>3091.2</v>
      </c>
      <c r="S47" s="67">
        <v>0</v>
      </c>
      <c r="T47" s="76">
        <f t="shared" si="6"/>
        <v>3191.058674</v>
      </c>
      <c r="U47" s="76"/>
      <c r="V47" s="77">
        <v>0</v>
      </c>
      <c r="W47" s="75">
        <v>0</v>
      </c>
      <c r="X47" s="76"/>
      <c r="Y47" s="77">
        <v>703.423889</v>
      </c>
      <c r="Z47" s="77">
        <v>0</v>
      </c>
      <c r="AA47" s="67">
        <f t="shared" si="7"/>
        <v>0</v>
      </c>
      <c r="AB47" s="77">
        <v>30.746837</v>
      </c>
      <c r="AC47" s="67">
        <f t="shared" si="8"/>
        <v>61.493674</v>
      </c>
      <c r="AD47" s="77">
        <v>0</v>
      </c>
      <c r="AE47" s="67">
        <f t="shared" si="9"/>
        <v>0</v>
      </c>
      <c r="AF47" s="82">
        <v>0</v>
      </c>
      <c r="AG47" s="67">
        <f t="shared" si="10"/>
        <v>0</v>
      </c>
      <c r="AH47" s="77">
        <v>0</v>
      </c>
      <c r="AI47" s="67">
        <f t="shared" si="11"/>
        <v>0</v>
      </c>
      <c r="AJ47" s="77">
        <v>1275.275853</v>
      </c>
      <c r="AK47" s="77">
        <v>0</v>
      </c>
      <c r="AL47" s="77">
        <v>0</v>
      </c>
      <c r="AM47" s="77">
        <v>0</v>
      </c>
      <c r="AN47" s="77">
        <v>0</v>
      </c>
      <c r="AO47" s="77">
        <v>1212.358932</v>
      </c>
      <c r="AP47" s="67">
        <f t="shared" si="12"/>
        <v>1030.4</v>
      </c>
      <c r="AQ47" s="91">
        <f t="shared" si="13"/>
        <v>2.0608</v>
      </c>
      <c r="AR47" s="91">
        <f t="shared" si="14"/>
        <v>0.0343466666666667</v>
      </c>
      <c r="AS47" s="67">
        <f t="shared" si="15"/>
        <v>0</v>
      </c>
      <c r="AT47" s="67">
        <f t="shared" si="16"/>
        <v>0</v>
      </c>
      <c r="AU47" s="67">
        <f t="shared" si="17"/>
        <v>1.0304</v>
      </c>
      <c r="AV47" s="67">
        <f t="shared" si="18"/>
        <v>0.0214666666666667</v>
      </c>
      <c r="AW47" s="67">
        <f t="shared" si="19"/>
        <v>0.00153734185</v>
      </c>
      <c r="AX47" s="67"/>
      <c r="AY47" s="67"/>
      <c r="AZ47" s="75"/>
    </row>
    <row r="48" spans="1:52">
      <c r="A48" s="64">
        <v>43</v>
      </c>
      <c r="B48" s="65" t="s">
        <v>136</v>
      </c>
      <c r="C48" s="65" t="s">
        <v>136</v>
      </c>
      <c r="D48" s="65" t="s">
        <v>137</v>
      </c>
      <c r="E48" s="65" t="s">
        <v>138</v>
      </c>
      <c r="F48" s="66">
        <v>239.65</v>
      </c>
      <c r="G48" s="67">
        <f t="shared" si="0"/>
        <v>9.01893335697893</v>
      </c>
      <c r="H48" s="67">
        <f t="shared" si="1"/>
        <v>2161.387379</v>
      </c>
      <c r="I48" s="75">
        <v>2</v>
      </c>
      <c r="J48" s="78">
        <v>3</v>
      </c>
      <c r="K48" s="76">
        <f t="shared" si="2"/>
        <v>2428.663001</v>
      </c>
      <c r="L48" s="76">
        <f t="shared" si="3"/>
        <v>990.763001</v>
      </c>
      <c r="M48" s="75">
        <v>0</v>
      </c>
      <c r="N48" s="77">
        <v>0</v>
      </c>
      <c r="O48" s="75">
        <v>0</v>
      </c>
      <c r="P48" s="67">
        <f t="shared" si="4"/>
        <v>479.3</v>
      </c>
      <c r="Q48" s="77">
        <v>1170.624378</v>
      </c>
      <c r="R48" s="67">
        <f t="shared" si="5"/>
        <v>1437.9</v>
      </c>
      <c r="S48" s="67">
        <v>0</v>
      </c>
      <c r="T48" s="76">
        <f t="shared" si="6"/>
        <v>990.763001</v>
      </c>
      <c r="U48" s="76"/>
      <c r="V48" s="77">
        <v>0</v>
      </c>
      <c r="W48" s="75">
        <v>0</v>
      </c>
      <c r="X48" s="76"/>
      <c r="Y48" s="77">
        <v>689.434496</v>
      </c>
      <c r="Z48" s="77">
        <v>0</v>
      </c>
      <c r="AA48" s="67">
        <f t="shared" si="7"/>
        <v>0</v>
      </c>
      <c r="AB48" s="77">
        <v>0</v>
      </c>
      <c r="AC48" s="67">
        <f t="shared" si="8"/>
        <v>0</v>
      </c>
      <c r="AD48" s="77">
        <v>0</v>
      </c>
      <c r="AE48" s="67">
        <f t="shared" si="9"/>
        <v>0</v>
      </c>
      <c r="AF48" s="82">
        <v>0</v>
      </c>
      <c r="AG48" s="67">
        <f t="shared" si="10"/>
        <v>0</v>
      </c>
      <c r="AH48" s="77">
        <v>36.507247</v>
      </c>
      <c r="AI48" s="67">
        <f t="shared" si="11"/>
        <v>73.014494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  <c r="AO48" s="77">
        <v>228.314011</v>
      </c>
      <c r="AP48" s="67">
        <f t="shared" si="12"/>
        <v>479.3</v>
      </c>
      <c r="AQ48" s="91">
        <f t="shared" si="13"/>
        <v>0.9586</v>
      </c>
      <c r="AR48" s="91">
        <f t="shared" si="14"/>
        <v>0.0159766666666667</v>
      </c>
      <c r="AS48" s="67">
        <f t="shared" si="15"/>
        <v>0</v>
      </c>
      <c r="AT48" s="67">
        <f t="shared" si="16"/>
        <v>0</v>
      </c>
      <c r="AU48" s="67">
        <f t="shared" si="17"/>
        <v>0.4793</v>
      </c>
      <c r="AV48" s="67">
        <f t="shared" si="18"/>
        <v>0.00998541666666667</v>
      </c>
      <c r="AW48" s="67">
        <f t="shared" si="19"/>
        <v>0</v>
      </c>
      <c r="AX48" s="67"/>
      <c r="AY48" s="67"/>
      <c r="AZ48" s="75"/>
    </row>
    <row r="49" spans="1:52">
      <c r="A49" s="64">
        <v>44</v>
      </c>
      <c r="B49" s="65" t="s">
        <v>85</v>
      </c>
      <c r="C49" s="65" t="s">
        <v>85</v>
      </c>
      <c r="D49" s="65" t="s">
        <v>139</v>
      </c>
      <c r="E49" s="65" t="s">
        <v>140</v>
      </c>
      <c r="F49" s="66">
        <v>549.04</v>
      </c>
      <c r="G49" s="67">
        <f t="shared" si="0"/>
        <v>35.1258081669824</v>
      </c>
      <c r="H49" s="67">
        <f t="shared" si="1"/>
        <v>19285.473716</v>
      </c>
      <c r="I49" s="75">
        <v>2</v>
      </c>
      <c r="J49" s="78">
        <v>3</v>
      </c>
      <c r="K49" s="76">
        <f t="shared" si="2"/>
        <v>14460.695358</v>
      </c>
      <c r="L49" s="76">
        <f t="shared" si="3"/>
        <v>11166.455358</v>
      </c>
      <c r="M49" s="75">
        <v>0</v>
      </c>
      <c r="N49" s="77">
        <v>0</v>
      </c>
      <c r="O49" s="75">
        <v>0</v>
      </c>
      <c r="P49" s="67">
        <f t="shared" si="4"/>
        <v>1098.08</v>
      </c>
      <c r="Q49" s="77">
        <v>8119.018358</v>
      </c>
      <c r="R49" s="67">
        <f t="shared" si="5"/>
        <v>3294.24</v>
      </c>
      <c r="S49" s="67">
        <v>0</v>
      </c>
      <c r="T49" s="76">
        <f t="shared" si="6"/>
        <v>11166.455358</v>
      </c>
      <c r="U49" s="76"/>
      <c r="V49" s="77">
        <v>0</v>
      </c>
      <c r="W49" s="75">
        <v>0</v>
      </c>
      <c r="X49" s="76"/>
      <c r="Y49" s="77">
        <v>1859.632388</v>
      </c>
      <c r="Z49" s="77">
        <v>0</v>
      </c>
      <c r="AA49" s="67">
        <f t="shared" si="7"/>
        <v>0</v>
      </c>
      <c r="AB49" s="77">
        <v>0</v>
      </c>
      <c r="AC49" s="67">
        <f t="shared" si="8"/>
        <v>0</v>
      </c>
      <c r="AD49" s="77">
        <v>0</v>
      </c>
      <c r="AE49" s="67">
        <f t="shared" si="9"/>
        <v>0</v>
      </c>
      <c r="AF49" s="82">
        <v>0</v>
      </c>
      <c r="AG49" s="67">
        <f t="shared" si="10"/>
        <v>0</v>
      </c>
      <c r="AH49" s="77">
        <v>0</v>
      </c>
      <c r="AI49" s="67">
        <f t="shared" si="11"/>
        <v>0</v>
      </c>
      <c r="AJ49" s="77">
        <v>5319.853684</v>
      </c>
      <c r="AK49" s="77">
        <v>0</v>
      </c>
      <c r="AL49" s="77">
        <v>0</v>
      </c>
      <c r="AM49" s="77">
        <v>0</v>
      </c>
      <c r="AN49" s="77">
        <v>0</v>
      </c>
      <c r="AO49" s="77">
        <v>3986.969286</v>
      </c>
      <c r="AP49" s="67">
        <f t="shared" si="12"/>
        <v>1098.08</v>
      </c>
      <c r="AQ49" s="91">
        <f t="shared" si="13"/>
        <v>2.19616</v>
      </c>
      <c r="AR49" s="91">
        <f t="shared" si="14"/>
        <v>0.0366026666666667</v>
      </c>
      <c r="AS49" s="67">
        <f t="shared" si="15"/>
        <v>0</v>
      </c>
      <c r="AT49" s="67">
        <f t="shared" si="16"/>
        <v>0</v>
      </c>
      <c r="AU49" s="67">
        <f t="shared" si="17"/>
        <v>1.09808</v>
      </c>
      <c r="AV49" s="67">
        <f t="shared" si="18"/>
        <v>0.0228766666666667</v>
      </c>
      <c r="AW49" s="67">
        <f t="shared" si="19"/>
        <v>0</v>
      </c>
      <c r="AX49" s="67"/>
      <c r="AY49" s="67"/>
      <c r="AZ49" s="75"/>
    </row>
    <row r="50" spans="1:52">
      <c r="A50" s="64">
        <v>45</v>
      </c>
      <c r="B50" s="65" t="s">
        <v>85</v>
      </c>
      <c r="C50" s="65" t="s">
        <v>85</v>
      </c>
      <c r="D50" s="65" t="s">
        <v>140</v>
      </c>
      <c r="E50" s="65" t="s">
        <v>83</v>
      </c>
      <c r="F50" s="66">
        <v>337.03</v>
      </c>
      <c r="G50" s="67">
        <f t="shared" si="0"/>
        <v>30.673764833991</v>
      </c>
      <c r="H50" s="67">
        <f t="shared" si="1"/>
        <v>10337.978962</v>
      </c>
      <c r="I50" s="75">
        <v>2</v>
      </c>
      <c r="J50" s="78">
        <v>3</v>
      </c>
      <c r="K50" s="76">
        <f t="shared" si="2"/>
        <v>7248.381165</v>
      </c>
      <c r="L50" s="76">
        <f t="shared" si="3"/>
        <v>5226.201165</v>
      </c>
      <c r="M50" s="75">
        <v>2</v>
      </c>
      <c r="N50" s="77">
        <v>0</v>
      </c>
      <c r="O50" s="75">
        <v>0</v>
      </c>
      <c r="P50" s="67">
        <f t="shared" si="4"/>
        <v>674.06</v>
      </c>
      <c r="Q50" s="77">
        <v>5111.777797</v>
      </c>
      <c r="R50" s="67">
        <f t="shared" si="5"/>
        <v>2022.18</v>
      </c>
      <c r="S50" s="67">
        <v>0</v>
      </c>
      <c r="T50" s="76">
        <f t="shared" si="6"/>
        <v>5226.201165</v>
      </c>
      <c r="U50" s="76"/>
      <c r="V50" s="77">
        <v>0</v>
      </c>
      <c r="W50" s="75">
        <v>0</v>
      </c>
      <c r="X50" s="76"/>
      <c r="Y50" s="77">
        <v>1325.408733</v>
      </c>
      <c r="Z50" s="77">
        <v>0</v>
      </c>
      <c r="AA50" s="67">
        <f t="shared" si="7"/>
        <v>0</v>
      </c>
      <c r="AB50" s="77">
        <v>0</v>
      </c>
      <c r="AC50" s="67">
        <f t="shared" si="8"/>
        <v>0</v>
      </c>
      <c r="AD50" s="77">
        <v>0</v>
      </c>
      <c r="AE50" s="67">
        <f t="shared" si="9"/>
        <v>0</v>
      </c>
      <c r="AF50" s="82">
        <v>0</v>
      </c>
      <c r="AG50" s="67">
        <f t="shared" si="10"/>
        <v>0</v>
      </c>
      <c r="AH50" s="77">
        <v>0</v>
      </c>
      <c r="AI50" s="67">
        <f t="shared" si="11"/>
        <v>0</v>
      </c>
      <c r="AJ50" s="77">
        <v>2116.818949</v>
      </c>
      <c r="AK50" s="77">
        <v>0</v>
      </c>
      <c r="AL50" s="77">
        <v>0</v>
      </c>
      <c r="AM50" s="77">
        <v>0</v>
      </c>
      <c r="AN50" s="77">
        <v>0</v>
      </c>
      <c r="AO50" s="77">
        <v>1783.973483</v>
      </c>
      <c r="AP50" s="67">
        <f t="shared" si="12"/>
        <v>674.06</v>
      </c>
      <c r="AQ50" s="91">
        <f t="shared" si="13"/>
        <v>1.34812</v>
      </c>
      <c r="AR50" s="91">
        <f t="shared" si="14"/>
        <v>0.0224686666666667</v>
      </c>
      <c r="AS50" s="67">
        <f t="shared" si="15"/>
        <v>0</v>
      </c>
      <c r="AT50" s="67">
        <f t="shared" si="16"/>
        <v>0</v>
      </c>
      <c r="AU50" s="67">
        <f t="shared" si="17"/>
        <v>0.67406</v>
      </c>
      <c r="AV50" s="67">
        <f t="shared" si="18"/>
        <v>0.0140429166666667</v>
      </c>
      <c r="AW50" s="67">
        <f t="shared" si="19"/>
        <v>0</v>
      </c>
      <c r="AX50" s="67"/>
      <c r="AY50" s="67"/>
      <c r="AZ50" s="75"/>
    </row>
    <row r="51" spans="1:52">
      <c r="A51" s="64">
        <v>46</v>
      </c>
      <c r="B51" s="65" t="s">
        <v>85</v>
      </c>
      <c r="C51" s="65" t="s">
        <v>141</v>
      </c>
      <c r="D51" s="65"/>
      <c r="E51" s="65"/>
      <c r="F51" s="66">
        <v>30.76</v>
      </c>
      <c r="G51" s="67">
        <f t="shared" si="0"/>
        <v>17.5530554616385</v>
      </c>
      <c r="H51" s="67">
        <f t="shared" si="1"/>
        <v>539.931986</v>
      </c>
      <c r="I51" s="75">
        <v>2</v>
      </c>
      <c r="J51" s="78">
        <v>3</v>
      </c>
      <c r="K51" s="76">
        <f t="shared" si="2"/>
        <v>184.56</v>
      </c>
      <c r="L51" s="76">
        <f t="shared" si="3"/>
        <v>0</v>
      </c>
      <c r="M51" s="75">
        <v>0</v>
      </c>
      <c r="N51" s="77">
        <v>0</v>
      </c>
      <c r="O51" s="75">
        <v>0</v>
      </c>
      <c r="P51" s="67">
        <f t="shared" si="4"/>
        <v>61.52</v>
      </c>
      <c r="Q51" s="77">
        <v>539.931986</v>
      </c>
      <c r="R51" s="67">
        <f t="shared" si="5"/>
        <v>184.56</v>
      </c>
      <c r="S51" s="67">
        <v>0</v>
      </c>
      <c r="T51" s="76">
        <f t="shared" si="6"/>
        <v>0</v>
      </c>
      <c r="U51" s="76"/>
      <c r="V51" s="77">
        <v>0</v>
      </c>
      <c r="W51" s="75">
        <v>0</v>
      </c>
      <c r="X51" s="76"/>
      <c r="Y51" s="77">
        <v>0</v>
      </c>
      <c r="Z51" s="77">
        <v>0</v>
      </c>
      <c r="AA51" s="67">
        <f t="shared" si="7"/>
        <v>0</v>
      </c>
      <c r="AB51" s="77">
        <v>0</v>
      </c>
      <c r="AC51" s="67">
        <f t="shared" si="8"/>
        <v>0</v>
      </c>
      <c r="AD51" s="77">
        <v>0</v>
      </c>
      <c r="AE51" s="67">
        <f t="shared" si="9"/>
        <v>0</v>
      </c>
      <c r="AF51" s="82">
        <v>0</v>
      </c>
      <c r="AG51" s="67">
        <f t="shared" si="10"/>
        <v>0</v>
      </c>
      <c r="AH51" s="77">
        <v>0</v>
      </c>
      <c r="AI51" s="67">
        <f t="shared" si="11"/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  <c r="AO51" s="77">
        <v>0</v>
      </c>
      <c r="AP51" s="67">
        <f t="shared" si="12"/>
        <v>61.52</v>
      </c>
      <c r="AQ51" s="91">
        <f t="shared" si="13"/>
        <v>0.12304</v>
      </c>
      <c r="AR51" s="91">
        <f t="shared" si="14"/>
        <v>0.00205066666666667</v>
      </c>
      <c r="AS51" s="67">
        <f t="shared" si="15"/>
        <v>0</v>
      </c>
      <c r="AT51" s="67">
        <f t="shared" si="16"/>
        <v>0</v>
      </c>
      <c r="AU51" s="67">
        <f t="shared" si="17"/>
        <v>0.06152</v>
      </c>
      <c r="AV51" s="67">
        <f t="shared" si="18"/>
        <v>0.00128166666666667</v>
      </c>
      <c r="AW51" s="67">
        <f t="shared" si="19"/>
        <v>0</v>
      </c>
      <c r="AX51" s="67"/>
      <c r="AY51" s="67"/>
      <c r="AZ51" s="75"/>
    </row>
    <row r="52" spans="1:52">
      <c r="A52" s="64">
        <v>47</v>
      </c>
      <c r="B52" s="65" t="s">
        <v>85</v>
      </c>
      <c r="C52" s="65" t="s">
        <v>85</v>
      </c>
      <c r="D52" s="65" t="s">
        <v>138</v>
      </c>
      <c r="E52" s="65" t="s">
        <v>139</v>
      </c>
      <c r="F52" s="66">
        <v>167.75</v>
      </c>
      <c r="G52" s="67">
        <f t="shared" si="0"/>
        <v>8.42002529955291</v>
      </c>
      <c r="H52" s="67">
        <f t="shared" si="1"/>
        <v>1412.459244</v>
      </c>
      <c r="I52" s="75">
        <v>2</v>
      </c>
      <c r="J52" s="78">
        <v>3</v>
      </c>
      <c r="K52" s="76">
        <f t="shared" si="2"/>
        <v>1365.211175</v>
      </c>
      <c r="L52" s="76">
        <f t="shared" si="3"/>
        <v>358.711175</v>
      </c>
      <c r="M52" s="75">
        <v>0</v>
      </c>
      <c r="N52" s="77">
        <v>0</v>
      </c>
      <c r="O52" s="75">
        <v>0</v>
      </c>
      <c r="P52" s="67">
        <f t="shared" si="4"/>
        <v>335.5</v>
      </c>
      <c r="Q52" s="77">
        <v>1053.748069</v>
      </c>
      <c r="R52" s="67">
        <f t="shared" si="5"/>
        <v>1006.5</v>
      </c>
      <c r="S52" s="67">
        <v>0</v>
      </c>
      <c r="T52" s="76">
        <f t="shared" si="6"/>
        <v>358.711175</v>
      </c>
      <c r="U52" s="76"/>
      <c r="V52" s="77">
        <v>0</v>
      </c>
      <c r="W52" s="75">
        <v>0</v>
      </c>
      <c r="X52" s="76"/>
      <c r="Y52" s="77">
        <v>265.842347</v>
      </c>
      <c r="Z52" s="77">
        <v>0</v>
      </c>
      <c r="AA52" s="67">
        <f t="shared" si="7"/>
        <v>0</v>
      </c>
      <c r="AB52" s="77">
        <v>0</v>
      </c>
      <c r="AC52" s="67">
        <f t="shared" si="8"/>
        <v>0</v>
      </c>
      <c r="AD52" s="77">
        <v>0</v>
      </c>
      <c r="AE52" s="67">
        <f t="shared" si="9"/>
        <v>0</v>
      </c>
      <c r="AF52" s="82">
        <v>0</v>
      </c>
      <c r="AG52" s="67">
        <f t="shared" si="10"/>
        <v>0</v>
      </c>
      <c r="AH52" s="77">
        <v>0</v>
      </c>
      <c r="AI52" s="67">
        <f t="shared" si="11"/>
        <v>0</v>
      </c>
      <c r="AJ52" s="77">
        <v>92.868828</v>
      </c>
      <c r="AK52" s="77">
        <v>0</v>
      </c>
      <c r="AL52" s="77">
        <v>0</v>
      </c>
      <c r="AM52" s="77">
        <v>0</v>
      </c>
      <c r="AN52" s="77">
        <v>0</v>
      </c>
      <c r="AO52" s="77">
        <v>0</v>
      </c>
      <c r="AP52" s="67">
        <f t="shared" si="12"/>
        <v>335.5</v>
      </c>
      <c r="AQ52" s="91">
        <f t="shared" si="13"/>
        <v>0.671</v>
      </c>
      <c r="AR52" s="91">
        <f t="shared" si="14"/>
        <v>0.0111833333333333</v>
      </c>
      <c r="AS52" s="67">
        <f t="shared" si="15"/>
        <v>0</v>
      </c>
      <c r="AT52" s="67">
        <f t="shared" si="16"/>
        <v>0</v>
      </c>
      <c r="AU52" s="67">
        <f t="shared" si="17"/>
        <v>0.3355</v>
      </c>
      <c r="AV52" s="67">
        <f t="shared" si="18"/>
        <v>0.00698958333333333</v>
      </c>
      <c r="AW52" s="67">
        <f t="shared" si="19"/>
        <v>0</v>
      </c>
      <c r="AX52" s="67"/>
      <c r="AY52" s="67"/>
      <c r="AZ52" s="75"/>
    </row>
    <row r="53" spans="1:52">
      <c r="A53" s="64">
        <v>48</v>
      </c>
      <c r="B53" s="65" t="s">
        <v>135</v>
      </c>
      <c r="C53" s="65" t="s">
        <v>135</v>
      </c>
      <c r="D53" s="65" t="s">
        <v>142</v>
      </c>
      <c r="E53" s="65" t="s">
        <v>143</v>
      </c>
      <c r="F53" s="66">
        <v>207.7</v>
      </c>
      <c r="G53" s="67">
        <f t="shared" si="0"/>
        <v>27.5122966971594</v>
      </c>
      <c r="H53" s="67">
        <f t="shared" si="1"/>
        <v>5714.304024</v>
      </c>
      <c r="I53" s="75">
        <v>3</v>
      </c>
      <c r="J53" s="75">
        <v>3</v>
      </c>
      <c r="K53" s="76">
        <f t="shared" si="2"/>
        <v>5142.300544</v>
      </c>
      <c r="L53" s="76">
        <f t="shared" si="3"/>
        <v>3896.100544</v>
      </c>
      <c r="M53" s="75">
        <v>2</v>
      </c>
      <c r="N53" s="77">
        <v>0</v>
      </c>
      <c r="O53" s="75">
        <v>0</v>
      </c>
      <c r="P53" s="67">
        <f t="shared" si="4"/>
        <v>415.4</v>
      </c>
      <c r="Q53" s="77">
        <v>1818.20348</v>
      </c>
      <c r="R53" s="67">
        <f t="shared" si="5"/>
        <v>1246.2</v>
      </c>
      <c r="S53" s="67">
        <v>0</v>
      </c>
      <c r="T53" s="76">
        <f t="shared" si="6"/>
        <v>3896.100544</v>
      </c>
      <c r="U53" s="76"/>
      <c r="V53" s="77">
        <v>0</v>
      </c>
      <c r="W53" s="75">
        <v>0</v>
      </c>
      <c r="X53" s="76"/>
      <c r="Y53" s="77">
        <v>695.269337</v>
      </c>
      <c r="Z53" s="77">
        <v>0</v>
      </c>
      <c r="AA53" s="67">
        <f t="shared" si="7"/>
        <v>0</v>
      </c>
      <c r="AB53" s="77">
        <v>0</v>
      </c>
      <c r="AC53" s="67">
        <f t="shared" si="8"/>
        <v>0</v>
      </c>
      <c r="AD53" s="77">
        <v>0</v>
      </c>
      <c r="AE53" s="67">
        <f t="shared" si="9"/>
        <v>0</v>
      </c>
      <c r="AF53" s="82">
        <v>0</v>
      </c>
      <c r="AG53" s="67">
        <f t="shared" si="10"/>
        <v>0</v>
      </c>
      <c r="AH53" s="77">
        <v>200.188585</v>
      </c>
      <c r="AI53" s="67">
        <f t="shared" si="11"/>
        <v>400.37717</v>
      </c>
      <c r="AJ53" s="77">
        <v>816.732555</v>
      </c>
      <c r="AK53" s="77">
        <v>0</v>
      </c>
      <c r="AL53" s="77">
        <v>0</v>
      </c>
      <c r="AM53" s="77">
        <v>0</v>
      </c>
      <c r="AN53" s="77">
        <v>0</v>
      </c>
      <c r="AO53" s="77">
        <v>1983.721482</v>
      </c>
      <c r="AP53" s="67">
        <f t="shared" si="12"/>
        <v>415.4</v>
      </c>
      <c r="AQ53" s="91">
        <f t="shared" si="13"/>
        <v>0.8308</v>
      </c>
      <c r="AR53" s="91">
        <f t="shared" si="14"/>
        <v>0.0138466666666667</v>
      </c>
      <c r="AS53" s="67">
        <f t="shared" si="15"/>
        <v>0</v>
      </c>
      <c r="AT53" s="67">
        <f t="shared" si="16"/>
        <v>0</v>
      </c>
      <c r="AU53" s="67">
        <f t="shared" si="17"/>
        <v>0.4154</v>
      </c>
      <c r="AV53" s="67">
        <f t="shared" si="18"/>
        <v>0.00865416666666667</v>
      </c>
      <c r="AW53" s="67">
        <f t="shared" si="19"/>
        <v>0</v>
      </c>
      <c r="AX53" s="67"/>
      <c r="AY53" s="67"/>
      <c r="AZ53" s="75"/>
    </row>
    <row r="54" spans="1:52">
      <c r="A54" s="64">
        <v>49</v>
      </c>
      <c r="B54" s="65" t="s">
        <v>135</v>
      </c>
      <c r="C54" s="65" t="s">
        <v>135</v>
      </c>
      <c r="D54" s="65" t="s">
        <v>143</v>
      </c>
      <c r="E54" s="65" t="s">
        <v>91</v>
      </c>
      <c r="F54" s="66">
        <v>311.1</v>
      </c>
      <c r="G54" s="67">
        <f t="shared" si="0"/>
        <v>29.5184703985857</v>
      </c>
      <c r="H54" s="67">
        <f t="shared" si="1"/>
        <v>9183.196141</v>
      </c>
      <c r="I54" s="75">
        <v>3</v>
      </c>
      <c r="J54" s="75">
        <v>3</v>
      </c>
      <c r="K54" s="76">
        <f t="shared" si="2"/>
        <v>8271.890503</v>
      </c>
      <c r="L54" s="76">
        <f t="shared" si="3"/>
        <v>6405.290503</v>
      </c>
      <c r="M54" s="75">
        <v>0</v>
      </c>
      <c r="N54" s="77">
        <v>0</v>
      </c>
      <c r="O54" s="75">
        <v>0</v>
      </c>
      <c r="P54" s="67">
        <f t="shared" si="4"/>
        <v>622.2</v>
      </c>
      <c r="Q54" s="77">
        <v>2777.905638</v>
      </c>
      <c r="R54" s="67">
        <f t="shared" si="5"/>
        <v>1866.6</v>
      </c>
      <c r="S54" s="67">
        <v>0</v>
      </c>
      <c r="T54" s="76">
        <f t="shared" si="6"/>
        <v>6405.290503</v>
      </c>
      <c r="U54" s="76"/>
      <c r="V54" s="77">
        <v>0</v>
      </c>
      <c r="W54" s="75">
        <v>0</v>
      </c>
      <c r="X54" s="76"/>
      <c r="Y54" s="77">
        <v>481.977426</v>
      </c>
      <c r="Z54" s="77">
        <v>0</v>
      </c>
      <c r="AA54" s="67">
        <f t="shared" si="7"/>
        <v>0</v>
      </c>
      <c r="AB54" s="77">
        <v>0</v>
      </c>
      <c r="AC54" s="67">
        <f t="shared" si="8"/>
        <v>0</v>
      </c>
      <c r="AD54" s="77">
        <v>0</v>
      </c>
      <c r="AE54" s="67">
        <f t="shared" si="9"/>
        <v>0</v>
      </c>
      <c r="AF54" s="82">
        <v>0</v>
      </c>
      <c r="AG54" s="67">
        <f t="shared" si="10"/>
        <v>0</v>
      </c>
      <c r="AH54" s="77">
        <v>320.783171</v>
      </c>
      <c r="AI54" s="67">
        <f t="shared" si="11"/>
        <v>641.566342</v>
      </c>
      <c r="AJ54" s="77">
        <v>605.809778</v>
      </c>
      <c r="AK54" s="77">
        <v>0</v>
      </c>
      <c r="AL54" s="77">
        <v>0</v>
      </c>
      <c r="AM54" s="77">
        <v>0</v>
      </c>
      <c r="AN54" s="77">
        <v>0</v>
      </c>
      <c r="AO54" s="77">
        <v>4675.936957</v>
      </c>
      <c r="AP54" s="67">
        <f t="shared" si="12"/>
        <v>622.2</v>
      </c>
      <c r="AQ54" s="91">
        <f t="shared" si="13"/>
        <v>1.2444</v>
      </c>
      <c r="AR54" s="91">
        <f t="shared" si="14"/>
        <v>0.02074</v>
      </c>
      <c r="AS54" s="67">
        <f t="shared" si="15"/>
        <v>0</v>
      </c>
      <c r="AT54" s="67">
        <f t="shared" si="16"/>
        <v>0</v>
      </c>
      <c r="AU54" s="67">
        <f t="shared" si="17"/>
        <v>0.6222</v>
      </c>
      <c r="AV54" s="67">
        <f t="shared" si="18"/>
        <v>0.0129625</v>
      </c>
      <c r="AW54" s="67">
        <f t="shared" si="19"/>
        <v>0</v>
      </c>
      <c r="AX54" s="67"/>
      <c r="AY54" s="67"/>
      <c r="AZ54" s="75"/>
    </row>
    <row r="55" spans="1:52">
      <c r="A55" s="64">
        <v>50</v>
      </c>
      <c r="B55" s="65" t="s">
        <v>135</v>
      </c>
      <c r="C55" s="65" t="s">
        <v>135</v>
      </c>
      <c r="D55" s="65" t="s">
        <v>144</v>
      </c>
      <c r="E55" s="65" t="s">
        <v>142</v>
      </c>
      <c r="F55" s="66">
        <v>174.95</v>
      </c>
      <c r="G55" s="67">
        <f t="shared" si="0"/>
        <v>36.5002649842812</v>
      </c>
      <c r="H55" s="67">
        <f t="shared" si="1"/>
        <v>6385.721359</v>
      </c>
      <c r="I55" s="75">
        <v>3</v>
      </c>
      <c r="J55" s="75">
        <v>3</v>
      </c>
      <c r="K55" s="76">
        <f t="shared" si="2"/>
        <v>5875.560888</v>
      </c>
      <c r="L55" s="76">
        <f t="shared" si="3"/>
        <v>4825.860888</v>
      </c>
      <c r="M55" s="75">
        <v>2</v>
      </c>
      <c r="N55" s="77">
        <v>0</v>
      </c>
      <c r="O55" s="75">
        <v>0</v>
      </c>
      <c r="P55" s="67">
        <f t="shared" si="4"/>
        <v>349.9</v>
      </c>
      <c r="Q55" s="77">
        <v>1559.860471</v>
      </c>
      <c r="R55" s="67">
        <f t="shared" si="5"/>
        <v>1049.7</v>
      </c>
      <c r="S55" s="67">
        <v>0</v>
      </c>
      <c r="T55" s="76">
        <f t="shared" si="6"/>
        <v>4825.860888</v>
      </c>
      <c r="U55" s="76"/>
      <c r="V55" s="77">
        <v>0</v>
      </c>
      <c r="W55" s="75">
        <v>0</v>
      </c>
      <c r="X55" s="76"/>
      <c r="Y55" s="77">
        <v>379.893128</v>
      </c>
      <c r="Z55" s="77">
        <v>0</v>
      </c>
      <c r="AA55" s="67">
        <f t="shared" si="7"/>
        <v>0</v>
      </c>
      <c r="AB55" s="77">
        <v>0</v>
      </c>
      <c r="AC55" s="67">
        <f t="shared" si="8"/>
        <v>0</v>
      </c>
      <c r="AD55" s="77">
        <v>0</v>
      </c>
      <c r="AE55" s="67">
        <f t="shared" si="9"/>
        <v>0</v>
      </c>
      <c r="AF55" s="82">
        <v>0</v>
      </c>
      <c r="AG55" s="67">
        <f t="shared" si="10"/>
        <v>0</v>
      </c>
      <c r="AH55" s="77">
        <v>145.02385</v>
      </c>
      <c r="AI55" s="67">
        <f t="shared" si="11"/>
        <v>290.0477</v>
      </c>
      <c r="AJ55" s="77">
        <v>820.647099</v>
      </c>
      <c r="AK55" s="77">
        <v>0</v>
      </c>
      <c r="AL55" s="77">
        <v>0</v>
      </c>
      <c r="AM55" s="77">
        <v>0</v>
      </c>
      <c r="AN55" s="77">
        <v>0</v>
      </c>
      <c r="AO55" s="77">
        <v>3335.272961</v>
      </c>
      <c r="AP55" s="67">
        <f t="shared" si="12"/>
        <v>349.9</v>
      </c>
      <c r="AQ55" s="91">
        <f t="shared" si="13"/>
        <v>0.6998</v>
      </c>
      <c r="AR55" s="91">
        <f t="shared" si="14"/>
        <v>0.0116633333333333</v>
      </c>
      <c r="AS55" s="67">
        <f t="shared" si="15"/>
        <v>0</v>
      </c>
      <c r="AT55" s="67">
        <f t="shared" si="16"/>
        <v>0</v>
      </c>
      <c r="AU55" s="67">
        <f t="shared" si="17"/>
        <v>0.3499</v>
      </c>
      <c r="AV55" s="67">
        <f t="shared" si="18"/>
        <v>0.00728958333333333</v>
      </c>
      <c r="AW55" s="67">
        <f t="shared" si="19"/>
        <v>0</v>
      </c>
      <c r="AX55" s="67"/>
      <c r="AY55" s="67"/>
      <c r="AZ55" s="75"/>
    </row>
    <row r="56" spans="1:52">
      <c r="A56" s="64">
        <v>51</v>
      </c>
      <c r="B56" s="65" t="s">
        <v>135</v>
      </c>
      <c r="C56" s="65" t="s">
        <v>145</v>
      </c>
      <c r="D56" s="65"/>
      <c r="E56" s="65"/>
      <c r="F56" s="66">
        <v>19.71</v>
      </c>
      <c r="G56" s="67">
        <f t="shared" si="0"/>
        <v>11.3614258751903</v>
      </c>
      <c r="H56" s="67">
        <f t="shared" si="1"/>
        <v>223.933704</v>
      </c>
      <c r="I56" s="75">
        <v>3</v>
      </c>
      <c r="J56" s="75">
        <v>3</v>
      </c>
      <c r="K56" s="76">
        <f t="shared" si="2"/>
        <v>118.26</v>
      </c>
      <c r="L56" s="76">
        <f t="shared" si="3"/>
        <v>0</v>
      </c>
      <c r="M56" s="75">
        <v>0</v>
      </c>
      <c r="N56" s="77">
        <v>0</v>
      </c>
      <c r="O56" s="75">
        <v>0</v>
      </c>
      <c r="P56" s="67">
        <f t="shared" si="4"/>
        <v>39.42</v>
      </c>
      <c r="Q56" s="77">
        <v>223.933704</v>
      </c>
      <c r="R56" s="67">
        <f t="shared" si="5"/>
        <v>118.26</v>
      </c>
      <c r="S56" s="67">
        <v>0</v>
      </c>
      <c r="T56" s="76">
        <f t="shared" si="6"/>
        <v>0</v>
      </c>
      <c r="U56" s="76"/>
      <c r="V56" s="77">
        <v>0</v>
      </c>
      <c r="W56" s="75">
        <v>0</v>
      </c>
      <c r="X56" s="76"/>
      <c r="Y56" s="77">
        <v>0</v>
      </c>
      <c r="Z56" s="77">
        <v>0</v>
      </c>
      <c r="AA56" s="67">
        <f t="shared" si="7"/>
        <v>0</v>
      </c>
      <c r="AB56" s="77">
        <v>0</v>
      </c>
      <c r="AC56" s="67">
        <f t="shared" si="8"/>
        <v>0</v>
      </c>
      <c r="AD56" s="77">
        <v>0</v>
      </c>
      <c r="AE56" s="67">
        <f t="shared" si="9"/>
        <v>0</v>
      </c>
      <c r="AF56" s="82">
        <v>0</v>
      </c>
      <c r="AG56" s="67">
        <f t="shared" si="10"/>
        <v>0</v>
      </c>
      <c r="AH56" s="77">
        <v>0</v>
      </c>
      <c r="AI56" s="67">
        <f t="shared" si="11"/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  <c r="AO56" s="77">
        <v>0</v>
      </c>
      <c r="AP56" s="67">
        <f t="shared" si="12"/>
        <v>39.42</v>
      </c>
      <c r="AQ56" s="91">
        <f t="shared" si="13"/>
        <v>0.07884</v>
      </c>
      <c r="AR56" s="91">
        <f t="shared" si="14"/>
        <v>0.001314</v>
      </c>
      <c r="AS56" s="67">
        <f t="shared" si="15"/>
        <v>0</v>
      </c>
      <c r="AT56" s="67">
        <f t="shared" si="16"/>
        <v>0</v>
      </c>
      <c r="AU56" s="67">
        <f t="shared" si="17"/>
        <v>0.03942</v>
      </c>
      <c r="AV56" s="67">
        <f t="shared" si="18"/>
        <v>0.00082125</v>
      </c>
      <c r="AW56" s="67">
        <f t="shared" si="19"/>
        <v>0</v>
      </c>
      <c r="AX56" s="67"/>
      <c r="AY56" s="67"/>
      <c r="AZ56" s="75"/>
    </row>
    <row r="57" spans="1:52">
      <c r="A57" s="64">
        <v>52</v>
      </c>
      <c r="B57" s="65" t="s">
        <v>135</v>
      </c>
      <c r="C57" s="65" t="s">
        <v>146</v>
      </c>
      <c r="D57" s="65"/>
      <c r="E57" s="65"/>
      <c r="F57" s="66">
        <v>14.46</v>
      </c>
      <c r="G57" s="67">
        <f t="shared" si="0"/>
        <v>10.1015012448133</v>
      </c>
      <c r="H57" s="67">
        <f t="shared" si="1"/>
        <v>146.067708</v>
      </c>
      <c r="I57" s="75">
        <v>3</v>
      </c>
      <c r="J57" s="75">
        <v>3</v>
      </c>
      <c r="K57" s="76">
        <f t="shared" si="2"/>
        <v>86.76</v>
      </c>
      <c r="L57" s="76">
        <f t="shared" si="3"/>
        <v>0</v>
      </c>
      <c r="M57" s="75">
        <v>0</v>
      </c>
      <c r="N57" s="77">
        <v>0</v>
      </c>
      <c r="O57" s="75">
        <v>0</v>
      </c>
      <c r="P57" s="67">
        <f t="shared" si="4"/>
        <v>28.92</v>
      </c>
      <c r="Q57" s="77">
        <v>146.067708</v>
      </c>
      <c r="R57" s="67">
        <f t="shared" si="5"/>
        <v>86.76</v>
      </c>
      <c r="S57" s="67">
        <v>0</v>
      </c>
      <c r="T57" s="76">
        <f t="shared" si="6"/>
        <v>0</v>
      </c>
      <c r="U57" s="76"/>
      <c r="V57" s="77">
        <v>0</v>
      </c>
      <c r="W57" s="75">
        <v>0</v>
      </c>
      <c r="X57" s="76"/>
      <c r="Y57" s="77">
        <v>0</v>
      </c>
      <c r="Z57" s="77">
        <v>0</v>
      </c>
      <c r="AA57" s="67">
        <f t="shared" si="7"/>
        <v>0</v>
      </c>
      <c r="AB57" s="77">
        <v>0</v>
      </c>
      <c r="AC57" s="67">
        <f t="shared" si="8"/>
        <v>0</v>
      </c>
      <c r="AD57" s="77">
        <v>0</v>
      </c>
      <c r="AE57" s="67">
        <f t="shared" si="9"/>
        <v>0</v>
      </c>
      <c r="AF57" s="82">
        <v>0</v>
      </c>
      <c r="AG57" s="67">
        <f t="shared" si="10"/>
        <v>0</v>
      </c>
      <c r="AH57" s="77">
        <v>0</v>
      </c>
      <c r="AI57" s="67">
        <f t="shared" si="11"/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  <c r="AO57" s="77">
        <v>0</v>
      </c>
      <c r="AP57" s="67">
        <f t="shared" si="12"/>
        <v>28.92</v>
      </c>
      <c r="AQ57" s="91">
        <f t="shared" si="13"/>
        <v>0.05784</v>
      </c>
      <c r="AR57" s="91">
        <f t="shared" si="14"/>
        <v>0.000964</v>
      </c>
      <c r="AS57" s="67">
        <f t="shared" si="15"/>
        <v>0</v>
      </c>
      <c r="AT57" s="67">
        <f t="shared" si="16"/>
        <v>0</v>
      </c>
      <c r="AU57" s="67">
        <f t="shared" si="17"/>
        <v>0.02892</v>
      </c>
      <c r="AV57" s="67">
        <f t="shared" si="18"/>
        <v>0.0006025</v>
      </c>
      <c r="AW57" s="67">
        <f t="shared" si="19"/>
        <v>0</v>
      </c>
      <c r="AX57" s="67"/>
      <c r="AY57" s="67"/>
      <c r="AZ57" s="75"/>
    </row>
    <row r="58" spans="1:52">
      <c r="A58" s="64">
        <v>53</v>
      </c>
      <c r="B58" s="65" t="s">
        <v>135</v>
      </c>
      <c r="C58" s="65" t="s">
        <v>147</v>
      </c>
      <c r="D58" s="65"/>
      <c r="E58" s="65"/>
      <c r="F58" s="66">
        <v>33.09</v>
      </c>
      <c r="G58" s="67">
        <f t="shared" si="0"/>
        <v>13.5744231489876</v>
      </c>
      <c r="H58" s="67">
        <f t="shared" si="1"/>
        <v>449.177662</v>
      </c>
      <c r="I58" s="75">
        <v>3</v>
      </c>
      <c r="J58" s="75">
        <v>3</v>
      </c>
      <c r="K58" s="76">
        <f t="shared" si="2"/>
        <v>198.54</v>
      </c>
      <c r="L58" s="76">
        <f t="shared" si="3"/>
        <v>0</v>
      </c>
      <c r="M58" s="75">
        <v>0</v>
      </c>
      <c r="N58" s="77">
        <v>0</v>
      </c>
      <c r="O58" s="75">
        <v>0</v>
      </c>
      <c r="P58" s="67">
        <f t="shared" si="4"/>
        <v>66.18</v>
      </c>
      <c r="Q58" s="77">
        <v>449.177662</v>
      </c>
      <c r="R58" s="67">
        <f t="shared" si="5"/>
        <v>198.54</v>
      </c>
      <c r="S58" s="67">
        <v>0</v>
      </c>
      <c r="T58" s="76">
        <f t="shared" si="6"/>
        <v>0</v>
      </c>
      <c r="U58" s="76"/>
      <c r="V58" s="77">
        <v>0</v>
      </c>
      <c r="W58" s="75">
        <v>0</v>
      </c>
      <c r="X58" s="76"/>
      <c r="Y58" s="77">
        <v>0</v>
      </c>
      <c r="Z58" s="77">
        <v>0</v>
      </c>
      <c r="AA58" s="67">
        <f t="shared" si="7"/>
        <v>0</v>
      </c>
      <c r="AB58" s="77">
        <v>0</v>
      </c>
      <c r="AC58" s="67">
        <f t="shared" si="8"/>
        <v>0</v>
      </c>
      <c r="AD58" s="77">
        <v>0</v>
      </c>
      <c r="AE58" s="67">
        <f t="shared" si="9"/>
        <v>0</v>
      </c>
      <c r="AF58" s="82">
        <v>0</v>
      </c>
      <c r="AG58" s="67">
        <f t="shared" si="10"/>
        <v>0</v>
      </c>
      <c r="AH58" s="77">
        <v>0</v>
      </c>
      <c r="AI58" s="67">
        <f t="shared" si="11"/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  <c r="AO58" s="77">
        <v>0</v>
      </c>
      <c r="AP58" s="67">
        <f t="shared" si="12"/>
        <v>66.18</v>
      </c>
      <c r="AQ58" s="91">
        <f t="shared" si="13"/>
        <v>0.13236</v>
      </c>
      <c r="AR58" s="91">
        <f t="shared" si="14"/>
        <v>0.002206</v>
      </c>
      <c r="AS58" s="67">
        <f t="shared" si="15"/>
        <v>0</v>
      </c>
      <c r="AT58" s="67">
        <f t="shared" si="16"/>
        <v>0</v>
      </c>
      <c r="AU58" s="67">
        <f t="shared" si="17"/>
        <v>0.06618</v>
      </c>
      <c r="AV58" s="67">
        <f t="shared" si="18"/>
        <v>0.00137875</v>
      </c>
      <c r="AW58" s="67">
        <f t="shared" si="19"/>
        <v>0</v>
      </c>
      <c r="AX58" s="67"/>
      <c r="AY58" s="67"/>
      <c r="AZ58" s="75"/>
    </row>
    <row r="59" spans="1:52">
      <c r="A59" s="64">
        <v>54</v>
      </c>
      <c r="B59" s="65" t="s">
        <v>135</v>
      </c>
      <c r="C59" s="65" t="s">
        <v>135</v>
      </c>
      <c r="D59" s="65" t="s">
        <v>91</v>
      </c>
      <c r="E59" s="65" t="s">
        <v>92</v>
      </c>
      <c r="F59" s="66">
        <v>253.81</v>
      </c>
      <c r="G59" s="67">
        <f t="shared" si="0"/>
        <v>24.1290334108191</v>
      </c>
      <c r="H59" s="67">
        <f t="shared" si="1"/>
        <v>6124.18997</v>
      </c>
      <c r="I59" s="75">
        <v>3</v>
      </c>
      <c r="J59" s="75">
        <v>3</v>
      </c>
      <c r="K59" s="76">
        <f t="shared" si="2"/>
        <v>5356.439603</v>
      </c>
      <c r="L59" s="76">
        <f t="shared" si="3"/>
        <v>3833.579603</v>
      </c>
      <c r="M59" s="75">
        <v>2</v>
      </c>
      <c r="N59" s="77">
        <v>0</v>
      </c>
      <c r="O59" s="75">
        <v>0</v>
      </c>
      <c r="P59" s="67">
        <f t="shared" si="4"/>
        <v>507.62</v>
      </c>
      <c r="Q59" s="77">
        <v>2290.610367</v>
      </c>
      <c r="R59" s="67">
        <f t="shared" si="5"/>
        <v>1522.86</v>
      </c>
      <c r="S59" s="67">
        <v>0</v>
      </c>
      <c r="T59" s="76">
        <f t="shared" si="6"/>
        <v>3833.579603</v>
      </c>
      <c r="U59" s="76"/>
      <c r="V59" s="77">
        <v>0</v>
      </c>
      <c r="W59" s="75">
        <v>0</v>
      </c>
      <c r="X59" s="76"/>
      <c r="Y59" s="77">
        <v>477.195197</v>
      </c>
      <c r="Z59" s="77">
        <v>11.240662</v>
      </c>
      <c r="AA59" s="67">
        <f t="shared" si="7"/>
        <v>22.481324</v>
      </c>
      <c r="AB59" s="77">
        <v>0</v>
      </c>
      <c r="AC59" s="67">
        <f t="shared" si="8"/>
        <v>0</v>
      </c>
      <c r="AD59" s="77">
        <v>0</v>
      </c>
      <c r="AE59" s="67">
        <f t="shared" si="9"/>
        <v>0</v>
      </c>
      <c r="AF59" s="82">
        <v>0</v>
      </c>
      <c r="AG59" s="67">
        <f t="shared" si="10"/>
        <v>0</v>
      </c>
      <c r="AH59" s="77">
        <v>177.270889</v>
      </c>
      <c r="AI59" s="67">
        <f t="shared" si="11"/>
        <v>354.541778</v>
      </c>
      <c r="AJ59" s="77">
        <v>457.687103</v>
      </c>
      <c r="AK59" s="77">
        <v>0</v>
      </c>
      <c r="AL59" s="77">
        <v>0</v>
      </c>
      <c r="AM59" s="77">
        <v>0</v>
      </c>
      <c r="AN59" s="77">
        <v>0</v>
      </c>
      <c r="AO59" s="77">
        <v>2521.674201</v>
      </c>
      <c r="AP59" s="67">
        <f t="shared" si="12"/>
        <v>507.62</v>
      </c>
      <c r="AQ59" s="91">
        <f t="shared" si="13"/>
        <v>1.01524</v>
      </c>
      <c r="AR59" s="91">
        <f t="shared" si="14"/>
        <v>0.0169206666666667</v>
      </c>
      <c r="AS59" s="67">
        <f t="shared" si="15"/>
        <v>0</v>
      </c>
      <c r="AT59" s="67">
        <f t="shared" si="16"/>
        <v>0</v>
      </c>
      <c r="AU59" s="67">
        <f t="shared" si="17"/>
        <v>0.50762</v>
      </c>
      <c r="AV59" s="67">
        <f t="shared" si="18"/>
        <v>0.0105754166666667</v>
      </c>
      <c r="AW59" s="67">
        <f t="shared" si="19"/>
        <v>0.0005620331</v>
      </c>
      <c r="AX59" s="67"/>
      <c r="AY59" s="67"/>
      <c r="AZ59" s="75"/>
    </row>
    <row r="60" spans="1:52">
      <c r="A60" s="64">
        <v>55</v>
      </c>
      <c r="B60" s="65" t="s">
        <v>135</v>
      </c>
      <c r="C60" s="65" t="s">
        <v>135</v>
      </c>
      <c r="D60" s="65" t="s">
        <v>76</v>
      </c>
      <c r="E60" s="65" t="s">
        <v>144</v>
      </c>
      <c r="F60" s="66">
        <v>857.44</v>
      </c>
      <c r="G60" s="67">
        <f t="shared" si="0"/>
        <v>19.2090028993282</v>
      </c>
      <c r="H60" s="67">
        <f t="shared" si="1"/>
        <v>16470.567446</v>
      </c>
      <c r="I60" s="75">
        <v>3</v>
      </c>
      <c r="J60" s="75">
        <v>3</v>
      </c>
      <c r="K60" s="76">
        <f t="shared" si="2"/>
        <v>14591.385433</v>
      </c>
      <c r="L60" s="76">
        <f t="shared" si="3"/>
        <v>9446.745433</v>
      </c>
      <c r="M60" s="75">
        <v>0</v>
      </c>
      <c r="N60" s="77">
        <v>0</v>
      </c>
      <c r="O60" s="75">
        <v>0</v>
      </c>
      <c r="P60" s="67">
        <f t="shared" si="4"/>
        <v>1714.88</v>
      </c>
      <c r="Q60" s="77">
        <v>7023.822013</v>
      </c>
      <c r="R60" s="67">
        <f t="shared" si="5"/>
        <v>5144.64</v>
      </c>
      <c r="S60" s="67">
        <v>0</v>
      </c>
      <c r="T60" s="76">
        <f t="shared" si="6"/>
        <v>9446.745433</v>
      </c>
      <c r="U60" s="76"/>
      <c r="V60" s="77">
        <v>0</v>
      </c>
      <c r="W60" s="75">
        <v>0</v>
      </c>
      <c r="X60" s="76"/>
      <c r="Y60" s="77">
        <v>883.303768</v>
      </c>
      <c r="Z60" s="77">
        <v>0</v>
      </c>
      <c r="AA60" s="67">
        <f t="shared" si="7"/>
        <v>0</v>
      </c>
      <c r="AB60" s="77">
        <v>0</v>
      </c>
      <c r="AC60" s="67">
        <f t="shared" si="8"/>
        <v>0</v>
      </c>
      <c r="AD60" s="77">
        <v>0</v>
      </c>
      <c r="AE60" s="67">
        <f t="shared" si="9"/>
        <v>0</v>
      </c>
      <c r="AF60" s="82">
        <v>0</v>
      </c>
      <c r="AG60" s="67">
        <f t="shared" si="10"/>
        <v>0</v>
      </c>
      <c r="AH60" s="77">
        <v>784.212</v>
      </c>
      <c r="AI60" s="67">
        <f t="shared" si="11"/>
        <v>1568.424</v>
      </c>
      <c r="AJ60" s="77">
        <v>1887.646558</v>
      </c>
      <c r="AK60" s="77">
        <v>0</v>
      </c>
      <c r="AL60" s="77">
        <v>0</v>
      </c>
      <c r="AM60" s="77">
        <v>0</v>
      </c>
      <c r="AN60" s="77">
        <v>0</v>
      </c>
      <c r="AO60" s="77">
        <v>5107.371107</v>
      </c>
      <c r="AP60" s="67">
        <f t="shared" si="12"/>
        <v>1714.88</v>
      </c>
      <c r="AQ60" s="91">
        <f t="shared" si="13"/>
        <v>3.42976</v>
      </c>
      <c r="AR60" s="91">
        <f t="shared" si="14"/>
        <v>0.0571626666666667</v>
      </c>
      <c r="AS60" s="67">
        <f t="shared" si="15"/>
        <v>0</v>
      </c>
      <c r="AT60" s="67">
        <f t="shared" si="16"/>
        <v>0</v>
      </c>
      <c r="AU60" s="67">
        <f t="shared" si="17"/>
        <v>1.71488</v>
      </c>
      <c r="AV60" s="67">
        <f t="shared" si="18"/>
        <v>0.0357266666666667</v>
      </c>
      <c r="AW60" s="67">
        <f t="shared" si="19"/>
        <v>0</v>
      </c>
      <c r="AX60" s="67"/>
      <c r="AY60" s="67"/>
      <c r="AZ60" s="75"/>
    </row>
    <row r="61" spans="1:52">
      <c r="A61" s="64">
        <v>56</v>
      </c>
      <c r="B61" s="65" t="s">
        <v>148</v>
      </c>
      <c r="C61" s="65" t="s">
        <v>148</v>
      </c>
      <c r="D61" s="65" t="s">
        <v>149</v>
      </c>
      <c r="E61" s="65" t="s">
        <v>143</v>
      </c>
      <c r="F61" s="66">
        <v>1375.79</v>
      </c>
      <c r="G61" s="67">
        <f t="shared" si="0"/>
        <v>26.1499121094062</v>
      </c>
      <c r="H61" s="67">
        <f t="shared" si="1"/>
        <v>35976.787581</v>
      </c>
      <c r="I61" s="75">
        <v>2</v>
      </c>
      <c r="J61" s="75">
        <v>2</v>
      </c>
      <c r="K61" s="76">
        <f t="shared" si="2"/>
        <v>24598.700908</v>
      </c>
      <c r="L61" s="76">
        <f t="shared" si="3"/>
        <v>16343.960908</v>
      </c>
      <c r="M61" s="75">
        <v>2</v>
      </c>
      <c r="N61" s="77">
        <v>0</v>
      </c>
      <c r="O61" s="75">
        <v>0</v>
      </c>
      <c r="P61" s="67">
        <f t="shared" si="4"/>
        <v>2751.58</v>
      </c>
      <c r="Q61" s="77">
        <v>19632.826673</v>
      </c>
      <c r="R61" s="67">
        <f t="shared" si="5"/>
        <v>8254.74</v>
      </c>
      <c r="S61" s="67">
        <v>0</v>
      </c>
      <c r="T61" s="76">
        <f t="shared" si="6"/>
        <v>16343.960908</v>
      </c>
      <c r="U61" s="76"/>
      <c r="V61" s="77">
        <v>0</v>
      </c>
      <c r="W61" s="75">
        <v>0</v>
      </c>
      <c r="X61" s="76"/>
      <c r="Y61" s="77">
        <v>10101.157439</v>
      </c>
      <c r="Z61" s="77">
        <v>48.439141</v>
      </c>
      <c r="AA61" s="67">
        <f t="shared" si="7"/>
        <v>96.878282</v>
      </c>
      <c r="AB61" s="77">
        <v>0</v>
      </c>
      <c r="AC61" s="67">
        <f t="shared" si="8"/>
        <v>0</v>
      </c>
      <c r="AD61" s="77">
        <v>0</v>
      </c>
      <c r="AE61" s="67">
        <f t="shared" si="9"/>
        <v>0</v>
      </c>
      <c r="AF61" s="82">
        <v>0</v>
      </c>
      <c r="AG61" s="67">
        <f t="shared" si="10"/>
        <v>0</v>
      </c>
      <c r="AH61" s="77">
        <v>0</v>
      </c>
      <c r="AI61" s="67">
        <f t="shared" si="11"/>
        <v>0</v>
      </c>
      <c r="AJ61" s="77">
        <v>2523.085837</v>
      </c>
      <c r="AK61" s="77">
        <v>0</v>
      </c>
      <c r="AL61" s="77">
        <v>0</v>
      </c>
      <c r="AM61" s="77">
        <v>2144.285571</v>
      </c>
      <c r="AN61" s="77">
        <v>0</v>
      </c>
      <c r="AO61" s="77">
        <v>1478.553779</v>
      </c>
      <c r="AP61" s="67">
        <f t="shared" si="12"/>
        <v>2751.58</v>
      </c>
      <c r="AQ61" s="91">
        <f t="shared" si="13"/>
        <v>0</v>
      </c>
      <c r="AR61" s="91">
        <f t="shared" si="14"/>
        <v>0</v>
      </c>
      <c r="AS61" s="67">
        <f t="shared" si="15"/>
        <v>5.50316</v>
      </c>
      <c r="AT61" s="67">
        <f t="shared" si="16"/>
        <v>0.17197375</v>
      </c>
      <c r="AU61" s="67">
        <f t="shared" si="17"/>
        <v>4.12737</v>
      </c>
      <c r="AV61" s="67">
        <f t="shared" si="18"/>
        <v>0.085986875</v>
      </c>
      <c r="AW61" s="67">
        <f t="shared" si="19"/>
        <v>0.00242195705</v>
      </c>
      <c r="AX61" s="67"/>
      <c r="AY61" s="67"/>
      <c r="AZ61" s="75"/>
    </row>
    <row r="62" spans="1:52">
      <c r="A62" s="64">
        <v>57</v>
      </c>
      <c r="B62" s="65" t="s">
        <v>148</v>
      </c>
      <c r="C62" s="65" t="s">
        <v>148</v>
      </c>
      <c r="D62" s="65" t="s">
        <v>143</v>
      </c>
      <c r="E62" s="65" t="s">
        <v>92</v>
      </c>
      <c r="F62" s="66">
        <v>214.01</v>
      </c>
      <c r="G62" s="67">
        <f t="shared" si="0"/>
        <v>28.5973004439045</v>
      </c>
      <c r="H62" s="67">
        <f t="shared" si="1"/>
        <v>6120.108268</v>
      </c>
      <c r="I62" s="75">
        <v>2</v>
      </c>
      <c r="J62" s="75">
        <v>2</v>
      </c>
      <c r="K62" s="76">
        <f t="shared" si="2"/>
        <v>4198.99461</v>
      </c>
      <c r="L62" s="76">
        <f t="shared" si="3"/>
        <v>2914.93461</v>
      </c>
      <c r="M62" s="75">
        <v>2</v>
      </c>
      <c r="N62" s="77">
        <v>0</v>
      </c>
      <c r="O62" s="75">
        <v>0</v>
      </c>
      <c r="P62" s="67">
        <f t="shared" si="4"/>
        <v>428.02</v>
      </c>
      <c r="Q62" s="77">
        <v>3205.173658</v>
      </c>
      <c r="R62" s="67">
        <f t="shared" si="5"/>
        <v>1284.06</v>
      </c>
      <c r="S62" s="67">
        <v>0</v>
      </c>
      <c r="T62" s="76">
        <f t="shared" si="6"/>
        <v>2914.93461</v>
      </c>
      <c r="U62" s="76"/>
      <c r="V62" s="77">
        <v>0</v>
      </c>
      <c r="W62" s="75">
        <v>0</v>
      </c>
      <c r="X62" s="76"/>
      <c r="Y62" s="77">
        <v>2462.714478</v>
      </c>
      <c r="Z62" s="77">
        <v>0</v>
      </c>
      <c r="AA62" s="67">
        <f t="shared" si="7"/>
        <v>0</v>
      </c>
      <c r="AB62" s="77">
        <v>0</v>
      </c>
      <c r="AC62" s="67">
        <f t="shared" si="8"/>
        <v>0</v>
      </c>
      <c r="AD62" s="77">
        <v>0</v>
      </c>
      <c r="AE62" s="67">
        <f t="shared" si="9"/>
        <v>0</v>
      </c>
      <c r="AF62" s="82">
        <v>0</v>
      </c>
      <c r="AG62" s="67">
        <f t="shared" si="10"/>
        <v>0</v>
      </c>
      <c r="AH62" s="77">
        <v>0</v>
      </c>
      <c r="AI62" s="67">
        <f t="shared" si="11"/>
        <v>0</v>
      </c>
      <c r="AJ62" s="77">
        <v>0</v>
      </c>
      <c r="AK62" s="77">
        <v>0</v>
      </c>
      <c r="AL62" s="77">
        <v>0</v>
      </c>
      <c r="AM62" s="77">
        <v>452.220132</v>
      </c>
      <c r="AN62" s="77">
        <v>0</v>
      </c>
      <c r="AO62" s="77">
        <v>0</v>
      </c>
      <c r="AP62" s="67">
        <f t="shared" si="12"/>
        <v>428.02</v>
      </c>
      <c r="AQ62" s="91">
        <f t="shared" si="13"/>
        <v>0</v>
      </c>
      <c r="AR62" s="91">
        <f t="shared" si="14"/>
        <v>0</v>
      </c>
      <c r="AS62" s="67">
        <f t="shared" si="15"/>
        <v>0.85604</v>
      </c>
      <c r="AT62" s="67">
        <f t="shared" si="16"/>
        <v>0.02675125</v>
      </c>
      <c r="AU62" s="67">
        <f t="shared" si="17"/>
        <v>0.64203</v>
      </c>
      <c r="AV62" s="67">
        <f t="shared" si="18"/>
        <v>0.013375625</v>
      </c>
      <c r="AW62" s="67">
        <f t="shared" si="19"/>
        <v>0</v>
      </c>
      <c r="AX62" s="67"/>
      <c r="AY62" s="67"/>
      <c r="AZ62" s="75"/>
    </row>
    <row r="63" spans="1:52">
      <c r="A63" s="64">
        <v>58</v>
      </c>
      <c r="B63" s="65" t="s">
        <v>148</v>
      </c>
      <c r="C63" s="65" t="s">
        <v>150</v>
      </c>
      <c r="D63" s="65"/>
      <c r="E63" s="65"/>
      <c r="F63" s="66">
        <v>17.52</v>
      </c>
      <c r="G63" s="67">
        <f t="shared" si="0"/>
        <v>20.1383919520548</v>
      </c>
      <c r="H63" s="67">
        <f t="shared" si="1"/>
        <v>352.824627</v>
      </c>
      <c r="I63" s="75">
        <v>2</v>
      </c>
      <c r="J63" s="75">
        <v>2</v>
      </c>
      <c r="K63" s="76">
        <f t="shared" si="2"/>
        <v>105.12</v>
      </c>
      <c r="L63" s="76">
        <f t="shared" si="3"/>
        <v>0</v>
      </c>
      <c r="M63" s="75">
        <v>0</v>
      </c>
      <c r="N63" s="77">
        <v>0</v>
      </c>
      <c r="O63" s="75">
        <v>0</v>
      </c>
      <c r="P63" s="67">
        <f t="shared" si="4"/>
        <v>35.04</v>
      </c>
      <c r="Q63" s="77">
        <v>352.824627</v>
      </c>
      <c r="R63" s="67">
        <f t="shared" si="5"/>
        <v>105.12</v>
      </c>
      <c r="S63" s="67">
        <v>0</v>
      </c>
      <c r="T63" s="76">
        <f t="shared" si="6"/>
        <v>0</v>
      </c>
      <c r="U63" s="76"/>
      <c r="V63" s="77">
        <v>0</v>
      </c>
      <c r="W63" s="75">
        <v>0</v>
      </c>
      <c r="X63" s="76"/>
      <c r="Y63" s="77">
        <v>0</v>
      </c>
      <c r="Z63" s="77">
        <v>0</v>
      </c>
      <c r="AA63" s="67">
        <f t="shared" si="7"/>
        <v>0</v>
      </c>
      <c r="AB63" s="77">
        <v>0</v>
      </c>
      <c r="AC63" s="67">
        <f t="shared" si="8"/>
        <v>0</v>
      </c>
      <c r="AD63" s="77">
        <v>0</v>
      </c>
      <c r="AE63" s="67">
        <f t="shared" si="9"/>
        <v>0</v>
      </c>
      <c r="AF63" s="82">
        <v>0</v>
      </c>
      <c r="AG63" s="67">
        <f t="shared" si="10"/>
        <v>0</v>
      </c>
      <c r="AH63" s="77">
        <v>0</v>
      </c>
      <c r="AI63" s="67">
        <f t="shared" si="11"/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  <c r="AO63" s="77">
        <v>0</v>
      </c>
      <c r="AP63" s="67">
        <f t="shared" si="12"/>
        <v>35.04</v>
      </c>
      <c r="AQ63" s="91">
        <f t="shared" si="13"/>
        <v>0</v>
      </c>
      <c r="AR63" s="91">
        <f t="shared" si="14"/>
        <v>0</v>
      </c>
      <c r="AS63" s="67">
        <f t="shared" si="15"/>
        <v>0.07008</v>
      </c>
      <c r="AT63" s="67">
        <f t="shared" si="16"/>
        <v>0.00219</v>
      </c>
      <c r="AU63" s="67">
        <f t="shared" si="17"/>
        <v>0.05256</v>
      </c>
      <c r="AV63" s="67">
        <f t="shared" si="18"/>
        <v>0.001095</v>
      </c>
      <c r="AW63" s="67">
        <f t="shared" si="19"/>
        <v>0</v>
      </c>
      <c r="AX63" s="67"/>
      <c r="AY63" s="67"/>
      <c r="AZ63" s="75"/>
    </row>
    <row r="64" spans="1:52">
      <c r="A64" s="64">
        <v>59</v>
      </c>
      <c r="B64" s="65" t="s">
        <v>76</v>
      </c>
      <c r="C64" s="65" t="s">
        <v>76</v>
      </c>
      <c r="D64" s="65" t="s">
        <v>151</v>
      </c>
      <c r="E64" s="65" t="s">
        <v>148</v>
      </c>
      <c r="F64" s="66">
        <v>564.04</v>
      </c>
      <c r="G64" s="67">
        <f t="shared" si="0"/>
        <v>15.4375501595632</v>
      </c>
      <c r="H64" s="67">
        <f t="shared" si="1"/>
        <v>8707.395792</v>
      </c>
      <c r="I64" s="75">
        <v>3</v>
      </c>
      <c r="J64" s="75">
        <v>3</v>
      </c>
      <c r="K64" s="76">
        <f t="shared" si="2"/>
        <v>8431.47623</v>
      </c>
      <c r="L64" s="76">
        <f t="shared" si="3"/>
        <v>5047.23623</v>
      </c>
      <c r="M64" s="75">
        <v>0</v>
      </c>
      <c r="N64" s="77">
        <v>0</v>
      </c>
      <c r="O64" s="75">
        <v>0</v>
      </c>
      <c r="P64" s="67">
        <f t="shared" si="4"/>
        <v>1128.08</v>
      </c>
      <c r="Q64" s="77">
        <v>3660.159562</v>
      </c>
      <c r="R64" s="67">
        <f t="shared" si="5"/>
        <v>3384.24</v>
      </c>
      <c r="S64" s="67">
        <v>0</v>
      </c>
      <c r="T64" s="76">
        <f t="shared" si="6"/>
        <v>5047.23623</v>
      </c>
      <c r="U64" s="76"/>
      <c r="V64" s="77">
        <v>1806.614822</v>
      </c>
      <c r="W64" s="75">
        <v>0</v>
      </c>
      <c r="X64" s="76"/>
      <c r="Y64" s="77">
        <v>0</v>
      </c>
      <c r="Z64" s="77">
        <v>0</v>
      </c>
      <c r="AA64" s="67">
        <f t="shared" si="7"/>
        <v>0</v>
      </c>
      <c r="AB64" s="77">
        <v>0</v>
      </c>
      <c r="AC64" s="67">
        <f t="shared" si="8"/>
        <v>0</v>
      </c>
      <c r="AD64" s="77">
        <v>0</v>
      </c>
      <c r="AE64" s="67">
        <f t="shared" si="9"/>
        <v>0</v>
      </c>
      <c r="AF64" s="82">
        <v>0</v>
      </c>
      <c r="AG64" s="67">
        <f t="shared" si="10"/>
        <v>0</v>
      </c>
      <c r="AH64" s="77">
        <v>0</v>
      </c>
      <c r="AI64" s="67">
        <f t="shared" si="11"/>
        <v>0</v>
      </c>
      <c r="AJ64" s="77">
        <v>1287.994776</v>
      </c>
      <c r="AK64" s="77">
        <v>0</v>
      </c>
      <c r="AL64" s="77">
        <v>0</v>
      </c>
      <c r="AM64" s="77">
        <v>0</v>
      </c>
      <c r="AN64" s="77">
        <v>1802.351742</v>
      </c>
      <c r="AO64" s="77">
        <v>150.27489</v>
      </c>
      <c r="AP64" s="67">
        <f t="shared" si="12"/>
        <v>1128.08</v>
      </c>
      <c r="AQ64" s="91">
        <f t="shared" si="13"/>
        <v>2.25616</v>
      </c>
      <c r="AR64" s="91">
        <f t="shared" si="14"/>
        <v>0.0376026666666667</v>
      </c>
      <c r="AS64" s="67">
        <f t="shared" si="15"/>
        <v>0</v>
      </c>
      <c r="AT64" s="67">
        <f t="shared" si="16"/>
        <v>0</v>
      </c>
      <c r="AU64" s="67">
        <f t="shared" si="17"/>
        <v>1.12808</v>
      </c>
      <c r="AV64" s="67">
        <f t="shared" si="18"/>
        <v>0.0235016666666667</v>
      </c>
      <c r="AW64" s="67">
        <f t="shared" si="19"/>
        <v>0</v>
      </c>
      <c r="AX64" s="67"/>
      <c r="AY64" s="67"/>
      <c r="AZ64" s="75"/>
    </row>
    <row r="65" spans="1:52">
      <c r="A65" s="64">
        <v>60</v>
      </c>
      <c r="B65" s="65" t="s">
        <v>152</v>
      </c>
      <c r="C65" s="65" t="s">
        <v>152</v>
      </c>
      <c r="D65" s="65" t="s">
        <v>148</v>
      </c>
      <c r="E65" s="65" t="s">
        <v>153</v>
      </c>
      <c r="F65" s="66">
        <v>521.37</v>
      </c>
      <c r="G65" s="67">
        <f t="shared" si="0"/>
        <v>6.68740211749813</v>
      </c>
      <c r="H65" s="67">
        <f t="shared" si="1"/>
        <v>3486.610842</v>
      </c>
      <c r="I65" s="75">
        <v>3</v>
      </c>
      <c r="J65" s="75">
        <v>3</v>
      </c>
      <c r="K65" s="76">
        <f t="shared" si="2"/>
        <v>4074.001785</v>
      </c>
      <c r="L65" s="76">
        <f t="shared" si="3"/>
        <v>945.781785</v>
      </c>
      <c r="M65" s="75">
        <v>0</v>
      </c>
      <c r="N65" s="77">
        <v>0</v>
      </c>
      <c r="O65" s="75">
        <v>0</v>
      </c>
      <c r="P65" s="67">
        <f t="shared" si="4"/>
        <v>1042.74</v>
      </c>
      <c r="Q65" s="77">
        <v>2540.829057</v>
      </c>
      <c r="R65" s="67">
        <f t="shared" si="5"/>
        <v>3128.22</v>
      </c>
      <c r="S65" s="67">
        <v>0</v>
      </c>
      <c r="T65" s="76">
        <f t="shared" si="6"/>
        <v>945.781785</v>
      </c>
      <c r="U65" s="76"/>
      <c r="V65" s="77">
        <v>0</v>
      </c>
      <c r="W65" s="75">
        <v>0</v>
      </c>
      <c r="X65" s="76"/>
      <c r="Y65" s="77">
        <v>21.328543</v>
      </c>
      <c r="Z65" s="77">
        <v>0</v>
      </c>
      <c r="AA65" s="67">
        <f t="shared" si="7"/>
        <v>0</v>
      </c>
      <c r="AB65" s="77">
        <v>0</v>
      </c>
      <c r="AC65" s="67">
        <f t="shared" si="8"/>
        <v>0</v>
      </c>
      <c r="AD65" s="77">
        <v>0</v>
      </c>
      <c r="AE65" s="67">
        <f t="shared" si="9"/>
        <v>0</v>
      </c>
      <c r="AF65" s="82">
        <v>0</v>
      </c>
      <c r="AG65" s="67">
        <f t="shared" si="10"/>
        <v>0</v>
      </c>
      <c r="AH65" s="77">
        <v>0</v>
      </c>
      <c r="AI65" s="67">
        <f t="shared" si="11"/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  <c r="AO65" s="77">
        <v>924.453242</v>
      </c>
      <c r="AP65" s="67">
        <f t="shared" si="12"/>
        <v>1042.74</v>
      </c>
      <c r="AQ65" s="91">
        <f t="shared" si="13"/>
        <v>2.08548</v>
      </c>
      <c r="AR65" s="91">
        <f t="shared" si="14"/>
        <v>0.034758</v>
      </c>
      <c r="AS65" s="67">
        <f t="shared" si="15"/>
        <v>0</v>
      </c>
      <c r="AT65" s="67">
        <f t="shared" si="16"/>
        <v>0</v>
      </c>
      <c r="AU65" s="67">
        <f t="shared" si="17"/>
        <v>1.04274</v>
      </c>
      <c r="AV65" s="67">
        <f t="shared" si="18"/>
        <v>0.02172375</v>
      </c>
      <c r="AW65" s="67">
        <f t="shared" si="19"/>
        <v>0</v>
      </c>
      <c r="AX65" s="67"/>
      <c r="AY65" s="67"/>
      <c r="AZ65" s="75"/>
    </row>
    <row r="66" spans="1:52">
      <c r="A66" s="64">
        <v>61</v>
      </c>
      <c r="B66" s="65" t="s">
        <v>154</v>
      </c>
      <c r="C66" s="65" t="s">
        <v>154</v>
      </c>
      <c r="D66" s="65" t="s">
        <v>148</v>
      </c>
      <c r="E66" s="65" t="s">
        <v>155</v>
      </c>
      <c r="F66" s="66">
        <v>817.42</v>
      </c>
      <c r="G66" s="67">
        <f t="shared" si="0"/>
        <v>12.8731329879377</v>
      </c>
      <c r="H66" s="67">
        <f t="shared" si="1"/>
        <v>10522.756367</v>
      </c>
      <c r="I66" s="75">
        <v>3</v>
      </c>
      <c r="J66" s="75">
        <v>3</v>
      </c>
      <c r="K66" s="76">
        <f t="shared" si="2"/>
        <v>10314.978597</v>
      </c>
      <c r="L66" s="76">
        <f t="shared" si="3"/>
        <v>5410.458597</v>
      </c>
      <c r="M66" s="75">
        <v>0</v>
      </c>
      <c r="N66" s="77">
        <v>0</v>
      </c>
      <c r="O66" s="75">
        <v>0</v>
      </c>
      <c r="P66" s="67">
        <f t="shared" si="4"/>
        <v>1634.84</v>
      </c>
      <c r="Q66" s="77">
        <v>5112.29777</v>
      </c>
      <c r="R66" s="67">
        <f t="shared" si="5"/>
        <v>4904.52</v>
      </c>
      <c r="S66" s="67">
        <v>0</v>
      </c>
      <c r="T66" s="76">
        <f t="shared" si="6"/>
        <v>5410.458597</v>
      </c>
      <c r="U66" s="76"/>
      <c r="V66" s="77">
        <v>0</v>
      </c>
      <c r="W66" s="75">
        <v>0</v>
      </c>
      <c r="X66" s="76"/>
      <c r="Y66" s="77">
        <v>314.0819</v>
      </c>
      <c r="Z66" s="77">
        <v>0</v>
      </c>
      <c r="AA66" s="67">
        <f t="shared" si="7"/>
        <v>0</v>
      </c>
      <c r="AB66" s="77">
        <v>0</v>
      </c>
      <c r="AC66" s="67">
        <f t="shared" si="8"/>
        <v>0</v>
      </c>
      <c r="AD66" s="77">
        <v>0</v>
      </c>
      <c r="AE66" s="67">
        <f t="shared" si="9"/>
        <v>0</v>
      </c>
      <c r="AF66" s="82">
        <v>0</v>
      </c>
      <c r="AG66" s="67">
        <f t="shared" si="10"/>
        <v>0</v>
      </c>
      <c r="AH66" s="77">
        <v>36.534443</v>
      </c>
      <c r="AI66" s="67">
        <f t="shared" si="11"/>
        <v>73.068886</v>
      </c>
      <c r="AJ66" s="77">
        <v>732.709477</v>
      </c>
      <c r="AK66" s="77">
        <v>0</v>
      </c>
      <c r="AL66" s="77">
        <v>0</v>
      </c>
      <c r="AM66" s="77">
        <v>0</v>
      </c>
      <c r="AN66" s="77">
        <v>0</v>
      </c>
      <c r="AO66" s="77">
        <v>4290.598334</v>
      </c>
      <c r="AP66" s="67">
        <f t="shared" si="12"/>
        <v>1634.84</v>
      </c>
      <c r="AQ66" s="91">
        <f t="shared" si="13"/>
        <v>3.26968</v>
      </c>
      <c r="AR66" s="91">
        <f t="shared" si="14"/>
        <v>0.0544946666666667</v>
      </c>
      <c r="AS66" s="67">
        <f t="shared" si="15"/>
        <v>0</v>
      </c>
      <c r="AT66" s="67">
        <f t="shared" si="16"/>
        <v>0</v>
      </c>
      <c r="AU66" s="67">
        <f t="shared" si="17"/>
        <v>1.63484</v>
      </c>
      <c r="AV66" s="67">
        <f t="shared" si="18"/>
        <v>0.0340591666666667</v>
      </c>
      <c r="AW66" s="67">
        <f t="shared" si="19"/>
        <v>0</v>
      </c>
      <c r="AX66" s="67"/>
      <c r="AY66" s="67"/>
      <c r="AZ66" s="75"/>
    </row>
    <row r="67" spans="1:52">
      <c r="A67" s="64">
        <v>62</v>
      </c>
      <c r="B67" s="65" t="s">
        <v>154</v>
      </c>
      <c r="C67" s="65" t="s">
        <v>154</v>
      </c>
      <c r="D67" s="65" t="s">
        <v>149</v>
      </c>
      <c r="E67" s="65" t="s">
        <v>155</v>
      </c>
      <c r="F67" s="66">
        <v>449.49</v>
      </c>
      <c r="G67" s="67">
        <f t="shared" si="0"/>
        <v>10.5520729871632</v>
      </c>
      <c r="H67" s="67">
        <f t="shared" si="1"/>
        <v>4743.051287</v>
      </c>
      <c r="I67" s="75">
        <v>3</v>
      </c>
      <c r="J67" s="75">
        <v>3</v>
      </c>
      <c r="K67" s="76">
        <f t="shared" si="2"/>
        <v>4752.950866</v>
      </c>
      <c r="L67" s="76">
        <f t="shared" si="3"/>
        <v>1983.773356</v>
      </c>
      <c r="M67" s="75">
        <v>0</v>
      </c>
      <c r="N67" s="77">
        <v>0</v>
      </c>
      <c r="O67" s="75">
        <v>0</v>
      </c>
      <c r="P67" s="67">
        <f t="shared" si="4"/>
        <v>898.98</v>
      </c>
      <c r="Q67" s="77">
        <v>2687.040421</v>
      </c>
      <c r="R67" s="67">
        <f t="shared" si="5"/>
        <v>2696.94</v>
      </c>
      <c r="S67" s="67">
        <v>0</v>
      </c>
      <c r="T67" s="76">
        <f t="shared" si="6"/>
        <v>1983.773356</v>
      </c>
      <c r="U67" s="76"/>
      <c r="V67" s="77">
        <v>0</v>
      </c>
      <c r="W67" s="75">
        <v>0</v>
      </c>
      <c r="X67" s="76"/>
      <c r="Y67" s="77">
        <v>910.24538</v>
      </c>
      <c r="Z67" s="77">
        <v>0</v>
      </c>
      <c r="AA67" s="67">
        <f t="shared" si="7"/>
        <v>0</v>
      </c>
      <c r="AB67" s="77">
        <v>36.118755</v>
      </c>
      <c r="AC67" s="67">
        <f t="shared" si="8"/>
        <v>72.23751</v>
      </c>
      <c r="AD67" s="77">
        <v>0</v>
      </c>
      <c r="AE67" s="67">
        <f t="shared" si="9"/>
        <v>0</v>
      </c>
      <c r="AF67" s="82">
        <v>0</v>
      </c>
      <c r="AG67" s="67">
        <f t="shared" si="10"/>
        <v>0</v>
      </c>
      <c r="AH67" s="77">
        <v>0</v>
      </c>
      <c r="AI67" s="67">
        <f t="shared" si="11"/>
        <v>0</v>
      </c>
      <c r="AJ67" s="77">
        <v>0</v>
      </c>
      <c r="AK67" s="77">
        <v>0</v>
      </c>
      <c r="AL67" s="77">
        <v>0</v>
      </c>
      <c r="AM67" s="77">
        <v>0</v>
      </c>
      <c r="AN67" s="77">
        <v>0</v>
      </c>
      <c r="AO67" s="77">
        <v>1073.527976</v>
      </c>
      <c r="AP67" s="67">
        <f t="shared" si="12"/>
        <v>898.98</v>
      </c>
      <c r="AQ67" s="91">
        <f t="shared" si="13"/>
        <v>1.79796</v>
      </c>
      <c r="AR67" s="91">
        <f t="shared" si="14"/>
        <v>0.029966</v>
      </c>
      <c r="AS67" s="67">
        <f t="shared" si="15"/>
        <v>0</v>
      </c>
      <c r="AT67" s="67">
        <f t="shared" si="16"/>
        <v>0</v>
      </c>
      <c r="AU67" s="67">
        <f t="shared" si="17"/>
        <v>0.89898</v>
      </c>
      <c r="AV67" s="67">
        <f t="shared" si="18"/>
        <v>0.01872875</v>
      </c>
      <c r="AW67" s="67">
        <f t="shared" si="19"/>
        <v>0.00180593775</v>
      </c>
      <c r="AX67" s="67"/>
      <c r="AY67" s="67"/>
      <c r="AZ67" s="75"/>
    </row>
    <row r="68" spans="1:52">
      <c r="A68" s="64">
        <v>63</v>
      </c>
      <c r="B68" s="65" t="s">
        <v>156</v>
      </c>
      <c r="C68" s="65" t="s">
        <v>156</v>
      </c>
      <c r="D68" s="65" t="s">
        <v>135</v>
      </c>
      <c r="E68" s="65" t="s">
        <v>148</v>
      </c>
      <c r="F68" s="66">
        <v>412.39</v>
      </c>
      <c r="G68" s="67">
        <f t="shared" si="0"/>
        <v>6.47725689759694</v>
      </c>
      <c r="H68" s="67">
        <f t="shared" si="1"/>
        <v>2671.155972</v>
      </c>
      <c r="I68" s="75">
        <v>2</v>
      </c>
      <c r="J68" s="78">
        <v>3</v>
      </c>
      <c r="K68" s="76">
        <f t="shared" si="2"/>
        <v>2474.34</v>
      </c>
      <c r="L68" s="76">
        <f t="shared" si="3"/>
        <v>0</v>
      </c>
      <c r="M68" s="75">
        <v>0</v>
      </c>
      <c r="N68" s="77">
        <v>0</v>
      </c>
      <c r="O68" s="75">
        <v>0</v>
      </c>
      <c r="P68" s="67">
        <f t="shared" si="4"/>
        <v>824.78</v>
      </c>
      <c r="Q68" s="77">
        <v>2671.155972</v>
      </c>
      <c r="R68" s="67">
        <f t="shared" si="5"/>
        <v>2474.34</v>
      </c>
      <c r="S68" s="67">
        <v>0</v>
      </c>
      <c r="T68" s="76">
        <f t="shared" si="6"/>
        <v>0</v>
      </c>
      <c r="U68" s="76"/>
      <c r="V68" s="77">
        <v>0</v>
      </c>
      <c r="W68" s="75">
        <v>0</v>
      </c>
      <c r="X68" s="76"/>
      <c r="Y68" s="77">
        <v>0</v>
      </c>
      <c r="Z68" s="77">
        <v>0</v>
      </c>
      <c r="AA68" s="67">
        <f t="shared" si="7"/>
        <v>0</v>
      </c>
      <c r="AB68" s="77">
        <v>0</v>
      </c>
      <c r="AC68" s="67">
        <f t="shared" si="8"/>
        <v>0</v>
      </c>
      <c r="AD68" s="77">
        <v>0</v>
      </c>
      <c r="AE68" s="67">
        <f t="shared" si="9"/>
        <v>0</v>
      </c>
      <c r="AF68" s="82">
        <v>0</v>
      </c>
      <c r="AG68" s="67">
        <f t="shared" si="10"/>
        <v>0</v>
      </c>
      <c r="AH68" s="77">
        <v>0</v>
      </c>
      <c r="AI68" s="67">
        <f t="shared" si="11"/>
        <v>0</v>
      </c>
      <c r="AJ68" s="77">
        <v>0</v>
      </c>
      <c r="AK68" s="77">
        <v>0</v>
      </c>
      <c r="AL68" s="77">
        <v>0</v>
      </c>
      <c r="AM68" s="77">
        <v>0</v>
      </c>
      <c r="AN68" s="77">
        <v>0</v>
      </c>
      <c r="AO68" s="77">
        <v>0</v>
      </c>
      <c r="AP68" s="67">
        <f t="shared" si="12"/>
        <v>824.78</v>
      </c>
      <c r="AQ68" s="91">
        <f t="shared" si="13"/>
        <v>1.64956</v>
      </c>
      <c r="AR68" s="91">
        <f t="shared" si="14"/>
        <v>0.0274926666666667</v>
      </c>
      <c r="AS68" s="67">
        <f t="shared" si="15"/>
        <v>0</v>
      </c>
      <c r="AT68" s="67">
        <f t="shared" si="16"/>
        <v>0</v>
      </c>
      <c r="AU68" s="67">
        <f t="shared" si="17"/>
        <v>0.82478</v>
      </c>
      <c r="AV68" s="67">
        <f t="shared" si="18"/>
        <v>0.0171829166666667</v>
      </c>
      <c r="AW68" s="67">
        <f t="shared" si="19"/>
        <v>0</v>
      </c>
      <c r="AX68" s="67"/>
      <c r="AY68" s="67"/>
      <c r="AZ68" s="75" t="s">
        <v>647</v>
      </c>
    </row>
    <row r="69" spans="1:52">
      <c r="A69" s="64">
        <v>64</v>
      </c>
      <c r="B69" s="65" t="s">
        <v>143</v>
      </c>
      <c r="C69" s="65" t="s">
        <v>143</v>
      </c>
      <c r="D69" s="65" t="s">
        <v>80</v>
      </c>
      <c r="E69" s="65" t="s">
        <v>135</v>
      </c>
      <c r="F69" s="66">
        <v>502.07</v>
      </c>
      <c r="G69" s="67">
        <f t="shared" si="0"/>
        <v>27.7844586571594</v>
      </c>
      <c r="H69" s="67">
        <f t="shared" si="1"/>
        <v>13949.743158</v>
      </c>
      <c r="I69" s="75">
        <v>2</v>
      </c>
      <c r="J69" s="78">
        <v>3</v>
      </c>
      <c r="K69" s="76">
        <f t="shared" si="2"/>
        <v>10930.083866</v>
      </c>
      <c r="L69" s="76">
        <f t="shared" si="3"/>
        <v>7917.663866</v>
      </c>
      <c r="M69" s="75">
        <v>2</v>
      </c>
      <c r="N69" s="77">
        <v>0</v>
      </c>
      <c r="O69" s="75">
        <v>0</v>
      </c>
      <c r="P69" s="67">
        <f t="shared" si="4"/>
        <v>1004.14</v>
      </c>
      <c r="Q69" s="77">
        <v>6032.079292</v>
      </c>
      <c r="R69" s="67">
        <f t="shared" si="5"/>
        <v>3012.42</v>
      </c>
      <c r="S69" s="67">
        <v>0</v>
      </c>
      <c r="T69" s="76">
        <f t="shared" si="6"/>
        <v>7917.663866</v>
      </c>
      <c r="U69" s="76"/>
      <c r="V69" s="77">
        <v>0</v>
      </c>
      <c r="W69" s="75">
        <v>0</v>
      </c>
      <c r="X69" s="76"/>
      <c r="Y69" s="77">
        <v>1543.574244</v>
      </c>
      <c r="Z69" s="77">
        <v>0</v>
      </c>
      <c r="AA69" s="67">
        <f t="shared" si="7"/>
        <v>0</v>
      </c>
      <c r="AB69" s="77">
        <v>0</v>
      </c>
      <c r="AC69" s="67">
        <f t="shared" si="8"/>
        <v>0</v>
      </c>
      <c r="AD69" s="77">
        <v>0</v>
      </c>
      <c r="AE69" s="67">
        <f t="shared" si="9"/>
        <v>0</v>
      </c>
      <c r="AF69" s="82">
        <v>0</v>
      </c>
      <c r="AG69" s="67">
        <f t="shared" si="10"/>
        <v>0</v>
      </c>
      <c r="AH69" s="77">
        <v>0</v>
      </c>
      <c r="AI69" s="67">
        <f t="shared" si="11"/>
        <v>0</v>
      </c>
      <c r="AJ69" s="77">
        <v>1283.508058</v>
      </c>
      <c r="AK69" s="77">
        <v>0</v>
      </c>
      <c r="AL69" s="77">
        <v>0</v>
      </c>
      <c r="AM69" s="77">
        <v>0</v>
      </c>
      <c r="AN69" s="77">
        <v>0</v>
      </c>
      <c r="AO69" s="77">
        <v>5090.581564</v>
      </c>
      <c r="AP69" s="67">
        <f t="shared" si="12"/>
        <v>1004.14</v>
      </c>
      <c r="AQ69" s="91">
        <f t="shared" si="13"/>
        <v>2.00828</v>
      </c>
      <c r="AR69" s="91">
        <f t="shared" si="14"/>
        <v>0.0334713333333333</v>
      </c>
      <c r="AS69" s="67">
        <f t="shared" si="15"/>
        <v>0</v>
      </c>
      <c r="AT69" s="67">
        <f t="shared" si="16"/>
        <v>0</v>
      </c>
      <c r="AU69" s="67">
        <f t="shared" si="17"/>
        <v>1.00414</v>
      </c>
      <c r="AV69" s="67">
        <f t="shared" si="18"/>
        <v>0.0209195833333333</v>
      </c>
      <c r="AW69" s="67">
        <f t="shared" si="19"/>
        <v>0</v>
      </c>
      <c r="AX69" s="67"/>
      <c r="AY69" s="67"/>
      <c r="AZ69" s="75"/>
    </row>
    <row r="70" spans="1:52">
      <c r="A70" s="64">
        <v>65</v>
      </c>
      <c r="B70" s="65" t="s">
        <v>143</v>
      </c>
      <c r="C70" s="65" t="s">
        <v>143</v>
      </c>
      <c r="D70" s="65" t="s">
        <v>135</v>
      </c>
      <c r="E70" s="65" t="s">
        <v>148</v>
      </c>
      <c r="F70" s="66">
        <v>535.85</v>
      </c>
      <c r="G70" s="67">
        <f t="shared" ref="G70:G133" si="20">H70/F70</f>
        <v>30.2489288252309</v>
      </c>
      <c r="H70" s="67">
        <f t="shared" ref="H70:H133" si="21">Q70+V70+Y70+AA70+AC70+AE70+AG70+AI70+AJ70+AK70+AL70+AM70+AN70+AO70</f>
        <v>16208.888511</v>
      </c>
      <c r="I70" s="75">
        <v>2</v>
      </c>
      <c r="J70" s="78">
        <v>3</v>
      </c>
      <c r="K70" s="76">
        <f t="shared" ref="K70:K133" si="22">R70+V70+Y70+AA70+AC70+AE70+AG70+AI70+AJ70+AK70+AL70+AM70+AN70+AO70</f>
        <v>13036.357961</v>
      </c>
      <c r="L70" s="76">
        <f t="shared" ref="L70:L133" si="23">S70+V70+Y70+AA70+AE70+AG70+AI70+AJ70+AK70+AL70+AM70+AN70+AO70</f>
        <v>9821.257961</v>
      </c>
      <c r="M70" s="75">
        <v>2</v>
      </c>
      <c r="N70" s="77">
        <v>0</v>
      </c>
      <c r="O70" s="75">
        <v>0</v>
      </c>
      <c r="P70" s="67">
        <f t="shared" ref="P70:P133" si="24">F70*2</f>
        <v>1071.7</v>
      </c>
      <c r="Q70" s="77">
        <v>6387.63055</v>
      </c>
      <c r="R70" s="67">
        <f t="shared" ref="R70:R133" si="25">P70*3</f>
        <v>3215.1</v>
      </c>
      <c r="S70" s="67">
        <v>0</v>
      </c>
      <c r="T70" s="76">
        <f t="shared" ref="T70:T133" si="26">S70+V70+Y70+AA70+AE70+AG70+AI70+AJ70+AK70+AL70+AM70+AN70+AO70</f>
        <v>9821.257961</v>
      </c>
      <c r="U70" s="76"/>
      <c r="V70" s="77">
        <v>0</v>
      </c>
      <c r="W70" s="75">
        <v>0</v>
      </c>
      <c r="X70" s="76"/>
      <c r="Y70" s="77">
        <v>1741.244102</v>
      </c>
      <c r="Z70" s="77">
        <v>0</v>
      </c>
      <c r="AA70" s="67">
        <f t="shared" ref="AA70:AA133" si="27">Z70*2</f>
        <v>0</v>
      </c>
      <c r="AB70" s="77">
        <v>0</v>
      </c>
      <c r="AC70" s="67">
        <f t="shared" ref="AC70:AC133" si="28">AB70*2</f>
        <v>0</v>
      </c>
      <c r="AD70" s="77">
        <v>0</v>
      </c>
      <c r="AE70" s="67">
        <f t="shared" ref="AE70:AE133" si="29">AD70*2</f>
        <v>0</v>
      </c>
      <c r="AF70" s="82">
        <v>0</v>
      </c>
      <c r="AG70" s="67">
        <f t="shared" ref="AG70:AG133" si="30">AF70*2</f>
        <v>0</v>
      </c>
      <c r="AH70" s="77">
        <v>0</v>
      </c>
      <c r="AI70" s="67">
        <f t="shared" ref="AI70:AI133" si="31">AH70*2</f>
        <v>0</v>
      </c>
      <c r="AJ70" s="77">
        <v>2846.841242</v>
      </c>
      <c r="AK70" s="77">
        <v>0</v>
      </c>
      <c r="AL70" s="77">
        <v>0</v>
      </c>
      <c r="AM70" s="77">
        <v>0</v>
      </c>
      <c r="AN70" s="77">
        <v>0</v>
      </c>
      <c r="AO70" s="77">
        <v>5233.172617</v>
      </c>
      <c r="AP70" s="67">
        <f t="shared" ref="AP70:AP133" si="32">F70*2</f>
        <v>1071.7</v>
      </c>
      <c r="AQ70" s="91">
        <f t="shared" ref="AQ70:AQ133" si="33">P70*IF(J70=1,0,IF(J70=2,0,IF(J70=3,2,IF(J70=4,0))))/1000</f>
        <v>2.1434</v>
      </c>
      <c r="AR70" s="91">
        <f t="shared" ref="AR70:AR133" si="34">AQ70/60</f>
        <v>0.0357233333333333</v>
      </c>
      <c r="AS70" s="67">
        <f t="shared" ref="AS70:AS133" si="35">P70*IF(J70=1,3,IF(J70=2,2,IF(J70=3,0,IF(J70=4,0))))/1000</f>
        <v>0</v>
      </c>
      <c r="AT70" s="67">
        <f t="shared" ref="AT70:AT133" si="36">AS70/32</f>
        <v>0</v>
      </c>
      <c r="AU70" s="67">
        <f t="shared" ref="AU70:AU133" si="37">P70/1000/2*IF(J70=1,4,IF(J70=2,3,IF(J70=3,2,IF(J70=4,0))))</f>
        <v>1.0717</v>
      </c>
      <c r="AV70" s="67">
        <f t="shared" ref="AV70:AV133" si="38">AU70/48</f>
        <v>0.0223270833333333</v>
      </c>
      <c r="AW70" s="67">
        <f t="shared" ref="AW70:AW133" si="39">(Z70+AB70+AD70)/20/1000</f>
        <v>0</v>
      </c>
      <c r="AX70" s="67"/>
      <c r="AY70" s="67"/>
      <c r="AZ70" s="75"/>
    </row>
    <row r="71" spans="1:52">
      <c r="A71" s="64">
        <v>66</v>
      </c>
      <c r="B71" s="65" t="s">
        <v>143</v>
      </c>
      <c r="C71" s="65" t="s">
        <v>157</v>
      </c>
      <c r="D71" s="65"/>
      <c r="E71" s="65"/>
      <c r="F71" s="66">
        <v>13.61</v>
      </c>
      <c r="G71" s="67">
        <f t="shared" si="20"/>
        <v>18.6332744305658</v>
      </c>
      <c r="H71" s="67">
        <f t="shared" si="21"/>
        <v>253.598865</v>
      </c>
      <c r="I71" s="75">
        <v>2</v>
      </c>
      <c r="J71" s="78">
        <v>3</v>
      </c>
      <c r="K71" s="76">
        <f t="shared" si="22"/>
        <v>81.66</v>
      </c>
      <c r="L71" s="76">
        <f t="shared" si="23"/>
        <v>0</v>
      </c>
      <c r="M71" s="75">
        <v>0</v>
      </c>
      <c r="N71" s="77">
        <v>0</v>
      </c>
      <c r="O71" s="75">
        <v>0</v>
      </c>
      <c r="P71" s="67">
        <f t="shared" si="24"/>
        <v>27.22</v>
      </c>
      <c r="Q71" s="77">
        <v>253.598865</v>
      </c>
      <c r="R71" s="67">
        <f t="shared" si="25"/>
        <v>81.66</v>
      </c>
      <c r="S71" s="67">
        <v>0</v>
      </c>
      <c r="T71" s="76">
        <f t="shared" si="26"/>
        <v>0</v>
      </c>
      <c r="U71" s="76"/>
      <c r="V71" s="77">
        <v>0</v>
      </c>
      <c r="W71" s="75">
        <v>0</v>
      </c>
      <c r="X71" s="76"/>
      <c r="Y71" s="77">
        <v>0</v>
      </c>
      <c r="Z71" s="77">
        <v>0</v>
      </c>
      <c r="AA71" s="67">
        <f t="shared" si="27"/>
        <v>0</v>
      </c>
      <c r="AB71" s="77">
        <v>0</v>
      </c>
      <c r="AC71" s="67">
        <f t="shared" si="28"/>
        <v>0</v>
      </c>
      <c r="AD71" s="77">
        <v>0</v>
      </c>
      <c r="AE71" s="67">
        <f t="shared" si="29"/>
        <v>0</v>
      </c>
      <c r="AF71" s="82">
        <v>0</v>
      </c>
      <c r="AG71" s="67">
        <f t="shared" si="30"/>
        <v>0</v>
      </c>
      <c r="AH71" s="77">
        <v>0</v>
      </c>
      <c r="AI71" s="67">
        <f t="shared" si="31"/>
        <v>0</v>
      </c>
      <c r="AJ71" s="77">
        <v>0</v>
      </c>
      <c r="AK71" s="77">
        <v>0</v>
      </c>
      <c r="AL71" s="77">
        <v>0</v>
      </c>
      <c r="AM71" s="77">
        <v>0</v>
      </c>
      <c r="AN71" s="77">
        <v>0</v>
      </c>
      <c r="AO71" s="77">
        <v>0</v>
      </c>
      <c r="AP71" s="67">
        <f t="shared" si="32"/>
        <v>27.22</v>
      </c>
      <c r="AQ71" s="91">
        <f t="shared" si="33"/>
        <v>0.05444</v>
      </c>
      <c r="AR71" s="91">
        <f t="shared" si="34"/>
        <v>0.000907333333333333</v>
      </c>
      <c r="AS71" s="67">
        <f t="shared" si="35"/>
        <v>0</v>
      </c>
      <c r="AT71" s="67">
        <f t="shared" si="36"/>
        <v>0</v>
      </c>
      <c r="AU71" s="67">
        <f t="shared" si="37"/>
        <v>0.02722</v>
      </c>
      <c r="AV71" s="67">
        <f t="shared" si="38"/>
        <v>0.000567083333333333</v>
      </c>
      <c r="AW71" s="67">
        <f t="shared" si="39"/>
        <v>0</v>
      </c>
      <c r="AX71" s="67"/>
      <c r="AY71" s="67"/>
      <c r="AZ71" s="75"/>
    </row>
    <row r="72" spans="1:52">
      <c r="A72" s="64">
        <v>67</v>
      </c>
      <c r="B72" s="65" t="s">
        <v>158</v>
      </c>
      <c r="C72" s="65" t="s">
        <v>158</v>
      </c>
      <c r="D72" s="65" t="s">
        <v>156</v>
      </c>
      <c r="E72" s="65" t="s">
        <v>143</v>
      </c>
      <c r="F72" s="66">
        <v>438.3</v>
      </c>
      <c r="G72" s="67">
        <f t="shared" si="20"/>
        <v>12.9060307894136</v>
      </c>
      <c r="H72" s="67">
        <f t="shared" si="21"/>
        <v>5656.713295</v>
      </c>
      <c r="I72" s="75">
        <v>3</v>
      </c>
      <c r="J72" s="75">
        <v>3</v>
      </c>
      <c r="K72" s="76">
        <f t="shared" si="22"/>
        <v>5197.165395</v>
      </c>
      <c r="L72" s="76">
        <f t="shared" si="23"/>
        <v>2567.365395</v>
      </c>
      <c r="M72" s="75">
        <v>2</v>
      </c>
      <c r="N72" s="77">
        <v>0</v>
      </c>
      <c r="O72" s="75">
        <v>0</v>
      </c>
      <c r="P72" s="67">
        <f t="shared" si="24"/>
        <v>876.6</v>
      </c>
      <c r="Q72" s="77">
        <v>3089.3479</v>
      </c>
      <c r="R72" s="67">
        <f t="shared" si="25"/>
        <v>2629.8</v>
      </c>
      <c r="S72" s="67">
        <v>0</v>
      </c>
      <c r="T72" s="76">
        <f t="shared" si="26"/>
        <v>2567.365395</v>
      </c>
      <c r="U72" s="76"/>
      <c r="V72" s="77">
        <v>0</v>
      </c>
      <c r="W72" s="75">
        <v>0</v>
      </c>
      <c r="X72" s="76"/>
      <c r="Y72" s="77">
        <v>0</v>
      </c>
      <c r="Z72" s="77">
        <v>0</v>
      </c>
      <c r="AA72" s="67">
        <f t="shared" si="27"/>
        <v>0</v>
      </c>
      <c r="AB72" s="77">
        <v>0</v>
      </c>
      <c r="AC72" s="67">
        <f t="shared" si="28"/>
        <v>0</v>
      </c>
      <c r="AD72" s="77">
        <v>0</v>
      </c>
      <c r="AE72" s="67">
        <f t="shared" si="29"/>
        <v>0</v>
      </c>
      <c r="AF72" s="82">
        <v>0</v>
      </c>
      <c r="AG72" s="67">
        <f t="shared" si="30"/>
        <v>0</v>
      </c>
      <c r="AH72" s="77">
        <v>0</v>
      </c>
      <c r="AI72" s="67">
        <f t="shared" si="31"/>
        <v>0</v>
      </c>
      <c r="AJ72" s="77">
        <v>298.223425</v>
      </c>
      <c r="AK72" s="77">
        <v>0</v>
      </c>
      <c r="AL72" s="77">
        <v>0</v>
      </c>
      <c r="AM72" s="77">
        <v>0</v>
      </c>
      <c r="AN72" s="77">
        <v>0</v>
      </c>
      <c r="AO72" s="77">
        <v>2269.14197</v>
      </c>
      <c r="AP72" s="67">
        <f t="shared" si="32"/>
        <v>876.6</v>
      </c>
      <c r="AQ72" s="91">
        <f t="shared" si="33"/>
        <v>1.7532</v>
      </c>
      <c r="AR72" s="91">
        <f t="shared" si="34"/>
        <v>0.02922</v>
      </c>
      <c r="AS72" s="67">
        <f t="shared" si="35"/>
        <v>0</v>
      </c>
      <c r="AT72" s="67">
        <f t="shared" si="36"/>
        <v>0</v>
      </c>
      <c r="AU72" s="67">
        <f t="shared" si="37"/>
        <v>0.8766</v>
      </c>
      <c r="AV72" s="67">
        <f t="shared" si="38"/>
        <v>0.0182625</v>
      </c>
      <c r="AW72" s="67">
        <f t="shared" si="39"/>
        <v>0</v>
      </c>
      <c r="AX72" s="67"/>
      <c r="AY72" s="67"/>
      <c r="AZ72" s="75"/>
    </row>
    <row r="73" spans="1:52">
      <c r="A73" s="64">
        <v>68</v>
      </c>
      <c r="B73" s="65" t="s">
        <v>139</v>
      </c>
      <c r="C73" s="65" t="s">
        <v>139</v>
      </c>
      <c r="D73" s="65" t="s">
        <v>92</v>
      </c>
      <c r="E73" s="65" t="s">
        <v>159</v>
      </c>
      <c r="F73" s="66">
        <v>261.31</v>
      </c>
      <c r="G73" s="67">
        <f t="shared" si="20"/>
        <v>176.848864616739</v>
      </c>
      <c r="H73" s="67">
        <f t="shared" si="21"/>
        <v>46212.376813</v>
      </c>
      <c r="I73" s="75">
        <v>2</v>
      </c>
      <c r="J73" s="78">
        <v>3</v>
      </c>
      <c r="K73" s="76">
        <f t="shared" si="22"/>
        <v>42227.180509</v>
      </c>
      <c r="L73" s="76">
        <f t="shared" si="23"/>
        <v>40659.320509</v>
      </c>
      <c r="M73" s="75">
        <v>2</v>
      </c>
      <c r="N73" s="77">
        <v>0</v>
      </c>
      <c r="O73" s="75">
        <v>0</v>
      </c>
      <c r="P73" s="67">
        <f t="shared" si="24"/>
        <v>522.62</v>
      </c>
      <c r="Q73" s="77">
        <v>5553.056304</v>
      </c>
      <c r="R73" s="67">
        <f t="shared" si="25"/>
        <v>1567.86</v>
      </c>
      <c r="S73" s="67">
        <v>0</v>
      </c>
      <c r="T73" s="76">
        <f t="shared" si="26"/>
        <v>40659.320509</v>
      </c>
      <c r="U73" s="76"/>
      <c r="V73" s="77">
        <v>0</v>
      </c>
      <c r="W73" s="75">
        <v>0</v>
      </c>
      <c r="X73" s="76"/>
      <c r="Y73" s="77">
        <v>0</v>
      </c>
      <c r="Z73" s="77">
        <v>0</v>
      </c>
      <c r="AA73" s="67">
        <f t="shared" si="27"/>
        <v>0</v>
      </c>
      <c r="AB73" s="77">
        <v>0</v>
      </c>
      <c r="AC73" s="67">
        <f t="shared" si="28"/>
        <v>0</v>
      </c>
      <c r="AD73" s="77">
        <v>0</v>
      </c>
      <c r="AE73" s="67">
        <f t="shared" si="29"/>
        <v>0</v>
      </c>
      <c r="AF73" s="82">
        <v>0</v>
      </c>
      <c r="AG73" s="67">
        <f t="shared" si="30"/>
        <v>0</v>
      </c>
      <c r="AH73" s="77">
        <v>0</v>
      </c>
      <c r="AI73" s="67">
        <f t="shared" si="31"/>
        <v>0</v>
      </c>
      <c r="AJ73" s="77">
        <v>0</v>
      </c>
      <c r="AK73" s="77">
        <v>0</v>
      </c>
      <c r="AL73" s="77">
        <v>0</v>
      </c>
      <c r="AM73" s="77">
        <v>40289.765056</v>
      </c>
      <c r="AN73" s="77">
        <v>0</v>
      </c>
      <c r="AO73" s="77">
        <v>369.555453</v>
      </c>
      <c r="AP73" s="67">
        <f t="shared" si="32"/>
        <v>522.62</v>
      </c>
      <c r="AQ73" s="91">
        <f t="shared" si="33"/>
        <v>1.04524</v>
      </c>
      <c r="AR73" s="91">
        <f t="shared" si="34"/>
        <v>0.0174206666666667</v>
      </c>
      <c r="AS73" s="67">
        <f t="shared" si="35"/>
        <v>0</v>
      </c>
      <c r="AT73" s="67">
        <f t="shared" si="36"/>
        <v>0</v>
      </c>
      <c r="AU73" s="67">
        <f t="shared" si="37"/>
        <v>0.52262</v>
      </c>
      <c r="AV73" s="67">
        <f t="shared" si="38"/>
        <v>0.0108879166666667</v>
      </c>
      <c r="AW73" s="67">
        <f t="shared" si="39"/>
        <v>0</v>
      </c>
      <c r="AX73" s="67"/>
      <c r="AY73" s="67"/>
      <c r="AZ73" s="75"/>
    </row>
    <row r="74" spans="1:52">
      <c r="A74" s="64">
        <v>69</v>
      </c>
      <c r="B74" s="65" t="s">
        <v>139</v>
      </c>
      <c r="C74" s="65" t="s">
        <v>139</v>
      </c>
      <c r="D74" s="65" t="s">
        <v>648</v>
      </c>
      <c r="E74" s="65" t="s">
        <v>92</v>
      </c>
      <c r="F74" s="66">
        <v>2254.69</v>
      </c>
      <c r="G74" s="67">
        <f t="shared" si="20"/>
        <v>49.3477108094683</v>
      </c>
      <c r="H74" s="67">
        <f t="shared" si="21"/>
        <v>111263.790085</v>
      </c>
      <c r="I74" s="75">
        <v>2</v>
      </c>
      <c r="J74" s="78">
        <v>3</v>
      </c>
      <c r="K74" s="76">
        <f t="shared" si="22"/>
        <v>38377.738839</v>
      </c>
      <c r="L74" s="76">
        <f t="shared" si="23"/>
        <v>24849.598839</v>
      </c>
      <c r="M74" s="75">
        <v>2</v>
      </c>
      <c r="N74" s="77">
        <v>0</v>
      </c>
      <c r="O74" s="75">
        <v>0</v>
      </c>
      <c r="P74" s="67">
        <f t="shared" si="24"/>
        <v>4509.38</v>
      </c>
      <c r="Q74" s="77">
        <v>86414.191246</v>
      </c>
      <c r="R74" s="67">
        <f t="shared" si="25"/>
        <v>13528.14</v>
      </c>
      <c r="S74" s="67">
        <v>0</v>
      </c>
      <c r="T74" s="76">
        <f t="shared" si="26"/>
        <v>24849.598839</v>
      </c>
      <c r="U74" s="76"/>
      <c r="V74" s="77">
        <v>0</v>
      </c>
      <c r="W74" s="75">
        <v>0</v>
      </c>
      <c r="X74" s="76"/>
      <c r="Y74" s="77">
        <v>5462.903802</v>
      </c>
      <c r="Z74" s="77">
        <v>0</v>
      </c>
      <c r="AA74" s="67">
        <f t="shared" si="27"/>
        <v>0</v>
      </c>
      <c r="AB74" s="77">
        <v>0</v>
      </c>
      <c r="AC74" s="67">
        <f t="shared" si="28"/>
        <v>0</v>
      </c>
      <c r="AD74" s="77">
        <v>0</v>
      </c>
      <c r="AE74" s="67">
        <f t="shared" si="29"/>
        <v>0</v>
      </c>
      <c r="AF74" s="82">
        <v>486.194514</v>
      </c>
      <c r="AG74" s="67">
        <f t="shared" si="30"/>
        <v>972.389028</v>
      </c>
      <c r="AH74" s="77">
        <v>192.225375</v>
      </c>
      <c r="AI74" s="67">
        <f t="shared" si="31"/>
        <v>384.45075</v>
      </c>
      <c r="AJ74" s="77">
        <v>411.210997</v>
      </c>
      <c r="AK74" s="77">
        <v>0</v>
      </c>
      <c r="AL74" s="77">
        <v>768.893178</v>
      </c>
      <c r="AM74" s="77">
        <v>16207.95298</v>
      </c>
      <c r="AN74" s="77">
        <v>0</v>
      </c>
      <c r="AO74" s="77">
        <v>641.798104</v>
      </c>
      <c r="AP74" s="67">
        <f t="shared" si="32"/>
        <v>4509.38</v>
      </c>
      <c r="AQ74" s="91">
        <f t="shared" si="33"/>
        <v>9.01876</v>
      </c>
      <c r="AR74" s="91">
        <f t="shared" si="34"/>
        <v>0.150312666666667</v>
      </c>
      <c r="AS74" s="67">
        <f t="shared" si="35"/>
        <v>0</v>
      </c>
      <c r="AT74" s="67">
        <f t="shared" si="36"/>
        <v>0</v>
      </c>
      <c r="AU74" s="67">
        <f t="shared" si="37"/>
        <v>4.50938</v>
      </c>
      <c r="AV74" s="67">
        <f t="shared" si="38"/>
        <v>0.0939454166666667</v>
      </c>
      <c r="AW74" s="67">
        <f t="shared" si="39"/>
        <v>0</v>
      </c>
      <c r="AX74" s="67"/>
      <c r="AY74" s="67"/>
      <c r="AZ74" s="75" t="s">
        <v>649</v>
      </c>
    </row>
    <row r="75" spans="1:52">
      <c r="A75" s="64">
        <v>70</v>
      </c>
      <c r="B75" s="65" t="s">
        <v>161</v>
      </c>
      <c r="C75" s="65" t="s">
        <v>161</v>
      </c>
      <c r="D75" s="65" t="s">
        <v>139</v>
      </c>
      <c r="E75" s="65" t="s">
        <v>162</v>
      </c>
      <c r="F75" s="66">
        <v>177.86</v>
      </c>
      <c r="G75" s="67">
        <f t="shared" si="20"/>
        <v>14.0901616496121</v>
      </c>
      <c r="H75" s="67">
        <f t="shared" si="21"/>
        <v>2506.076151</v>
      </c>
      <c r="I75" s="75">
        <v>3</v>
      </c>
      <c r="J75" s="75">
        <v>3</v>
      </c>
      <c r="K75" s="76">
        <f t="shared" si="22"/>
        <v>1700.436113</v>
      </c>
      <c r="L75" s="76">
        <f t="shared" si="23"/>
        <v>633.276113</v>
      </c>
      <c r="M75" s="75">
        <v>2</v>
      </c>
      <c r="N75" s="77">
        <v>0</v>
      </c>
      <c r="O75" s="75">
        <v>0</v>
      </c>
      <c r="P75" s="67">
        <f t="shared" si="24"/>
        <v>355.72</v>
      </c>
      <c r="Q75" s="77">
        <v>1872.800038</v>
      </c>
      <c r="R75" s="67">
        <f t="shared" si="25"/>
        <v>1067.16</v>
      </c>
      <c r="S75" s="67">
        <v>0</v>
      </c>
      <c r="T75" s="76">
        <f t="shared" si="26"/>
        <v>633.276113</v>
      </c>
      <c r="U75" s="76"/>
      <c r="V75" s="77">
        <v>0</v>
      </c>
      <c r="W75" s="75">
        <v>0</v>
      </c>
      <c r="X75" s="76"/>
      <c r="Y75" s="77">
        <v>362.952688</v>
      </c>
      <c r="Z75" s="77">
        <v>0</v>
      </c>
      <c r="AA75" s="67">
        <f t="shared" si="27"/>
        <v>0</v>
      </c>
      <c r="AB75" s="77">
        <v>0</v>
      </c>
      <c r="AC75" s="67">
        <f t="shared" si="28"/>
        <v>0</v>
      </c>
      <c r="AD75" s="77">
        <v>0</v>
      </c>
      <c r="AE75" s="67">
        <f t="shared" si="29"/>
        <v>0</v>
      </c>
      <c r="AF75" s="82">
        <v>0</v>
      </c>
      <c r="AG75" s="67">
        <f t="shared" si="30"/>
        <v>0</v>
      </c>
      <c r="AH75" s="77">
        <v>0</v>
      </c>
      <c r="AI75" s="67">
        <f t="shared" si="31"/>
        <v>0</v>
      </c>
      <c r="AJ75" s="77">
        <v>0</v>
      </c>
      <c r="AK75" s="77">
        <v>0</v>
      </c>
      <c r="AL75" s="77">
        <v>0</v>
      </c>
      <c r="AM75" s="77">
        <v>0</v>
      </c>
      <c r="AN75" s="77">
        <v>0</v>
      </c>
      <c r="AO75" s="77">
        <v>270.323425</v>
      </c>
      <c r="AP75" s="67">
        <f t="shared" si="32"/>
        <v>355.72</v>
      </c>
      <c r="AQ75" s="91">
        <f t="shared" si="33"/>
        <v>0.71144</v>
      </c>
      <c r="AR75" s="91">
        <f t="shared" si="34"/>
        <v>0.0118573333333333</v>
      </c>
      <c r="AS75" s="67">
        <f t="shared" si="35"/>
        <v>0</v>
      </c>
      <c r="AT75" s="67">
        <f t="shared" si="36"/>
        <v>0</v>
      </c>
      <c r="AU75" s="67">
        <f t="shared" si="37"/>
        <v>0.35572</v>
      </c>
      <c r="AV75" s="67">
        <f t="shared" si="38"/>
        <v>0.00741083333333333</v>
      </c>
      <c r="AW75" s="67">
        <f t="shared" si="39"/>
        <v>0</v>
      </c>
      <c r="AX75" s="67"/>
      <c r="AY75" s="67"/>
      <c r="AZ75" s="75"/>
    </row>
    <row r="76" s="51" customFormat="1" ht="13.5" customHeight="1" spans="1:58">
      <c r="A76" s="64">
        <v>71</v>
      </c>
      <c r="B76" s="65" t="s">
        <v>163</v>
      </c>
      <c r="C76" s="65" t="s">
        <v>163</v>
      </c>
      <c r="D76" s="65" t="s">
        <v>85</v>
      </c>
      <c r="E76" s="65" t="s">
        <v>139</v>
      </c>
      <c r="F76" s="66">
        <v>106.65</v>
      </c>
      <c r="G76" s="67">
        <f t="shared" si="20"/>
        <v>17.236066169714</v>
      </c>
      <c r="H76" s="67">
        <f t="shared" si="21"/>
        <v>1838.226457</v>
      </c>
      <c r="I76" s="75">
        <v>3</v>
      </c>
      <c r="J76" s="75">
        <v>3</v>
      </c>
      <c r="K76" s="76">
        <f t="shared" si="22"/>
        <v>957.634471</v>
      </c>
      <c r="L76" s="76">
        <f t="shared" si="23"/>
        <v>317.734471</v>
      </c>
      <c r="M76" s="75">
        <v>0</v>
      </c>
      <c r="N76" s="77">
        <v>0</v>
      </c>
      <c r="O76" s="75">
        <v>0</v>
      </c>
      <c r="P76" s="67">
        <f t="shared" si="24"/>
        <v>213.3</v>
      </c>
      <c r="Q76" s="77">
        <v>1520.491986</v>
      </c>
      <c r="R76" s="71">
        <f t="shared" si="25"/>
        <v>639.9</v>
      </c>
      <c r="S76" s="71">
        <v>0</v>
      </c>
      <c r="T76" s="76">
        <f t="shared" si="26"/>
        <v>317.734471</v>
      </c>
      <c r="U76" s="79"/>
      <c r="V76" s="77">
        <v>0</v>
      </c>
      <c r="W76" s="75">
        <v>0</v>
      </c>
      <c r="X76" s="79"/>
      <c r="Y76" s="77">
        <v>133.603628</v>
      </c>
      <c r="Z76" s="77">
        <v>0</v>
      </c>
      <c r="AA76" s="71">
        <f t="shared" si="27"/>
        <v>0</v>
      </c>
      <c r="AB76" s="77">
        <v>0</v>
      </c>
      <c r="AC76" s="71">
        <f t="shared" si="28"/>
        <v>0</v>
      </c>
      <c r="AD76" s="77">
        <v>0</v>
      </c>
      <c r="AE76" s="71">
        <f t="shared" si="29"/>
        <v>0</v>
      </c>
      <c r="AF76" s="82">
        <v>0</v>
      </c>
      <c r="AG76" s="71">
        <f t="shared" si="30"/>
        <v>0</v>
      </c>
      <c r="AH76" s="77">
        <v>0</v>
      </c>
      <c r="AI76" s="71">
        <f t="shared" si="31"/>
        <v>0</v>
      </c>
      <c r="AJ76" s="77">
        <v>0</v>
      </c>
      <c r="AK76" s="77">
        <v>0</v>
      </c>
      <c r="AL76" s="77">
        <v>0</v>
      </c>
      <c r="AM76" s="77">
        <v>0</v>
      </c>
      <c r="AN76" s="77">
        <v>0</v>
      </c>
      <c r="AO76" s="77">
        <v>184.130843</v>
      </c>
      <c r="AP76" s="71">
        <f t="shared" si="32"/>
        <v>213.3</v>
      </c>
      <c r="AQ76" s="91">
        <f t="shared" si="33"/>
        <v>0.4266</v>
      </c>
      <c r="AR76" s="91">
        <f t="shared" si="34"/>
        <v>0.00711</v>
      </c>
      <c r="AS76" s="67">
        <f t="shared" si="35"/>
        <v>0</v>
      </c>
      <c r="AT76" s="67">
        <f t="shared" si="36"/>
        <v>0</v>
      </c>
      <c r="AU76" s="67">
        <f t="shared" si="37"/>
        <v>0.2133</v>
      </c>
      <c r="AV76" s="67">
        <f t="shared" si="38"/>
        <v>0.00444375</v>
      </c>
      <c r="AW76" s="67">
        <f t="shared" si="39"/>
        <v>0</v>
      </c>
      <c r="AX76" s="67"/>
      <c r="AY76" s="67"/>
      <c r="AZ76" s="75"/>
      <c r="BF76" s="99"/>
    </row>
    <row r="77" spans="1:52">
      <c r="A77" s="64">
        <v>72</v>
      </c>
      <c r="B77" s="65" t="s">
        <v>159</v>
      </c>
      <c r="C77" s="65" t="s">
        <v>159</v>
      </c>
      <c r="D77" s="65" t="s">
        <v>83</v>
      </c>
      <c r="E77" s="65" t="s">
        <v>92</v>
      </c>
      <c r="F77" s="66">
        <v>764.15</v>
      </c>
      <c r="G77" s="67">
        <f t="shared" si="20"/>
        <v>11.2247301733953</v>
      </c>
      <c r="H77" s="67">
        <f t="shared" si="21"/>
        <v>8577.377562</v>
      </c>
      <c r="I77" s="75">
        <v>2</v>
      </c>
      <c r="J77" s="78">
        <v>3</v>
      </c>
      <c r="K77" s="76">
        <f t="shared" si="22"/>
        <v>4584.9</v>
      </c>
      <c r="L77" s="76">
        <f t="shared" si="23"/>
        <v>0</v>
      </c>
      <c r="M77" s="75">
        <v>2</v>
      </c>
      <c r="N77" s="77">
        <v>0</v>
      </c>
      <c r="O77" s="75">
        <v>0</v>
      </c>
      <c r="P77" s="67">
        <f t="shared" si="24"/>
        <v>1528.3</v>
      </c>
      <c r="Q77" s="77">
        <v>8577.377562</v>
      </c>
      <c r="R77" s="67">
        <f t="shared" si="25"/>
        <v>4584.9</v>
      </c>
      <c r="S77" s="67">
        <v>0</v>
      </c>
      <c r="T77" s="76">
        <f t="shared" si="26"/>
        <v>0</v>
      </c>
      <c r="U77" s="76"/>
      <c r="V77" s="77">
        <v>0</v>
      </c>
      <c r="W77" s="75">
        <v>0</v>
      </c>
      <c r="X77" s="76"/>
      <c r="Y77" s="77">
        <v>0</v>
      </c>
      <c r="Z77" s="77">
        <v>0</v>
      </c>
      <c r="AA77" s="67">
        <f t="shared" si="27"/>
        <v>0</v>
      </c>
      <c r="AB77" s="77">
        <v>0</v>
      </c>
      <c r="AC77" s="67">
        <f t="shared" si="28"/>
        <v>0</v>
      </c>
      <c r="AD77" s="77">
        <v>0</v>
      </c>
      <c r="AE77" s="67">
        <f t="shared" si="29"/>
        <v>0</v>
      </c>
      <c r="AF77" s="82">
        <v>0</v>
      </c>
      <c r="AG77" s="67">
        <f t="shared" si="30"/>
        <v>0</v>
      </c>
      <c r="AH77" s="77">
        <v>0</v>
      </c>
      <c r="AI77" s="67">
        <f t="shared" si="31"/>
        <v>0</v>
      </c>
      <c r="AJ77" s="77">
        <v>0</v>
      </c>
      <c r="AK77" s="77">
        <v>0</v>
      </c>
      <c r="AL77" s="77">
        <v>0</v>
      </c>
      <c r="AM77" s="77">
        <v>0</v>
      </c>
      <c r="AN77" s="77">
        <v>0</v>
      </c>
      <c r="AO77" s="77">
        <v>0</v>
      </c>
      <c r="AP77" s="67">
        <f t="shared" si="32"/>
        <v>1528.3</v>
      </c>
      <c r="AQ77" s="91">
        <f t="shared" si="33"/>
        <v>3.0566</v>
      </c>
      <c r="AR77" s="91">
        <f t="shared" si="34"/>
        <v>0.0509433333333333</v>
      </c>
      <c r="AS77" s="67">
        <f t="shared" si="35"/>
        <v>0</v>
      </c>
      <c r="AT77" s="67">
        <f t="shared" si="36"/>
        <v>0</v>
      </c>
      <c r="AU77" s="67">
        <f t="shared" si="37"/>
        <v>1.5283</v>
      </c>
      <c r="AV77" s="67">
        <f t="shared" si="38"/>
        <v>0.0318395833333333</v>
      </c>
      <c r="AW77" s="67">
        <f t="shared" si="39"/>
        <v>0</v>
      </c>
      <c r="AX77" s="67"/>
      <c r="AY77" s="67"/>
      <c r="AZ77" s="75"/>
    </row>
    <row r="78" spans="1:52">
      <c r="A78" s="64">
        <v>73</v>
      </c>
      <c r="B78" s="65" t="s">
        <v>159</v>
      </c>
      <c r="C78" s="65" t="s">
        <v>159</v>
      </c>
      <c r="D78" s="65" t="s">
        <v>92</v>
      </c>
      <c r="E78" s="65" t="s">
        <v>83</v>
      </c>
      <c r="F78" s="66">
        <v>732.72</v>
      </c>
      <c r="G78" s="67">
        <f t="shared" si="20"/>
        <v>15.0759534255923</v>
      </c>
      <c r="H78" s="67">
        <f t="shared" si="21"/>
        <v>11046.452594</v>
      </c>
      <c r="I78" s="75">
        <v>2</v>
      </c>
      <c r="J78" s="78">
        <v>3</v>
      </c>
      <c r="K78" s="76">
        <f t="shared" si="22"/>
        <v>6316.626338</v>
      </c>
      <c r="L78" s="76">
        <f t="shared" si="23"/>
        <v>1920.306338</v>
      </c>
      <c r="M78" s="75">
        <v>2</v>
      </c>
      <c r="N78" s="77">
        <v>0</v>
      </c>
      <c r="O78" s="75">
        <v>0</v>
      </c>
      <c r="P78" s="67">
        <f t="shared" si="24"/>
        <v>1465.44</v>
      </c>
      <c r="Q78" s="77">
        <v>9126.146256</v>
      </c>
      <c r="R78" s="67">
        <f t="shared" si="25"/>
        <v>4396.32</v>
      </c>
      <c r="S78" s="67">
        <v>0</v>
      </c>
      <c r="T78" s="76">
        <f t="shared" si="26"/>
        <v>1920.306338</v>
      </c>
      <c r="U78" s="76"/>
      <c r="V78" s="77">
        <v>0</v>
      </c>
      <c r="W78" s="75">
        <v>0</v>
      </c>
      <c r="X78" s="76"/>
      <c r="Y78" s="77">
        <v>0</v>
      </c>
      <c r="Z78" s="77">
        <v>0</v>
      </c>
      <c r="AA78" s="67">
        <f t="shared" si="27"/>
        <v>0</v>
      </c>
      <c r="AB78" s="77">
        <v>0</v>
      </c>
      <c r="AC78" s="67">
        <f t="shared" si="28"/>
        <v>0</v>
      </c>
      <c r="AD78" s="77">
        <v>0</v>
      </c>
      <c r="AE78" s="67">
        <f t="shared" si="29"/>
        <v>0</v>
      </c>
      <c r="AF78" s="82">
        <v>0</v>
      </c>
      <c r="AG78" s="67">
        <f t="shared" si="30"/>
        <v>0</v>
      </c>
      <c r="AH78" s="77">
        <v>128.591878</v>
      </c>
      <c r="AI78" s="67">
        <f t="shared" si="31"/>
        <v>257.183756</v>
      </c>
      <c r="AJ78" s="77">
        <v>0</v>
      </c>
      <c r="AK78" s="77">
        <v>0</v>
      </c>
      <c r="AL78" s="77">
        <v>0</v>
      </c>
      <c r="AM78" s="77">
        <v>0</v>
      </c>
      <c r="AN78" s="77">
        <v>0</v>
      </c>
      <c r="AO78" s="77">
        <v>1663.122582</v>
      </c>
      <c r="AP78" s="67">
        <f t="shared" si="32"/>
        <v>1465.44</v>
      </c>
      <c r="AQ78" s="91">
        <f t="shared" si="33"/>
        <v>2.93088</v>
      </c>
      <c r="AR78" s="91">
        <f t="shared" si="34"/>
        <v>0.048848</v>
      </c>
      <c r="AS78" s="67">
        <f t="shared" si="35"/>
        <v>0</v>
      </c>
      <c r="AT78" s="67">
        <f t="shared" si="36"/>
        <v>0</v>
      </c>
      <c r="AU78" s="67">
        <f t="shared" si="37"/>
        <v>1.46544</v>
      </c>
      <c r="AV78" s="67">
        <f t="shared" si="38"/>
        <v>0.03053</v>
      </c>
      <c r="AW78" s="67">
        <f t="shared" si="39"/>
        <v>0</v>
      </c>
      <c r="AX78" s="67"/>
      <c r="AY78" s="67"/>
      <c r="AZ78" s="75"/>
    </row>
    <row r="79" spans="1:52">
      <c r="A79" s="64">
        <v>74</v>
      </c>
      <c r="B79" s="65" t="s">
        <v>159</v>
      </c>
      <c r="C79" s="65" t="s">
        <v>159</v>
      </c>
      <c r="D79" s="65" t="s">
        <v>164</v>
      </c>
      <c r="E79" s="65" t="s">
        <v>92</v>
      </c>
      <c r="F79" s="66">
        <v>308.88</v>
      </c>
      <c r="G79" s="67">
        <f t="shared" si="20"/>
        <v>18.7042691368816</v>
      </c>
      <c r="H79" s="67">
        <f t="shared" si="21"/>
        <v>5777.374651</v>
      </c>
      <c r="I79" s="75">
        <v>2</v>
      </c>
      <c r="J79" s="78">
        <v>3</v>
      </c>
      <c r="K79" s="76">
        <f t="shared" si="22"/>
        <v>1853.28</v>
      </c>
      <c r="L79" s="76">
        <f t="shared" si="23"/>
        <v>0</v>
      </c>
      <c r="M79" s="75">
        <v>4</v>
      </c>
      <c r="N79" s="77">
        <v>0</v>
      </c>
      <c r="O79" s="75">
        <v>0</v>
      </c>
      <c r="P79" s="67">
        <f t="shared" si="24"/>
        <v>617.76</v>
      </c>
      <c r="Q79" s="77">
        <v>5777.374651</v>
      </c>
      <c r="R79" s="67">
        <f t="shared" si="25"/>
        <v>1853.28</v>
      </c>
      <c r="S79" s="67">
        <v>0</v>
      </c>
      <c r="T79" s="76">
        <f t="shared" si="26"/>
        <v>0</v>
      </c>
      <c r="U79" s="76"/>
      <c r="V79" s="77">
        <v>0</v>
      </c>
      <c r="W79" s="75">
        <v>0</v>
      </c>
      <c r="X79" s="76"/>
      <c r="Y79" s="77">
        <v>0</v>
      </c>
      <c r="Z79" s="77">
        <v>0</v>
      </c>
      <c r="AA79" s="67">
        <f t="shared" si="27"/>
        <v>0</v>
      </c>
      <c r="AB79" s="77">
        <v>0</v>
      </c>
      <c r="AC79" s="67">
        <f t="shared" si="28"/>
        <v>0</v>
      </c>
      <c r="AD79" s="77">
        <v>0</v>
      </c>
      <c r="AE79" s="67">
        <f t="shared" si="29"/>
        <v>0</v>
      </c>
      <c r="AF79" s="82">
        <v>0</v>
      </c>
      <c r="AG79" s="67">
        <f t="shared" si="30"/>
        <v>0</v>
      </c>
      <c r="AH79" s="77">
        <v>0</v>
      </c>
      <c r="AI79" s="67">
        <f t="shared" si="31"/>
        <v>0</v>
      </c>
      <c r="AJ79" s="77">
        <v>0</v>
      </c>
      <c r="AK79" s="77">
        <v>0</v>
      </c>
      <c r="AL79" s="77">
        <v>0</v>
      </c>
      <c r="AM79" s="77">
        <v>0</v>
      </c>
      <c r="AN79" s="77">
        <v>0</v>
      </c>
      <c r="AO79" s="77">
        <v>0</v>
      </c>
      <c r="AP79" s="67">
        <f t="shared" si="32"/>
        <v>617.76</v>
      </c>
      <c r="AQ79" s="91">
        <f t="shared" si="33"/>
        <v>1.23552</v>
      </c>
      <c r="AR79" s="91">
        <f t="shared" si="34"/>
        <v>0.020592</v>
      </c>
      <c r="AS79" s="67">
        <f t="shared" si="35"/>
        <v>0</v>
      </c>
      <c r="AT79" s="67">
        <f t="shared" si="36"/>
        <v>0</v>
      </c>
      <c r="AU79" s="67">
        <f t="shared" si="37"/>
        <v>0.61776</v>
      </c>
      <c r="AV79" s="67">
        <f t="shared" si="38"/>
        <v>0.01287</v>
      </c>
      <c r="AW79" s="67">
        <f t="shared" si="39"/>
        <v>0</v>
      </c>
      <c r="AX79" s="67"/>
      <c r="AY79" s="67"/>
      <c r="AZ79" s="75"/>
    </row>
    <row r="80" spans="1:52">
      <c r="A80" s="64">
        <v>75</v>
      </c>
      <c r="B80" s="65" t="s">
        <v>165</v>
      </c>
      <c r="C80" s="65" t="s">
        <v>165</v>
      </c>
      <c r="D80" s="65" t="s">
        <v>138</v>
      </c>
      <c r="E80" s="65" t="s">
        <v>92</v>
      </c>
      <c r="F80" s="66">
        <v>1150.24</v>
      </c>
      <c r="G80" s="67">
        <f t="shared" si="20"/>
        <v>18.893971880651</v>
      </c>
      <c r="H80" s="67">
        <f t="shared" si="21"/>
        <v>21732.602216</v>
      </c>
      <c r="I80" s="75">
        <v>3</v>
      </c>
      <c r="J80" s="75">
        <v>3</v>
      </c>
      <c r="K80" s="76">
        <f t="shared" si="22"/>
        <v>20766.952057</v>
      </c>
      <c r="L80" s="76">
        <f t="shared" si="23"/>
        <v>13865.512057</v>
      </c>
      <c r="M80" s="75">
        <v>2</v>
      </c>
      <c r="N80" s="77">
        <v>0</v>
      </c>
      <c r="O80" s="75">
        <v>0</v>
      </c>
      <c r="P80" s="67">
        <f t="shared" si="24"/>
        <v>2300.48</v>
      </c>
      <c r="Q80" s="77">
        <v>7867.090159</v>
      </c>
      <c r="R80" s="67">
        <f t="shared" si="25"/>
        <v>6901.44</v>
      </c>
      <c r="S80" s="67">
        <v>0</v>
      </c>
      <c r="T80" s="76">
        <f t="shared" si="26"/>
        <v>13865.512057</v>
      </c>
      <c r="U80" s="76"/>
      <c r="V80" s="77">
        <v>0</v>
      </c>
      <c r="W80" s="75">
        <v>0</v>
      </c>
      <c r="X80" s="76"/>
      <c r="Y80" s="77">
        <v>125.984546</v>
      </c>
      <c r="Z80" s="77">
        <v>0</v>
      </c>
      <c r="AA80" s="67">
        <f t="shared" si="27"/>
        <v>0</v>
      </c>
      <c r="AB80" s="77">
        <v>0</v>
      </c>
      <c r="AC80" s="67">
        <f t="shared" si="28"/>
        <v>0</v>
      </c>
      <c r="AD80" s="77">
        <v>0</v>
      </c>
      <c r="AE80" s="67">
        <f t="shared" si="29"/>
        <v>0</v>
      </c>
      <c r="AF80" s="82">
        <v>0</v>
      </c>
      <c r="AG80" s="67">
        <f t="shared" si="30"/>
        <v>0</v>
      </c>
      <c r="AH80" s="77">
        <v>661.214336</v>
      </c>
      <c r="AI80" s="67">
        <f t="shared" si="31"/>
        <v>1322.428672</v>
      </c>
      <c r="AJ80" s="77">
        <v>552.528732</v>
      </c>
      <c r="AK80" s="77">
        <v>533.722556</v>
      </c>
      <c r="AL80" s="77">
        <v>0</v>
      </c>
      <c r="AM80" s="77">
        <v>0</v>
      </c>
      <c r="AN80" s="77">
        <v>0</v>
      </c>
      <c r="AO80" s="77">
        <v>11330.847551</v>
      </c>
      <c r="AP80" s="67">
        <f t="shared" si="32"/>
        <v>2300.48</v>
      </c>
      <c r="AQ80" s="91">
        <f t="shared" si="33"/>
        <v>4.60096</v>
      </c>
      <c r="AR80" s="91">
        <f t="shared" si="34"/>
        <v>0.0766826666666667</v>
      </c>
      <c r="AS80" s="67">
        <f t="shared" si="35"/>
        <v>0</v>
      </c>
      <c r="AT80" s="67">
        <f t="shared" si="36"/>
        <v>0</v>
      </c>
      <c r="AU80" s="67">
        <f t="shared" si="37"/>
        <v>2.30048</v>
      </c>
      <c r="AV80" s="67">
        <f t="shared" si="38"/>
        <v>0.0479266666666667</v>
      </c>
      <c r="AW80" s="67">
        <f t="shared" si="39"/>
        <v>0</v>
      </c>
      <c r="AX80" s="67"/>
      <c r="AY80" s="67"/>
      <c r="AZ80" s="75"/>
    </row>
    <row r="81" spans="1:52">
      <c r="A81" s="64">
        <v>76</v>
      </c>
      <c r="B81" s="65" t="s">
        <v>166</v>
      </c>
      <c r="C81" s="65" t="s">
        <v>166</v>
      </c>
      <c r="D81" s="65" t="s">
        <v>167</v>
      </c>
      <c r="E81" s="65" t="s">
        <v>168</v>
      </c>
      <c r="F81" s="66">
        <v>334.39</v>
      </c>
      <c r="G81" s="67">
        <f t="shared" si="20"/>
        <v>13.6262929603158</v>
      </c>
      <c r="H81" s="67">
        <f t="shared" si="21"/>
        <v>4556.496103</v>
      </c>
      <c r="I81" s="75">
        <v>3</v>
      </c>
      <c r="J81" s="75">
        <v>3</v>
      </c>
      <c r="K81" s="76">
        <f t="shared" si="22"/>
        <v>5539.41099</v>
      </c>
      <c r="L81" s="76">
        <f t="shared" si="23"/>
        <v>3533.07099</v>
      </c>
      <c r="M81" s="75">
        <v>0</v>
      </c>
      <c r="N81" s="77">
        <v>0</v>
      </c>
      <c r="O81" s="75">
        <v>0</v>
      </c>
      <c r="P81" s="67">
        <f t="shared" si="24"/>
        <v>668.78</v>
      </c>
      <c r="Q81" s="77">
        <v>1023.425113</v>
      </c>
      <c r="R81" s="67">
        <f t="shared" si="25"/>
        <v>2006.34</v>
      </c>
      <c r="S81" s="67">
        <v>0</v>
      </c>
      <c r="T81" s="76">
        <f t="shared" si="26"/>
        <v>3533.07099</v>
      </c>
      <c r="U81" s="76"/>
      <c r="V81" s="77">
        <v>0</v>
      </c>
      <c r="W81" s="75">
        <v>0</v>
      </c>
      <c r="X81" s="76"/>
      <c r="Y81" s="77">
        <v>2307.178736</v>
      </c>
      <c r="Z81" s="77">
        <v>0</v>
      </c>
      <c r="AA81" s="67">
        <f t="shared" si="27"/>
        <v>0</v>
      </c>
      <c r="AB81" s="77">
        <v>0</v>
      </c>
      <c r="AC81" s="67">
        <f t="shared" si="28"/>
        <v>0</v>
      </c>
      <c r="AD81" s="77">
        <v>0</v>
      </c>
      <c r="AE81" s="67">
        <f t="shared" si="29"/>
        <v>0</v>
      </c>
      <c r="AF81" s="82">
        <v>0</v>
      </c>
      <c r="AG81" s="67">
        <f t="shared" si="30"/>
        <v>0</v>
      </c>
      <c r="AH81" s="77">
        <v>0</v>
      </c>
      <c r="AI81" s="67">
        <f t="shared" si="31"/>
        <v>0</v>
      </c>
      <c r="AJ81" s="77">
        <v>299.928928</v>
      </c>
      <c r="AK81" s="77">
        <v>0</v>
      </c>
      <c r="AL81" s="77">
        <v>0</v>
      </c>
      <c r="AM81" s="77">
        <v>0</v>
      </c>
      <c r="AN81" s="77">
        <v>0</v>
      </c>
      <c r="AO81" s="77">
        <v>925.963326</v>
      </c>
      <c r="AP81" s="67">
        <f t="shared" si="32"/>
        <v>668.78</v>
      </c>
      <c r="AQ81" s="91">
        <f t="shared" si="33"/>
        <v>1.33756</v>
      </c>
      <c r="AR81" s="91">
        <f t="shared" si="34"/>
        <v>0.0222926666666667</v>
      </c>
      <c r="AS81" s="67">
        <f t="shared" si="35"/>
        <v>0</v>
      </c>
      <c r="AT81" s="67">
        <f t="shared" si="36"/>
        <v>0</v>
      </c>
      <c r="AU81" s="67">
        <f t="shared" si="37"/>
        <v>0.66878</v>
      </c>
      <c r="AV81" s="67">
        <f t="shared" si="38"/>
        <v>0.0139329166666667</v>
      </c>
      <c r="AW81" s="67">
        <f t="shared" si="39"/>
        <v>0</v>
      </c>
      <c r="AX81" s="67"/>
      <c r="AY81" s="67"/>
      <c r="AZ81" s="75"/>
    </row>
    <row r="82" spans="1:52">
      <c r="A82" s="64">
        <v>77</v>
      </c>
      <c r="B82" s="65" t="s">
        <v>166</v>
      </c>
      <c r="C82" s="65" t="s">
        <v>166</v>
      </c>
      <c r="D82" s="65" t="s">
        <v>168</v>
      </c>
      <c r="E82" s="65" t="s">
        <v>169</v>
      </c>
      <c r="F82" s="66">
        <v>213.26</v>
      </c>
      <c r="G82" s="67">
        <f t="shared" si="20"/>
        <v>6.70433149676451</v>
      </c>
      <c r="H82" s="67">
        <f t="shared" si="21"/>
        <v>1429.765735</v>
      </c>
      <c r="I82" s="75">
        <v>3</v>
      </c>
      <c r="J82" s="75">
        <v>3</v>
      </c>
      <c r="K82" s="76">
        <f t="shared" si="22"/>
        <v>1279.56</v>
      </c>
      <c r="L82" s="76">
        <f t="shared" si="23"/>
        <v>0</v>
      </c>
      <c r="M82" s="75">
        <v>0</v>
      </c>
      <c r="N82" s="77">
        <v>0</v>
      </c>
      <c r="O82" s="75">
        <v>0</v>
      </c>
      <c r="P82" s="67">
        <f t="shared" si="24"/>
        <v>426.52</v>
      </c>
      <c r="Q82" s="77">
        <v>1429.765735</v>
      </c>
      <c r="R82" s="67">
        <f t="shared" si="25"/>
        <v>1279.56</v>
      </c>
      <c r="S82" s="67">
        <v>0</v>
      </c>
      <c r="T82" s="76">
        <f t="shared" si="26"/>
        <v>0</v>
      </c>
      <c r="U82" s="76"/>
      <c r="V82" s="77">
        <v>0</v>
      </c>
      <c r="W82" s="75">
        <v>0</v>
      </c>
      <c r="X82" s="76"/>
      <c r="Y82" s="77">
        <v>0</v>
      </c>
      <c r="Z82" s="77">
        <v>0</v>
      </c>
      <c r="AA82" s="67">
        <f t="shared" si="27"/>
        <v>0</v>
      </c>
      <c r="AB82" s="77">
        <v>0</v>
      </c>
      <c r="AC82" s="67">
        <f t="shared" si="28"/>
        <v>0</v>
      </c>
      <c r="AD82" s="77">
        <v>0</v>
      </c>
      <c r="AE82" s="67">
        <f t="shared" si="29"/>
        <v>0</v>
      </c>
      <c r="AF82" s="82">
        <v>0</v>
      </c>
      <c r="AG82" s="67">
        <f t="shared" si="30"/>
        <v>0</v>
      </c>
      <c r="AH82" s="77">
        <v>0</v>
      </c>
      <c r="AI82" s="67">
        <f t="shared" si="31"/>
        <v>0</v>
      </c>
      <c r="AJ82" s="77">
        <v>0</v>
      </c>
      <c r="AK82" s="77">
        <v>0</v>
      </c>
      <c r="AL82" s="77">
        <v>0</v>
      </c>
      <c r="AM82" s="77">
        <v>0</v>
      </c>
      <c r="AN82" s="77">
        <v>0</v>
      </c>
      <c r="AO82" s="77">
        <v>0</v>
      </c>
      <c r="AP82" s="67">
        <f t="shared" si="32"/>
        <v>426.52</v>
      </c>
      <c r="AQ82" s="91">
        <f t="shared" si="33"/>
        <v>0.85304</v>
      </c>
      <c r="AR82" s="91">
        <f t="shared" si="34"/>
        <v>0.0142173333333333</v>
      </c>
      <c r="AS82" s="67">
        <f t="shared" si="35"/>
        <v>0</v>
      </c>
      <c r="AT82" s="67">
        <f t="shared" si="36"/>
        <v>0</v>
      </c>
      <c r="AU82" s="67">
        <f t="shared" si="37"/>
        <v>0.42652</v>
      </c>
      <c r="AV82" s="67">
        <f t="shared" si="38"/>
        <v>0.00888583333333333</v>
      </c>
      <c r="AW82" s="67">
        <f t="shared" si="39"/>
        <v>0</v>
      </c>
      <c r="AX82" s="67"/>
      <c r="AY82" s="67"/>
      <c r="AZ82" s="75"/>
    </row>
    <row r="83" spans="1:52">
      <c r="A83" s="64">
        <v>78</v>
      </c>
      <c r="B83" s="65" t="s">
        <v>140</v>
      </c>
      <c r="C83" s="65" t="s">
        <v>140</v>
      </c>
      <c r="D83" s="65" t="s">
        <v>170</v>
      </c>
      <c r="E83" s="65" t="s">
        <v>85</v>
      </c>
      <c r="F83" s="66">
        <v>485.93</v>
      </c>
      <c r="G83" s="67">
        <f t="shared" si="20"/>
        <v>28.3496131294631</v>
      </c>
      <c r="H83" s="67">
        <f t="shared" si="21"/>
        <v>13775.927508</v>
      </c>
      <c r="I83" s="75">
        <v>3</v>
      </c>
      <c r="J83" s="75">
        <v>3</v>
      </c>
      <c r="K83" s="76">
        <f t="shared" si="22"/>
        <v>9314.006448</v>
      </c>
      <c r="L83" s="76">
        <f t="shared" si="23"/>
        <v>6398.426448</v>
      </c>
      <c r="M83" s="75">
        <v>0</v>
      </c>
      <c r="N83" s="77">
        <v>0</v>
      </c>
      <c r="O83" s="75">
        <v>0</v>
      </c>
      <c r="P83" s="67">
        <f t="shared" si="24"/>
        <v>971.86</v>
      </c>
      <c r="Q83" s="77">
        <v>7377.50106</v>
      </c>
      <c r="R83" s="67">
        <f t="shared" si="25"/>
        <v>2915.58</v>
      </c>
      <c r="S83" s="67">
        <v>0</v>
      </c>
      <c r="T83" s="76">
        <f t="shared" si="26"/>
        <v>6398.426448</v>
      </c>
      <c r="U83" s="76"/>
      <c r="V83" s="77">
        <v>0</v>
      </c>
      <c r="W83" s="75">
        <v>0</v>
      </c>
      <c r="X83" s="76"/>
      <c r="Y83" s="77">
        <v>2347.309438</v>
      </c>
      <c r="Z83" s="77">
        <v>0</v>
      </c>
      <c r="AA83" s="67">
        <f t="shared" si="27"/>
        <v>0</v>
      </c>
      <c r="AB83" s="77">
        <v>0</v>
      </c>
      <c r="AC83" s="67">
        <f t="shared" si="28"/>
        <v>0</v>
      </c>
      <c r="AD83" s="77">
        <v>0</v>
      </c>
      <c r="AE83" s="67">
        <f t="shared" si="29"/>
        <v>0</v>
      </c>
      <c r="AF83" s="82">
        <v>0</v>
      </c>
      <c r="AG83" s="67">
        <f t="shared" si="30"/>
        <v>0</v>
      </c>
      <c r="AH83" s="77">
        <v>0</v>
      </c>
      <c r="AI83" s="67">
        <f t="shared" si="31"/>
        <v>0</v>
      </c>
      <c r="AJ83" s="77">
        <v>672.454888</v>
      </c>
      <c r="AK83" s="77">
        <v>0</v>
      </c>
      <c r="AL83" s="77">
        <v>0</v>
      </c>
      <c r="AM83" s="77">
        <v>0</v>
      </c>
      <c r="AN83" s="77">
        <v>0</v>
      </c>
      <c r="AO83" s="77">
        <v>3378.662122</v>
      </c>
      <c r="AP83" s="67">
        <f t="shared" si="32"/>
        <v>971.86</v>
      </c>
      <c r="AQ83" s="91">
        <f t="shared" si="33"/>
        <v>1.94372</v>
      </c>
      <c r="AR83" s="91">
        <f t="shared" si="34"/>
        <v>0.0323953333333333</v>
      </c>
      <c r="AS83" s="67">
        <f t="shared" si="35"/>
        <v>0</v>
      </c>
      <c r="AT83" s="67">
        <f t="shared" si="36"/>
        <v>0</v>
      </c>
      <c r="AU83" s="67">
        <f t="shared" si="37"/>
        <v>0.97186</v>
      </c>
      <c r="AV83" s="67">
        <f t="shared" si="38"/>
        <v>0.0202470833333333</v>
      </c>
      <c r="AW83" s="67">
        <f t="shared" si="39"/>
        <v>0</v>
      </c>
      <c r="AX83" s="67"/>
      <c r="AY83" s="67"/>
      <c r="AZ83" s="75"/>
    </row>
    <row r="84" spans="1:52">
      <c r="A84" s="64">
        <v>79</v>
      </c>
      <c r="B84" s="65" t="s">
        <v>171</v>
      </c>
      <c r="C84" s="65" t="s">
        <v>171</v>
      </c>
      <c r="D84" s="65" t="s">
        <v>172</v>
      </c>
      <c r="E84" s="65" t="s">
        <v>170</v>
      </c>
      <c r="F84" s="66">
        <v>272.49</v>
      </c>
      <c r="G84" s="67">
        <f t="shared" si="20"/>
        <v>13.8359730999303</v>
      </c>
      <c r="H84" s="67">
        <f t="shared" si="21"/>
        <v>3770.16431</v>
      </c>
      <c r="I84" s="75">
        <v>3</v>
      </c>
      <c r="J84" s="75">
        <v>3</v>
      </c>
      <c r="K84" s="76">
        <f t="shared" si="22"/>
        <v>3002.860312</v>
      </c>
      <c r="L84" s="76">
        <f t="shared" si="23"/>
        <v>1367.920312</v>
      </c>
      <c r="M84" s="75">
        <v>2</v>
      </c>
      <c r="N84" s="77">
        <v>0</v>
      </c>
      <c r="O84" s="75">
        <v>0</v>
      </c>
      <c r="P84" s="67">
        <f t="shared" si="24"/>
        <v>544.98</v>
      </c>
      <c r="Q84" s="77">
        <v>2402.243998</v>
      </c>
      <c r="R84" s="67">
        <f t="shared" si="25"/>
        <v>1634.94</v>
      </c>
      <c r="S84" s="67">
        <v>0</v>
      </c>
      <c r="T84" s="76">
        <f t="shared" si="26"/>
        <v>1367.920312</v>
      </c>
      <c r="U84" s="76"/>
      <c r="V84" s="77">
        <v>0</v>
      </c>
      <c r="W84" s="75">
        <v>0</v>
      </c>
      <c r="X84" s="76"/>
      <c r="Y84" s="77">
        <v>0</v>
      </c>
      <c r="Z84" s="77">
        <v>0</v>
      </c>
      <c r="AA84" s="67">
        <f t="shared" si="27"/>
        <v>0</v>
      </c>
      <c r="AB84" s="77">
        <v>0</v>
      </c>
      <c r="AC84" s="67">
        <f t="shared" si="28"/>
        <v>0</v>
      </c>
      <c r="AD84" s="77">
        <v>0</v>
      </c>
      <c r="AE84" s="67">
        <f t="shared" si="29"/>
        <v>0</v>
      </c>
      <c r="AF84" s="82">
        <v>0</v>
      </c>
      <c r="AG84" s="67">
        <f t="shared" si="30"/>
        <v>0</v>
      </c>
      <c r="AH84" s="77">
        <v>0</v>
      </c>
      <c r="AI84" s="67">
        <f t="shared" si="31"/>
        <v>0</v>
      </c>
      <c r="AJ84" s="77">
        <v>52.75285</v>
      </c>
      <c r="AK84" s="77">
        <v>0</v>
      </c>
      <c r="AL84" s="77">
        <v>0</v>
      </c>
      <c r="AM84" s="77">
        <v>0</v>
      </c>
      <c r="AN84" s="77">
        <v>0</v>
      </c>
      <c r="AO84" s="77">
        <v>1315.167462</v>
      </c>
      <c r="AP84" s="67">
        <f t="shared" si="32"/>
        <v>544.98</v>
      </c>
      <c r="AQ84" s="91">
        <f t="shared" si="33"/>
        <v>1.08996</v>
      </c>
      <c r="AR84" s="91">
        <f t="shared" si="34"/>
        <v>0.018166</v>
      </c>
      <c r="AS84" s="67">
        <f t="shared" si="35"/>
        <v>0</v>
      </c>
      <c r="AT84" s="67">
        <f t="shared" si="36"/>
        <v>0</v>
      </c>
      <c r="AU84" s="67">
        <f t="shared" si="37"/>
        <v>0.54498</v>
      </c>
      <c r="AV84" s="67">
        <f t="shared" si="38"/>
        <v>0.01135375</v>
      </c>
      <c r="AW84" s="67">
        <f t="shared" si="39"/>
        <v>0</v>
      </c>
      <c r="AX84" s="67"/>
      <c r="AY84" s="67"/>
      <c r="AZ84" s="75"/>
    </row>
    <row r="85" spans="1:52">
      <c r="A85" s="64">
        <v>80</v>
      </c>
      <c r="B85" s="65" t="s">
        <v>171</v>
      </c>
      <c r="C85" s="65" t="s">
        <v>171</v>
      </c>
      <c r="D85" s="65" t="s">
        <v>173</v>
      </c>
      <c r="E85" s="65" t="s">
        <v>172</v>
      </c>
      <c r="F85" s="66">
        <v>331.21</v>
      </c>
      <c r="G85" s="67">
        <f t="shared" si="20"/>
        <v>10.7263385616376</v>
      </c>
      <c r="H85" s="67">
        <f t="shared" si="21"/>
        <v>3552.670595</v>
      </c>
      <c r="I85" s="75">
        <v>3</v>
      </c>
      <c r="J85" s="75">
        <v>3</v>
      </c>
      <c r="K85" s="76">
        <f t="shared" si="22"/>
        <v>3136.251544</v>
      </c>
      <c r="L85" s="76">
        <f t="shared" si="23"/>
        <v>1148.991544</v>
      </c>
      <c r="M85" s="75">
        <v>2</v>
      </c>
      <c r="N85" s="77">
        <v>0</v>
      </c>
      <c r="O85" s="75">
        <v>0</v>
      </c>
      <c r="P85" s="67">
        <f t="shared" si="24"/>
        <v>662.42</v>
      </c>
      <c r="Q85" s="77">
        <v>2403.679051</v>
      </c>
      <c r="R85" s="67">
        <f t="shared" si="25"/>
        <v>1987.26</v>
      </c>
      <c r="S85" s="67">
        <v>0</v>
      </c>
      <c r="T85" s="76">
        <f t="shared" si="26"/>
        <v>1148.991544</v>
      </c>
      <c r="U85" s="76"/>
      <c r="V85" s="77">
        <v>0</v>
      </c>
      <c r="W85" s="75">
        <v>0</v>
      </c>
      <c r="X85" s="76"/>
      <c r="Y85" s="77">
        <v>0</v>
      </c>
      <c r="Z85" s="77">
        <v>0</v>
      </c>
      <c r="AA85" s="67">
        <f t="shared" si="27"/>
        <v>0</v>
      </c>
      <c r="AB85" s="77">
        <v>0</v>
      </c>
      <c r="AC85" s="67">
        <f t="shared" si="28"/>
        <v>0</v>
      </c>
      <c r="AD85" s="77">
        <v>0</v>
      </c>
      <c r="AE85" s="67">
        <f t="shared" si="29"/>
        <v>0</v>
      </c>
      <c r="AF85" s="82">
        <v>0</v>
      </c>
      <c r="AG85" s="67">
        <f t="shared" si="30"/>
        <v>0</v>
      </c>
      <c r="AH85" s="77">
        <v>0</v>
      </c>
      <c r="AI85" s="67">
        <f t="shared" si="31"/>
        <v>0</v>
      </c>
      <c r="AJ85" s="77">
        <v>92.088829</v>
      </c>
      <c r="AK85" s="77">
        <v>0</v>
      </c>
      <c r="AL85" s="77">
        <v>0</v>
      </c>
      <c r="AM85" s="77">
        <v>0</v>
      </c>
      <c r="AN85" s="77">
        <v>0</v>
      </c>
      <c r="AO85" s="77">
        <v>1056.902715</v>
      </c>
      <c r="AP85" s="67">
        <f t="shared" si="32"/>
        <v>662.42</v>
      </c>
      <c r="AQ85" s="91">
        <f t="shared" si="33"/>
        <v>1.32484</v>
      </c>
      <c r="AR85" s="91">
        <f t="shared" si="34"/>
        <v>0.0220806666666667</v>
      </c>
      <c r="AS85" s="67">
        <f t="shared" si="35"/>
        <v>0</v>
      </c>
      <c r="AT85" s="67">
        <f t="shared" si="36"/>
        <v>0</v>
      </c>
      <c r="AU85" s="67">
        <f t="shared" si="37"/>
        <v>0.66242</v>
      </c>
      <c r="AV85" s="67">
        <f t="shared" si="38"/>
        <v>0.0138004166666667</v>
      </c>
      <c r="AW85" s="67">
        <f t="shared" si="39"/>
        <v>0</v>
      </c>
      <c r="AX85" s="67"/>
      <c r="AY85" s="67"/>
      <c r="AZ85" s="75"/>
    </row>
    <row r="86" spans="1:52">
      <c r="A86" s="64">
        <v>81</v>
      </c>
      <c r="B86" s="65" t="s">
        <v>174</v>
      </c>
      <c r="C86" s="65" t="s">
        <v>174</v>
      </c>
      <c r="D86" s="65" t="s">
        <v>172</v>
      </c>
      <c r="E86" s="65" t="s">
        <v>170</v>
      </c>
      <c r="F86" s="66">
        <v>395.35</v>
      </c>
      <c r="G86" s="67">
        <f t="shared" si="20"/>
        <v>30.5710832958138</v>
      </c>
      <c r="H86" s="67">
        <f t="shared" si="21"/>
        <v>12086.277781</v>
      </c>
      <c r="I86" s="75">
        <v>3</v>
      </c>
      <c r="J86" s="75">
        <v>3</v>
      </c>
      <c r="K86" s="76">
        <f t="shared" si="22"/>
        <v>9132.470205</v>
      </c>
      <c r="L86" s="76">
        <f t="shared" si="23"/>
        <v>6760.370205</v>
      </c>
      <c r="M86" s="75">
        <v>2</v>
      </c>
      <c r="N86" s="77">
        <v>0</v>
      </c>
      <c r="O86" s="75">
        <v>0</v>
      </c>
      <c r="P86" s="67">
        <f t="shared" si="24"/>
        <v>790.7</v>
      </c>
      <c r="Q86" s="77">
        <v>5325.907576</v>
      </c>
      <c r="R86" s="67">
        <f t="shared" si="25"/>
        <v>2372.1</v>
      </c>
      <c r="S86" s="67">
        <v>0</v>
      </c>
      <c r="T86" s="76">
        <f t="shared" si="26"/>
        <v>6760.370205</v>
      </c>
      <c r="U86" s="76"/>
      <c r="V86" s="77">
        <v>0</v>
      </c>
      <c r="W86" s="75">
        <v>0</v>
      </c>
      <c r="X86" s="76"/>
      <c r="Y86" s="77">
        <v>1486.903064</v>
      </c>
      <c r="Z86" s="77">
        <v>90.908297</v>
      </c>
      <c r="AA86" s="67">
        <f t="shared" si="27"/>
        <v>181.816594</v>
      </c>
      <c r="AB86" s="77">
        <v>0</v>
      </c>
      <c r="AC86" s="67">
        <f t="shared" si="28"/>
        <v>0</v>
      </c>
      <c r="AD86" s="77">
        <v>0</v>
      </c>
      <c r="AE86" s="67">
        <f t="shared" si="29"/>
        <v>0</v>
      </c>
      <c r="AF86" s="82">
        <v>0</v>
      </c>
      <c r="AG86" s="67">
        <f t="shared" si="30"/>
        <v>0</v>
      </c>
      <c r="AH86" s="77">
        <v>0</v>
      </c>
      <c r="AI86" s="67">
        <f t="shared" si="31"/>
        <v>0</v>
      </c>
      <c r="AJ86" s="77">
        <v>1765.877012</v>
      </c>
      <c r="AK86" s="77">
        <v>0</v>
      </c>
      <c r="AL86" s="77">
        <v>0</v>
      </c>
      <c r="AM86" s="77">
        <v>0</v>
      </c>
      <c r="AN86" s="77">
        <v>0</v>
      </c>
      <c r="AO86" s="77">
        <v>3325.773535</v>
      </c>
      <c r="AP86" s="67">
        <f t="shared" si="32"/>
        <v>790.7</v>
      </c>
      <c r="AQ86" s="91">
        <f t="shared" si="33"/>
        <v>1.5814</v>
      </c>
      <c r="AR86" s="91">
        <f t="shared" si="34"/>
        <v>0.0263566666666667</v>
      </c>
      <c r="AS86" s="67">
        <f t="shared" si="35"/>
        <v>0</v>
      </c>
      <c r="AT86" s="67">
        <f t="shared" si="36"/>
        <v>0</v>
      </c>
      <c r="AU86" s="67">
        <f t="shared" si="37"/>
        <v>0.7907</v>
      </c>
      <c r="AV86" s="67">
        <f t="shared" si="38"/>
        <v>0.0164729166666667</v>
      </c>
      <c r="AW86" s="67">
        <f t="shared" si="39"/>
        <v>0.00454541485</v>
      </c>
      <c r="AX86" s="67"/>
      <c r="AY86" s="67"/>
      <c r="AZ86" s="75"/>
    </row>
    <row r="87" spans="1:52">
      <c r="A87" s="64">
        <v>82</v>
      </c>
      <c r="B87" s="65" t="s">
        <v>174</v>
      </c>
      <c r="C87" s="65" t="s">
        <v>174</v>
      </c>
      <c r="D87" s="65" t="s">
        <v>175</v>
      </c>
      <c r="E87" s="65" t="s">
        <v>172</v>
      </c>
      <c r="F87" s="66">
        <v>294.9</v>
      </c>
      <c r="G87" s="67">
        <f t="shared" si="20"/>
        <v>20.5607459816887</v>
      </c>
      <c r="H87" s="67">
        <f t="shared" si="21"/>
        <v>6063.36399</v>
      </c>
      <c r="I87" s="75">
        <v>3</v>
      </c>
      <c r="J87" s="75">
        <v>3</v>
      </c>
      <c r="K87" s="76">
        <f t="shared" si="22"/>
        <v>4173.740179</v>
      </c>
      <c r="L87" s="76">
        <f t="shared" si="23"/>
        <v>2404.340179</v>
      </c>
      <c r="M87" s="75">
        <v>2</v>
      </c>
      <c r="N87" s="77">
        <v>0</v>
      </c>
      <c r="O87" s="75">
        <v>0</v>
      </c>
      <c r="P87" s="67">
        <f t="shared" si="24"/>
        <v>589.8</v>
      </c>
      <c r="Q87" s="77">
        <v>3659.023811</v>
      </c>
      <c r="R87" s="67">
        <f t="shared" si="25"/>
        <v>1769.4</v>
      </c>
      <c r="S87" s="67">
        <v>0</v>
      </c>
      <c r="T87" s="76">
        <f t="shared" si="26"/>
        <v>2404.340179</v>
      </c>
      <c r="U87" s="76"/>
      <c r="V87" s="77">
        <v>0</v>
      </c>
      <c r="W87" s="75">
        <v>0</v>
      </c>
      <c r="X87" s="76"/>
      <c r="Y87" s="77">
        <v>0</v>
      </c>
      <c r="Z87" s="77">
        <v>0</v>
      </c>
      <c r="AA87" s="67">
        <f t="shared" si="27"/>
        <v>0</v>
      </c>
      <c r="AB87" s="77">
        <v>0</v>
      </c>
      <c r="AC87" s="67">
        <f t="shared" si="28"/>
        <v>0</v>
      </c>
      <c r="AD87" s="77">
        <v>0</v>
      </c>
      <c r="AE87" s="67">
        <f t="shared" si="29"/>
        <v>0</v>
      </c>
      <c r="AF87" s="82">
        <v>0</v>
      </c>
      <c r="AG87" s="67">
        <f t="shared" si="30"/>
        <v>0</v>
      </c>
      <c r="AH87" s="77">
        <v>0</v>
      </c>
      <c r="AI87" s="67">
        <f t="shared" si="31"/>
        <v>0</v>
      </c>
      <c r="AJ87" s="77">
        <v>572.38553</v>
      </c>
      <c r="AK87" s="77">
        <v>0</v>
      </c>
      <c r="AL87" s="77">
        <v>0</v>
      </c>
      <c r="AM87" s="77">
        <v>0</v>
      </c>
      <c r="AN87" s="77">
        <v>0</v>
      </c>
      <c r="AO87" s="77">
        <v>1831.954649</v>
      </c>
      <c r="AP87" s="67">
        <f t="shared" si="32"/>
        <v>589.8</v>
      </c>
      <c r="AQ87" s="91">
        <f t="shared" si="33"/>
        <v>1.1796</v>
      </c>
      <c r="AR87" s="91">
        <f t="shared" si="34"/>
        <v>0.01966</v>
      </c>
      <c r="AS87" s="67">
        <f t="shared" si="35"/>
        <v>0</v>
      </c>
      <c r="AT87" s="67">
        <f t="shared" si="36"/>
        <v>0</v>
      </c>
      <c r="AU87" s="67">
        <f t="shared" si="37"/>
        <v>0.5898</v>
      </c>
      <c r="AV87" s="67">
        <f t="shared" si="38"/>
        <v>0.0122875</v>
      </c>
      <c r="AW87" s="67">
        <f t="shared" si="39"/>
        <v>0</v>
      </c>
      <c r="AX87" s="67"/>
      <c r="AY87" s="67"/>
      <c r="AZ87" s="75"/>
    </row>
    <row r="88" spans="1:52">
      <c r="A88" s="64">
        <v>83</v>
      </c>
      <c r="B88" s="65" t="s">
        <v>168</v>
      </c>
      <c r="C88" s="65" t="s">
        <v>168</v>
      </c>
      <c r="D88" s="65" t="s">
        <v>176</v>
      </c>
      <c r="E88" s="65" t="s">
        <v>177</v>
      </c>
      <c r="F88" s="66">
        <v>204.08</v>
      </c>
      <c r="G88" s="67">
        <f t="shared" si="20"/>
        <v>14.1650616424931</v>
      </c>
      <c r="H88" s="67">
        <f t="shared" si="21"/>
        <v>2890.80578</v>
      </c>
      <c r="I88" s="75">
        <v>3</v>
      </c>
      <c r="J88" s="75">
        <v>3</v>
      </c>
      <c r="K88" s="76">
        <f t="shared" si="22"/>
        <v>3385.843879</v>
      </c>
      <c r="L88" s="76">
        <f t="shared" si="23"/>
        <v>2161.363879</v>
      </c>
      <c r="M88" s="75">
        <v>0</v>
      </c>
      <c r="N88" s="77">
        <v>0</v>
      </c>
      <c r="O88" s="75">
        <v>0</v>
      </c>
      <c r="P88" s="67">
        <f t="shared" si="24"/>
        <v>408.16</v>
      </c>
      <c r="Q88" s="77">
        <v>729.441901</v>
      </c>
      <c r="R88" s="67">
        <f t="shared" si="25"/>
        <v>1224.48</v>
      </c>
      <c r="S88" s="67">
        <v>0</v>
      </c>
      <c r="T88" s="76">
        <f t="shared" si="26"/>
        <v>2161.363879</v>
      </c>
      <c r="U88" s="76"/>
      <c r="V88" s="77">
        <v>0</v>
      </c>
      <c r="W88" s="75">
        <v>0</v>
      </c>
      <c r="X88" s="76"/>
      <c r="Y88" s="77">
        <v>1654.446626</v>
      </c>
      <c r="Z88" s="77">
        <v>0</v>
      </c>
      <c r="AA88" s="67">
        <f t="shared" si="27"/>
        <v>0</v>
      </c>
      <c r="AB88" s="77">
        <v>0</v>
      </c>
      <c r="AC88" s="67">
        <f t="shared" si="28"/>
        <v>0</v>
      </c>
      <c r="AD88" s="77">
        <v>0</v>
      </c>
      <c r="AE88" s="67">
        <f t="shared" si="29"/>
        <v>0</v>
      </c>
      <c r="AF88" s="82">
        <v>0</v>
      </c>
      <c r="AG88" s="67">
        <f t="shared" si="30"/>
        <v>0</v>
      </c>
      <c r="AH88" s="77">
        <v>0</v>
      </c>
      <c r="AI88" s="67">
        <f t="shared" si="31"/>
        <v>0</v>
      </c>
      <c r="AJ88" s="77">
        <v>195.396452</v>
      </c>
      <c r="AK88" s="77">
        <v>0</v>
      </c>
      <c r="AL88" s="77">
        <v>0</v>
      </c>
      <c r="AM88" s="77">
        <v>0</v>
      </c>
      <c r="AN88" s="77">
        <v>0</v>
      </c>
      <c r="AO88" s="77">
        <v>311.520801</v>
      </c>
      <c r="AP88" s="67">
        <f t="shared" si="32"/>
        <v>408.16</v>
      </c>
      <c r="AQ88" s="91">
        <f t="shared" si="33"/>
        <v>0.81632</v>
      </c>
      <c r="AR88" s="91">
        <f t="shared" si="34"/>
        <v>0.0136053333333333</v>
      </c>
      <c r="AS88" s="67">
        <f t="shared" si="35"/>
        <v>0</v>
      </c>
      <c r="AT88" s="67">
        <f t="shared" si="36"/>
        <v>0</v>
      </c>
      <c r="AU88" s="67">
        <f t="shared" si="37"/>
        <v>0.40816</v>
      </c>
      <c r="AV88" s="67">
        <f t="shared" si="38"/>
        <v>0.00850333333333333</v>
      </c>
      <c r="AW88" s="67">
        <f t="shared" si="39"/>
        <v>0</v>
      </c>
      <c r="AX88" s="67"/>
      <c r="AY88" s="67"/>
      <c r="AZ88" s="75"/>
    </row>
    <row r="89" spans="1:52">
      <c r="A89" s="64">
        <v>84</v>
      </c>
      <c r="B89" s="65" t="s">
        <v>168</v>
      </c>
      <c r="C89" s="65" t="s">
        <v>168</v>
      </c>
      <c r="D89" s="65" t="s">
        <v>178</v>
      </c>
      <c r="E89" s="65" t="s">
        <v>176</v>
      </c>
      <c r="F89" s="66">
        <v>643.29</v>
      </c>
      <c r="G89" s="67">
        <f t="shared" si="20"/>
        <v>20.8832649769155</v>
      </c>
      <c r="H89" s="67">
        <f t="shared" si="21"/>
        <v>13433.995527</v>
      </c>
      <c r="I89" s="75">
        <v>3</v>
      </c>
      <c r="J89" s="75">
        <v>3</v>
      </c>
      <c r="K89" s="76">
        <f t="shared" si="22"/>
        <v>14956.438358</v>
      </c>
      <c r="L89" s="76">
        <f t="shared" si="23"/>
        <v>11096.698358</v>
      </c>
      <c r="M89" s="75">
        <v>0</v>
      </c>
      <c r="N89" s="77">
        <v>0</v>
      </c>
      <c r="O89" s="75">
        <v>0</v>
      </c>
      <c r="P89" s="67">
        <f t="shared" si="24"/>
        <v>1286.58</v>
      </c>
      <c r="Q89" s="77">
        <v>2337.297169</v>
      </c>
      <c r="R89" s="67">
        <f t="shared" si="25"/>
        <v>3859.74</v>
      </c>
      <c r="S89" s="67">
        <v>0</v>
      </c>
      <c r="T89" s="76">
        <f t="shared" si="26"/>
        <v>11096.698358</v>
      </c>
      <c r="U89" s="76"/>
      <c r="V89" s="77">
        <v>0</v>
      </c>
      <c r="W89" s="75">
        <v>0</v>
      </c>
      <c r="X89" s="76"/>
      <c r="Y89" s="77">
        <v>1166.282168</v>
      </c>
      <c r="Z89" s="77">
        <v>12.684255</v>
      </c>
      <c r="AA89" s="67">
        <f t="shared" si="27"/>
        <v>25.36851</v>
      </c>
      <c r="AB89" s="77">
        <v>0</v>
      </c>
      <c r="AC89" s="67">
        <f t="shared" si="28"/>
        <v>0</v>
      </c>
      <c r="AD89" s="77">
        <v>0</v>
      </c>
      <c r="AE89" s="67">
        <f t="shared" si="29"/>
        <v>0</v>
      </c>
      <c r="AF89" s="82">
        <v>0</v>
      </c>
      <c r="AG89" s="67">
        <f t="shared" si="30"/>
        <v>0</v>
      </c>
      <c r="AH89" s="77">
        <v>0</v>
      </c>
      <c r="AI89" s="67">
        <f t="shared" si="31"/>
        <v>0</v>
      </c>
      <c r="AJ89" s="77">
        <v>2446.369255</v>
      </c>
      <c r="AK89" s="77">
        <v>0</v>
      </c>
      <c r="AL89" s="77">
        <v>0</v>
      </c>
      <c r="AM89" s="77">
        <v>0</v>
      </c>
      <c r="AN89" s="77">
        <v>0</v>
      </c>
      <c r="AO89" s="77">
        <v>7458.678425</v>
      </c>
      <c r="AP89" s="67">
        <f t="shared" si="32"/>
        <v>1286.58</v>
      </c>
      <c r="AQ89" s="91">
        <f t="shared" si="33"/>
        <v>2.57316</v>
      </c>
      <c r="AR89" s="91">
        <f t="shared" si="34"/>
        <v>0.042886</v>
      </c>
      <c r="AS89" s="67">
        <f t="shared" si="35"/>
        <v>0</v>
      </c>
      <c r="AT89" s="67">
        <f t="shared" si="36"/>
        <v>0</v>
      </c>
      <c r="AU89" s="67">
        <f t="shared" si="37"/>
        <v>1.28658</v>
      </c>
      <c r="AV89" s="67">
        <f t="shared" si="38"/>
        <v>0.02680375</v>
      </c>
      <c r="AW89" s="67">
        <f t="shared" si="39"/>
        <v>0.00063421275</v>
      </c>
      <c r="AX89" s="67"/>
      <c r="AY89" s="67"/>
      <c r="AZ89" s="75"/>
    </row>
    <row r="90" spans="1:52">
      <c r="A90" s="64">
        <v>85</v>
      </c>
      <c r="B90" s="65" t="s">
        <v>155</v>
      </c>
      <c r="C90" s="65" t="s">
        <v>155</v>
      </c>
      <c r="D90" s="65" t="s">
        <v>153</v>
      </c>
      <c r="E90" s="65" t="s">
        <v>142</v>
      </c>
      <c r="F90" s="66">
        <v>530.45</v>
      </c>
      <c r="G90" s="67">
        <f t="shared" si="20"/>
        <v>22.7510739900085</v>
      </c>
      <c r="H90" s="67">
        <f t="shared" si="21"/>
        <v>12068.307198</v>
      </c>
      <c r="I90" s="75">
        <v>3</v>
      </c>
      <c r="J90" s="75">
        <v>3</v>
      </c>
      <c r="K90" s="76">
        <f t="shared" si="22"/>
        <v>11992.011613</v>
      </c>
      <c r="L90" s="76">
        <f t="shared" si="23"/>
        <v>8783.061069</v>
      </c>
      <c r="M90" s="75">
        <v>0</v>
      </c>
      <c r="N90" s="77">
        <v>0</v>
      </c>
      <c r="O90" s="75">
        <v>0</v>
      </c>
      <c r="P90" s="67">
        <f t="shared" si="24"/>
        <v>1060.9</v>
      </c>
      <c r="Q90" s="77">
        <v>3258.995585</v>
      </c>
      <c r="R90" s="67">
        <f t="shared" si="25"/>
        <v>3182.7</v>
      </c>
      <c r="S90" s="67">
        <v>0</v>
      </c>
      <c r="T90" s="76">
        <f t="shared" si="26"/>
        <v>8783.061069</v>
      </c>
      <c r="U90" s="76"/>
      <c r="V90" s="77">
        <v>0</v>
      </c>
      <c r="W90" s="75">
        <v>0</v>
      </c>
      <c r="X90" s="76"/>
      <c r="Y90" s="77">
        <v>1559.936326</v>
      </c>
      <c r="Z90" s="77">
        <v>0</v>
      </c>
      <c r="AA90" s="67">
        <f t="shared" si="27"/>
        <v>0</v>
      </c>
      <c r="AB90" s="77">
        <v>13.125272</v>
      </c>
      <c r="AC90" s="67">
        <f t="shared" si="28"/>
        <v>26.250544</v>
      </c>
      <c r="AD90" s="77">
        <v>0</v>
      </c>
      <c r="AE90" s="67">
        <f t="shared" si="29"/>
        <v>0</v>
      </c>
      <c r="AF90" s="82">
        <v>0</v>
      </c>
      <c r="AG90" s="67">
        <f t="shared" si="30"/>
        <v>0</v>
      </c>
      <c r="AH90" s="77">
        <v>16.395466</v>
      </c>
      <c r="AI90" s="67">
        <f t="shared" si="31"/>
        <v>32.790932</v>
      </c>
      <c r="AJ90" s="77">
        <v>951.657704</v>
      </c>
      <c r="AK90" s="77">
        <v>0</v>
      </c>
      <c r="AL90" s="77">
        <v>0</v>
      </c>
      <c r="AM90" s="77">
        <v>0</v>
      </c>
      <c r="AN90" s="77">
        <v>0</v>
      </c>
      <c r="AO90" s="77">
        <v>6238.676107</v>
      </c>
      <c r="AP90" s="67">
        <f t="shared" si="32"/>
        <v>1060.9</v>
      </c>
      <c r="AQ90" s="91">
        <f t="shared" si="33"/>
        <v>2.1218</v>
      </c>
      <c r="AR90" s="91">
        <f t="shared" si="34"/>
        <v>0.0353633333333333</v>
      </c>
      <c r="AS90" s="67">
        <f t="shared" si="35"/>
        <v>0</v>
      </c>
      <c r="AT90" s="67">
        <f t="shared" si="36"/>
        <v>0</v>
      </c>
      <c r="AU90" s="67">
        <f t="shared" si="37"/>
        <v>1.0609</v>
      </c>
      <c r="AV90" s="67">
        <f t="shared" si="38"/>
        <v>0.0221020833333333</v>
      </c>
      <c r="AW90" s="67">
        <f t="shared" si="39"/>
        <v>0.0006562636</v>
      </c>
      <c r="AX90" s="67"/>
      <c r="AY90" s="67"/>
      <c r="AZ90" s="75"/>
    </row>
    <row r="91" spans="1:52">
      <c r="A91" s="64">
        <v>86</v>
      </c>
      <c r="B91" s="65" t="s">
        <v>179</v>
      </c>
      <c r="C91" s="65" t="s">
        <v>179</v>
      </c>
      <c r="D91" s="65" t="s">
        <v>180</v>
      </c>
      <c r="E91" s="65" t="s">
        <v>181</v>
      </c>
      <c r="F91" s="66">
        <v>709.72</v>
      </c>
      <c r="G91" s="67">
        <f t="shared" si="20"/>
        <v>44.5689199374401</v>
      </c>
      <c r="H91" s="67">
        <f t="shared" si="21"/>
        <v>31631.453858</v>
      </c>
      <c r="I91" s="75">
        <v>2</v>
      </c>
      <c r="J91" s="78">
        <v>3</v>
      </c>
      <c r="K91" s="76">
        <f t="shared" si="22"/>
        <v>23876.129508</v>
      </c>
      <c r="L91" s="76">
        <f t="shared" si="23"/>
        <v>19617.809508</v>
      </c>
      <c r="M91" s="75">
        <v>2</v>
      </c>
      <c r="N91" s="77">
        <v>0</v>
      </c>
      <c r="O91" s="75">
        <v>0</v>
      </c>
      <c r="P91" s="67">
        <f t="shared" si="24"/>
        <v>1419.44</v>
      </c>
      <c r="Q91" s="77">
        <v>12013.64435</v>
      </c>
      <c r="R91" s="67">
        <f t="shared" si="25"/>
        <v>4258.32</v>
      </c>
      <c r="S91" s="67">
        <v>0</v>
      </c>
      <c r="T91" s="76">
        <f t="shared" si="26"/>
        <v>19617.809508</v>
      </c>
      <c r="U91" s="76"/>
      <c r="V91" s="77">
        <v>4620.125785</v>
      </c>
      <c r="W91" s="75">
        <v>1</v>
      </c>
      <c r="X91" s="76"/>
      <c r="Y91" s="77">
        <v>3922.462302</v>
      </c>
      <c r="Z91" s="77">
        <v>962.330282</v>
      </c>
      <c r="AA91" s="67">
        <f t="shared" si="27"/>
        <v>1924.660564</v>
      </c>
      <c r="AB91" s="77">
        <v>0</v>
      </c>
      <c r="AC91" s="67">
        <f t="shared" si="28"/>
        <v>0</v>
      </c>
      <c r="AD91" s="77">
        <v>1388.367582</v>
      </c>
      <c r="AE91" s="67">
        <f t="shared" si="29"/>
        <v>2776.735164</v>
      </c>
      <c r="AF91" s="82">
        <v>0</v>
      </c>
      <c r="AG91" s="67">
        <f t="shared" si="30"/>
        <v>0</v>
      </c>
      <c r="AH91" s="77">
        <v>0</v>
      </c>
      <c r="AI91" s="67">
        <f t="shared" si="31"/>
        <v>0</v>
      </c>
      <c r="AJ91" s="77">
        <v>0</v>
      </c>
      <c r="AK91" s="77">
        <v>0</v>
      </c>
      <c r="AL91" s="77">
        <v>0</v>
      </c>
      <c r="AM91" s="77">
        <v>798.054508</v>
      </c>
      <c r="AN91" s="77">
        <v>0</v>
      </c>
      <c r="AO91" s="77">
        <v>5575.771185</v>
      </c>
      <c r="AP91" s="67">
        <f t="shared" si="32"/>
        <v>1419.44</v>
      </c>
      <c r="AQ91" s="91">
        <f t="shared" si="33"/>
        <v>2.83888</v>
      </c>
      <c r="AR91" s="91">
        <f t="shared" si="34"/>
        <v>0.0473146666666667</v>
      </c>
      <c r="AS91" s="67">
        <f t="shared" si="35"/>
        <v>0</v>
      </c>
      <c r="AT91" s="67">
        <f t="shared" si="36"/>
        <v>0</v>
      </c>
      <c r="AU91" s="67">
        <f t="shared" si="37"/>
        <v>1.41944</v>
      </c>
      <c r="AV91" s="67">
        <f t="shared" si="38"/>
        <v>0.0295716666666667</v>
      </c>
      <c r="AW91" s="67">
        <f t="shared" si="39"/>
        <v>0.1175348932</v>
      </c>
      <c r="AX91" s="67"/>
      <c r="AY91" s="67"/>
      <c r="AZ91" s="75"/>
    </row>
    <row r="92" spans="1:52">
      <c r="A92" s="64">
        <v>87</v>
      </c>
      <c r="B92" s="65" t="s">
        <v>114</v>
      </c>
      <c r="C92" s="65" t="s">
        <v>114</v>
      </c>
      <c r="D92" s="65" t="s">
        <v>169</v>
      </c>
      <c r="E92" s="65" t="s">
        <v>90</v>
      </c>
      <c r="F92" s="66">
        <v>733.54</v>
      </c>
      <c r="G92" s="67">
        <f t="shared" si="20"/>
        <v>23.791790615372</v>
      </c>
      <c r="H92" s="67">
        <f t="shared" si="21"/>
        <v>17452.230088</v>
      </c>
      <c r="I92" s="75">
        <v>1</v>
      </c>
      <c r="J92" s="78">
        <v>3</v>
      </c>
      <c r="K92" s="76">
        <f t="shared" si="22"/>
        <v>6001.48766</v>
      </c>
      <c r="L92" s="76">
        <f t="shared" si="23"/>
        <v>1600.24766</v>
      </c>
      <c r="M92" s="75">
        <v>2</v>
      </c>
      <c r="N92" s="77">
        <v>0</v>
      </c>
      <c r="O92" s="75">
        <v>0</v>
      </c>
      <c r="P92" s="67">
        <f t="shared" si="24"/>
        <v>1467.08</v>
      </c>
      <c r="Q92" s="77">
        <v>15851.982428</v>
      </c>
      <c r="R92" s="67">
        <f t="shared" si="25"/>
        <v>4401.24</v>
      </c>
      <c r="S92" s="67">
        <v>0</v>
      </c>
      <c r="T92" s="76">
        <f t="shared" si="26"/>
        <v>1600.24766</v>
      </c>
      <c r="U92" s="76"/>
      <c r="V92" s="77">
        <v>0</v>
      </c>
      <c r="W92" s="75">
        <v>0</v>
      </c>
      <c r="X92" s="76"/>
      <c r="Y92" s="77">
        <v>233.303055</v>
      </c>
      <c r="Z92" s="77">
        <v>0</v>
      </c>
      <c r="AA92" s="67">
        <f t="shared" si="27"/>
        <v>0</v>
      </c>
      <c r="AB92" s="77">
        <v>0</v>
      </c>
      <c r="AC92" s="67">
        <f t="shared" si="28"/>
        <v>0</v>
      </c>
      <c r="AD92" s="77">
        <v>0</v>
      </c>
      <c r="AE92" s="67">
        <f t="shared" si="29"/>
        <v>0</v>
      </c>
      <c r="AF92" s="82">
        <v>0</v>
      </c>
      <c r="AG92" s="67">
        <f t="shared" si="30"/>
        <v>0</v>
      </c>
      <c r="AH92" s="77">
        <v>0</v>
      </c>
      <c r="AI92" s="67">
        <f t="shared" si="31"/>
        <v>0</v>
      </c>
      <c r="AJ92" s="77">
        <v>0</v>
      </c>
      <c r="AK92" s="77">
        <v>0</v>
      </c>
      <c r="AL92" s="77">
        <v>0</v>
      </c>
      <c r="AM92" s="77">
        <v>1366.944605</v>
      </c>
      <c r="AN92" s="77">
        <v>0</v>
      </c>
      <c r="AO92" s="77">
        <v>0</v>
      </c>
      <c r="AP92" s="67">
        <f t="shared" si="32"/>
        <v>1467.08</v>
      </c>
      <c r="AQ92" s="91">
        <f t="shared" si="33"/>
        <v>2.93416</v>
      </c>
      <c r="AR92" s="91">
        <f t="shared" si="34"/>
        <v>0.0489026666666667</v>
      </c>
      <c r="AS92" s="67">
        <f t="shared" si="35"/>
        <v>0</v>
      </c>
      <c r="AT92" s="67">
        <f t="shared" si="36"/>
        <v>0</v>
      </c>
      <c r="AU92" s="67">
        <f t="shared" si="37"/>
        <v>1.46708</v>
      </c>
      <c r="AV92" s="67">
        <f t="shared" si="38"/>
        <v>0.0305641666666667</v>
      </c>
      <c r="AW92" s="67">
        <f t="shared" si="39"/>
        <v>0</v>
      </c>
      <c r="AX92" s="67"/>
      <c r="AY92" s="67"/>
      <c r="AZ92" s="75" t="s">
        <v>649</v>
      </c>
    </row>
    <row r="93" spans="1:52">
      <c r="A93" s="64">
        <v>88</v>
      </c>
      <c r="B93" s="65" t="s">
        <v>114</v>
      </c>
      <c r="C93" s="65" t="s">
        <v>114</v>
      </c>
      <c r="D93" s="65" t="s">
        <v>92</v>
      </c>
      <c r="E93" s="65" t="s">
        <v>111</v>
      </c>
      <c r="F93" s="66">
        <v>227.73</v>
      </c>
      <c r="G93" s="67">
        <f t="shared" si="20"/>
        <v>82.8021743468142</v>
      </c>
      <c r="H93" s="67">
        <f t="shared" si="21"/>
        <v>18856.539164</v>
      </c>
      <c r="I93" s="75">
        <v>1</v>
      </c>
      <c r="J93" s="75">
        <v>1</v>
      </c>
      <c r="K93" s="76">
        <f t="shared" si="22"/>
        <v>15204.755636</v>
      </c>
      <c r="L93" s="76">
        <f t="shared" si="23"/>
        <v>13838.375636</v>
      </c>
      <c r="M93" s="75">
        <v>2</v>
      </c>
      <c r="N93" s="77">
        <v>0</v>
      </c>
      <c r="O93" s="75">
        <v>0</v>
      </c>
      <c r="P93" s="67">
        <f t="shared" si="24"/>
        <v>455.46</v>
      </c>
      <c r="Q93" s="77">
        <v>5018.163528</v>
      </c>
      <c r="R93" s="67">
        <f t="shared" si="25"/>
        <v>1366.38</v>
      </c>
      <c r="S93" s="67">
        <v>0</v>
      </c>
      <c r="T93" s="76">
        <f t="shared" si="26"/>
        <v>13838.375636</v>
      </c>
      <c r="U93" s="76"/>
      <c r="V93" s="77">
        <v>348.830866</v>
      </c>
      <c r="W93" s="75">
        <v>1</v>
      </c>
      <c r="X93" s="76"/>
      <c r="Y93" s="77">
        <v>1490.365302</v>
      </c>
      <c r="Z93" s="77">
        <v>12.644157</v>
      </c>
      <c r="AA93" s="67">
        <f t="shared" si="27"/>
        <v>25.288314</v>
      </c>
      <c r="AB93" s="77">
        <v>0</v>
      </c>
      <c r="AC93" s="67">
        <f t="shared" si="28"/>
        <v>0</v>
      </c>
      <c r="AD93" s="77">
        <v>96.379159</v>
      </c>
      <c r="AE93" s="67">
        <f t="shared" si="29"/>
        <v>192.758318</v>
      </c>
      <c r="AF93" s="82">
        <v>0</v>
      </c>
      <c r="AG93" s="67">
        <f t="shared" si="30"/>
        <v>0</v>
      </c>
      <c r="AH93" s="77">
        <v>0</v>
      </c>
      <c r="AI93" s="67">
        <f t="shared" si="31"/>
        <v>0</v>
      </c>
      <c r="AJ93" s="77">
        <v>358.747053</v>
      </c>
      <c r="AK93" s="77">
        <v>3682.4959</v>
      </c>
      <c r="AL93" s="77">
        <v>0</v>
      </c>
      <c r="AM93" s="77">
        <v>275.984812</v>
      </c>
      <c r="AN93" s="77">
        <v>0</v>
      </c>
      <c r="AO93" s="77">
        <v>7463.905071</v>
      </c>
      <c r="AP93" s="67">
        <f t="shared" si="32"/>
        <v>455.46</v>
      </c>
      <c r="AQ93" s="91">
        <f t="shared" si="33"/>
        <v>0</v>
      </c>
      <c r="AR93" s="91">
        <f t="shared" si="34"/>
        <v>0</v>
      </c>
      <c r="AS93" s="67">
        <f t="shared" si="35"/>
        <v>1.36638</v>
      </c>
      <c r="AT93" s="67">
        <f t="shared" si="36"/>
        <v>0.042699375</v>
      </c>
      <c r="AU93" s="67">
        <f t="shared" si="37"/>
        <v>0.91092</v>
      </c>
      <c r="AV93" s="67">
        <f t="shared" si="38"/>
        <v>0.0189775</v>
      </c>
      <c r="AW93" s="67">
        <f t="shared" si="39"/>
        <v>0.0054511658</v>
      </c>
      <c r="AX93" s="67"/>
      <c r="AY93" s="67"/>
      <c r="AZ93" s="75"/>
    </row>
    <row r="94" spans="1:52">
      <c r="A94" s="64">
        <v>89</v>
      </c>
      <c r="B94" s="65" t="s">
        <v>114</v>
      </c>
      <c r="C94" s="65" t="s">
        <v>114</v>
      </c>
      <c r="D94" s="65" t="s">
        <v>93</v>
      </c>
      <c r="E94" s="65" t="s">
        <v>113</v>
      </c>
      <c r="F94" s="66">
        <v>437.05</v>
      </c>
      <c r="G94" s="67">
        <f t="shared" si="20"/>
        <v>63.2219657178812</v>
      </c>
      <c r="H94" s="67">
        <f t="shared" si="21"/>
        <v>27631.160117</v>
      </c>
      <c r="I94" s="75">
        <v>1</v>
      </c>
      <c r="J94" s="78">
        <v>2</v>
      </c>
      <c r="K94" s="76">
        <f t="shared" si="22"/>
        <v>21412.314218</v>
      </c>
      <c r="L94" s="76">
        <f t="shared" si="23"/>
        <v>18790.014218</v>
      </c>
      <c r="M94" s="75">
        <v>2</v>
      </c>
      <c r="N94" s="77">
        <v>0</v>
      </c>
      <c r="O94" s="75">
        <v>0</v>
      </c>
      <c r="P94" s="67">
        <f t="shared" si="24"/>
        <v>874.1</v>
      </c>
      <c r="Q94" s="77">
        <v>8841.145899</v>
      </c>
      <c r="R94" s="67">
        <f t="shared" si="25"/>
        <v>2622.3</v>
      </c>
      <c r="S94" s="67">
        <v>0</v>
      </c>
      <c r="T94" s="76">
        <f t="shared" si="26"/>
        <v>18790.014218</v>
      </c>
      <c r="U94" s="76"/>
      <c r="V94" s="77">
        <v>0</v>
      </c>
      <c r="W94" s="75">
        <v>0</v>
      </c>
      <c r="X94" s="76"/>
      <c r="Y94" s="77">
        <v>2137.756347</v>
      </c>
      <c r="Z94" s="77">
        <v>136.060711</v>
      </c>
      <c r="AA94" s="67">
        <f t="shared" si="27"/>
        <v>272.121422</v>
      </c>
      <c r="AB94" s="77">
        <v>0</v>
      </c>
      <c r="AC94" s="67">
        <f t="shared" si="28"/>
        <v>0</v>
      </c>
      <c r="AD94" s="77">
        <v>0</v>
      </c>
      <c r="AE94" s="67">
        <f t="shared" si="29"/>
        <v>0</v>
      </c>
      <c r="AF94" s="82">
        <v>0</v>
      </c>
      <c r="AG94" s="67">
        <f t="shared" si="30"/>
        <v>0</v>
      </c>
      <c r="AH94" s="77">
        <v>0</v>
      </c>
      <c r="AI94" s="67">
        <f t="shared" si="31"/>
        <v>0</v>
      </c>
      <c r="AJ94" s="77">
        <v>8157.574831</v>
      </c>
      <c r="AK94" s="77">
        <v>0</v>
      </c>
      <c r="AL94" s="77">
        <v>0</v>
      </c>
      <c r="AM94" s="77">
        <v>994.044586</v>
      </c>
      <c r="AN94" s="77">
        <v>0</v>
      </c>
      <c r="AO94" s="77">
        <v>7228.517032</v>
      </c>
      <c r="AP94" s="67">
        <f t="shared" si="32"/>
        <v>874.1</v>
      </c>
      <c r="AQ94" s="91">
        <f t="shared" si="33"/>
        <v>0</v>
      </c>
      <c r="AR94" s="91">
        <f t="shared" si="34"/>
        <v>0</v>
      </c>
      <c r="AS94" s="67">
        <f t="shared" si="35"/>
        <v>1.7482</v>
      </c>
      <c r="AT94" s="67">
        <f t="shared" si="36"/>
        <v>0.05463125</v>
      </c>
      <c r="AU94" s="67">
        <f t="shared" si="37"/>
        <v>1.31115</v>
      </c>
      <c r="AV94" s="67">
        <f t="shared" si="38"/>
        <v>0.027315625</v>
      </c>
      <c r="AW94" s="67">
        <f t="shared" si="39"/>
        <v>0.00680303555</v>
      </c>
      <c r="AX94" s="67"/>
      <c r="AY94" s="67"/>
      <c r="AZ94" s="75"/>
    </row>
    <row r="95" spans="1:52">
      <c r="A95" s="64">
        <v>90</v>
      </c>
      <c r="B95" s="65" t="s">
        <v>114</v>
      </c>
      <c r="C95" s="65" t="s">
        <v>114</v>
      </c>
      <c r="D95" s="65" t="s">
        <v>90</v>
      </c>
      <c r="E95" s="65" t="s">
        <v>91</v>
      </c>
      <c r="F95" s="66">
        <v>293.29</v>
      </c>
      <c r="G95" s="67">
        <f t="shared" si="20"/>
        <v>43.8287238228375</v>
      </c>
      <c r="H95" s="67">
        <f t="shared" si="21"/>
        <v>12854.52641</v>
      </c>
      <c r="I95" s="75">
        <v>1</v>
      </c>
      <c r="J95" s="78">
        <v>3</v>
      </c>
      <c r="K95" s="76">
        <f t="shared" si="22"/>
        <v>9803.935277</v>
      </c>
      <c r="L95" s="76">
        <f t="shared" si="23"/>
        <v>8044.195277</v>
      </c>
      <c r="M95" s="75">
        <v>2</v>
      </c>
      <c r="N95" s="77">
        <v>0</v>
      </c>
      <c r="O95" s="75">
        <v>0</v>
      </c>
      <c r="P95" s="67">
        <f t="shared" si="24"/>
        <v>586.58</v>
      </c>
      <c r="Q95" s="77">
        <v>4810.331133</v>
      </c>
      <c r="R95" s="67">
        <f t="shared" si="25"/>
        <v>1759.74</v>
      </c>
      <c r="S95" s="67">
        <v>0</v>
      </c>
      <c r="T95" s="76">
        <f t="shared" si="26"/>
        <v>8044.195277</v>
      </c>
      <c r="U95" s="76"/>
      <c r="V95" s="77">
        <v>1876.574346</v>
      </c>
      <c r="W95" s="75">
        <v>1</v>
      </c>
      <c r="X95" s="76"/>
      <c r="Y95" s="77">
        <v>1813.32419</v>
      </c>
      <c r="Z95" s="77">
        <v>0</v>
      </c>
      <c r="AA95" s="67">
        <f t="shared" si="27"/>
        <v>0</v>
      </c>
      <c r="AB95" s="77">
        <v>0</v>
      </c>
      <c r="AC95" s="67">
        <f t="shared" si="28"/>
        <v>0</v>
      </c>
      <c r="AD95" s="77">
        <v>493.599325</v>
      </c>
      <c r="AE95" s="67">
        <f t="shared" si="29"/>
        <v>987.19865</v>
      </c>
      <c r="AF95" s="82">
        <v>0</v>
      </c>
      <c r="AG95" s="67">
        <f t="shared" si="30"/>
        <v>0</v>
      </c>
      <c r="AH95" s="77">
        <v>0</v>
      </c>
      <c r="AI95" s="67">
        <f t="shared" si="31"/>
        <v>0</v>
      </c>
      <c r="AJ95" s="77">
        <v>150.389014</v>
      </c>
      <c r="AK95" s="77">
        <v>0</v>
      </c>
      <c r="AL95" s="77">
        <v>0</v>
      </c>
      <c r="AM95" s="77">
        <v>562.771597</v>
      </c>
      <c r="AN95" s="77">
        <v>0</v>
      </c>
      <c r="AO95" s="77">
        <v>2653.93748</v>
      </c>
      <c r="AP95" s="67">
        <f t="shared" si="32"/>
        <v>586.58</v>
      </c>
      <c r="AQ95" s="91">
        <f t="shared" si="33"/>
        <v>1.17316</v>
      </c>
      <c r="AR95" s="91">
        <f t="shared" si="34"/>
        <v>0.0195526666666667</v>
      </c>
      <c r="AS95" s="67">
        <f t="shared" si="35"/>
        <v>0</v>
      </c>
      <c r="AT95" s="67">
        <f t="shared" si="36"/>
        <v>0</v>
      </c>
      <c r="AU95" s="67">
        <f t="shared" si="37"/>
        <v>0.58658</v>
      </c>
      <c r="AV95" s="67">
        <f t="shared" si="38"/>
        <v>0.0122204166666667</v>
      </c>
      <c r="AW95" s="67">
        <f t="shared" si="39"/>
        <v>0.02467996625</v>
      </c>
      <c r="AX95" s="67"/>
      <c r="AY95" s="67"/>
      <c r="AZ95" s="75"/>
    </row>
    <row r="96" spans="1:52">
      <c r="A96" s="64">
        <v>91</v>
      </c>
      <c r="B96" s="65" t="s">
        <v>114</v>
      </c>
      <c r="C96" s="65" t="s">
        <v>114</v>
      </c>
      <c r="D96" s="65" t="s">
        <v>91</v>
      </c>
      <c r="E96" s="65" t="s">
        <v>92</v>
      </c>
      <c r="F96" s="66">
        <v>456.81</v>
      </c>
      <c r="G96" s="67">
        <f t="shared" si="20"/>
        <v>56.9101104573017</v>
      </c>
      <c r="H96" s="67">
        <f t="shared" si="21"/>
        <v>25997.107558</v>
      </c>
      <c r="I96" s="75">
        <v>1</v>
      </c>
      <c r="J96" s="78">
        <v>3</v>
      </c>
      <c r="K96" s="76">
        <f t="shared" si="22"/>
        <v>20190.575154</v>
      </c>
      <c r="L96" s="76">
        <f t="shared" si="23"/>
        <v>17425.353594</v>
      </c>
      <c r="M96" s="75">
        <v>2</v>
      </c>
      <c r="N96" s="77">
        <v>0</v>
      </c>
      <c r="O96" s="75">
        <v>0</v>
      </c>
      <c r="P96" s="67">
        <f t="shared" si="24"/>
        <v>913.62</v>
      </c>
      <c r="Q96" s="77">
        <v>8547.392404</v>
      </c>
      <c r="R96" s="67">
        <f t="shared" si="25"/>
        <v>2740.86</v>
      </c>
      <c r="S96" s="67">
        <v>0</v>
      </c>
      <c r="T96" s="76">
        <f t="shared" si="26"/>
        <v>17425.353594</v>
      </c>
      <c r="U96" s="76"/>
      <c r="V96" s="77">
        <v>1938.014001</v>
      </c>
      <c r="W96" s="75">
        <v>1</v>
      </c>
      <c r="X96" s="76"/>
      <c r="Y96" s="77">
        <v>2710.999187</v>
      </c>
      <c r="Z96" s="77">
        <v>0</v>
      </c>
      <c r="AA96" s="67">
        <f t="shared" si="27"/>
        <v>0</v>
      </c>
      <c r="AB96" s="77">
        <v>12.18078</v>
      </c>
      <c r="AC96" s="67">
        <f t="shared" si="28"/>
        <v>24.36156</v>
      </c>
      <c r="AD96" s="77">
        <v>493.800308</v>
      </c>
      <c r="AE96" s="67">
        <f t="shared" si="29"/>
        <v>987.600616</v>
      </c>
      <c r="AF96" s="82">
        <v>0</v>
      </c>
      <c r="AG96" s="67">
        <f t="shared" si="30"/>
        <v>0</v>
      </c>
      <c r="AH96" s="77">
        <v>0</v>
      </c>
      <c r="AI96" s="67">
        <f t="shared" si="31"/>
        <v>0</v>
      </c>
      <c r="AJ96" s="77">
        <v>6186.541747</v>
      </c>
      <c r="AK96" s="77">
        <v>0</v>
      </c>
      <c r="AL96" s="77">
        <v>0</v>
      </c>
      <c r="AM96" s="77">
        <v>665.736249</v>
      </c>
      <c r="AN96" s="77">
        <v>0</v>
      </c>
      <c r="AO96" s="77">
        <v>4936.461794</v>
      </c>
      <c r="AP96" s="67">
        <f t="shared" si="32"/>
        <v>913.62</v>
      </c>
      <c r="AQ96" s="91">
        <f t="shared" si="33"/>
        <v>1.82724</v>
      </c>
      <c r="AR96" s="91">
        <f t="shared" si="34"/>
        <v>0.030454</v>
      </c>
      <c r="AS96" s="67">
        <f t="shared" si="35"/>
        <v>0</v>
      </c>
      <c r="AT96" s="67">
        <f t="shared" si="36"/>
        <v>0</v>
      </c>
      <c r="AU96" s="67">
        <f t="shared" si="37"/>
        <v>0.91362</v>
      </c>
      <c r="AV96" s="67">
        <f t="shared" si="38"/>
        <v>0.01903375</v>
      </c>
      <c r="AW96" s="67">
        <f t="shared" si="39"/>
        <v>0.0252990544</v>
      </c>
      <c r="AX96" s="67"/>
      <c r="AY96" s="67"/>
      <c r="AZ96" s="75"/>
    </row>
    <row r="97" spans="1:52">
      <c r="A97" s="64">
        <v>92</v>
      </c>
      <c r="B97" s="65" t="s">
        <v>114</v>
      </c>
      <c r="C97" s="65" t="s">
        <v>114</v>
      </c>
      <c r="D97" s="65" t="s">
        <v>88</v>
      </c>
      <c r="E97" s="65" t="s">
        <v>93</v>
      </c>
      <c r="F97" s="66">
        <v>469.75</v>
      </c>
      <c r="G97" s="67">
        <f t="shared" si="20"/>
        <v>48.0398368451304</v>
      </c>
      <c r="H97" s="67">
        <f t="shared" si="21"/>
        <v>22566.713358</v>
      </c>
      <c r="I97" s="75">
        <v>1</v>
      </c>
      <c r="J97" s="78">
        <v>3</v>
      </c>
      <c r="K97" s="76">
        <f t="shared" si="22"/>
        <v>14329.794194</v>
      </c>
      <c r="L97" s="76">
        <f t="shared" si="23"/>
        <v>11511.294194</v>
      </c>
      <c r="M97" s="75">
        <v>2</v>
      </c>
      <c r="N97" s="77">
        <v>0</v>
      </c>
      <c r="O97" s="75">
        <v>0</v>
      </c>
      <c r="P97" s="67">
        <f t="shared" si="24"/>
        <v>939.5</v>
      </c>
      <c r="Q97" s="77">
        <v>11055.419164</v>
      </c>
      <c r="R97" s="67">
        <f t="shared" si="25"/>
        <v>2818.5</v>
      </c>
      <c r="S97" s="67">
        <v>0</v>
      </c>
      <c r="T97" s="76">
        <f t="shared" si="26"/>
        <v>11511.294194</v>
      </c>
      <c r="U97" s="76"/>
      <c r="V97" s="77">
        <v>0</v>
      </c>
      <c r="W97" s="75">
        <v>0</v>
      </c>
      <c r="X97" s="76"/>
      <c r="Y97" s="77">
        <v>2702.47999</v>
      </c>
      <c r="Z97" s="77">
        <v>0</v>
      </c>
      <c r="AA97" s="67">
        <f t="shared" si="27"/>
        <v>0</v>
      </c>
      <c r="AB97" s="77">
        <v>0</v>
      </c>
      <c r="AC97" s="67">
        <f t="shared" si="28"/>
        <v>0</v>
      </c>
      <c r="AD97" s="77">
        <v>0</v>
      </c>
      <c r="AE97" s="67">
        <f t="shared" si="29"/>
        <v>0</v>
      </c>
      <c r="AF97" s="82">
        <v>0</v>
      </c>
      <c r="AG97" s="67">
        <f t="shared" si="30"/>
        <v>0</v>
      </c>
      <c r="AH97" s="77">
        <v>0</v>
      </c>
      <c r="AI97" s="67">
        <f t="shared" si="31"/>
        <v>0</v>
      </c>
      <c r="AJ97" s="77">
        <v>2103.501237</v>
      </c>
      <c r="AK97" s="77">
        <v>0</v>
      </c>
      <c r="AL97" s="77">
        <v>0</v>
      </c>
      <c r="AM97" s="77">
        <v>907.952001</v>
      </c>
      <c r="AN97" s="77">
        <v>0</v>
      </c>
      <c r="AO97" s="77">
        <v>5797.360966</v>
      </c>
      <c r="AP97" s="67">
        <f t="shared" si="32"/>
        <v>939.5</v>
      </c>
      <c r="AQ97" s="91">
        <f t="shared" si="33"/>
        <v>1.879</v>
      </c>
      <c r="AR97" s="91">
        <f t="shared" si="34"/>
        <v>0.0313166666666667</v>
      </c>
      <c r="AS97" s="67">
        <f t="shared" si="35"/>
        <v>0</v>
      </c>
      <c r="AT97" s="67">
        <f t="shared" si="36"/>
        <v>0</v>
      </c>
      <c r="AU97" s="67">
        <f t="shared" si="37"/>
        <v>0.9395</v>
      </c>
      <c r="AV97" s="67">
        <f t="shared" si="38"/>
        <v>0.0195729166666667</v>
      </c>
      <c r="AW97" s="67">
        <f t="shared" si="39"/>
        <v>0</v>
      </c>
      <c r="AX97" s="67"/>
      <c r="AY97" s="67"/>
      <c r="AZ97" s="75"/>
    </row>
    <row r="98" spans="1:52">
      <c r="A98" s="64">
        <v>93</v>
      </c>
      <c r="B98" s="65" t="s">
        <v>114</v>
      </c>
      <c r="C98" s="65" t="s">
        <v>114</v>
      </c>
      <c r="D98" s="65" t="s">
        <v>111</v>
      </c>
      <c r="E98" s="65" t="s">
        <v>88</v>
      </c>
      <c r="F98" s="66">
        <v>508.99</v>
      </c>
      <c r="G98" s="67">
        <f t="shared" si="20"/>
        <v>42.0658882119492</v>
      </c>
      <c r="H98" s="67">
        <f t="shared" si="21"/>
        <v>21411.116441</v>
      </c>
      <c r="I98" s="75">
        <v>1</v>
      </c>
      <c r="J98" s="75">
        <v>1</v>
      </c>
      <c r="K98" s="76">
        <f t="shared" si="22"/>
        <v>12717.815139</v>
      </c>
      <c r="L98" s="76">
        <f t="shared" si="23"/>
        <v>9627.581581</v>
      </c>
      <c r="M98" s="75">
        <v>2</v>
      </c>
      <c r="N98" s="77">
        <v>0</v>
      </c>
      <c r="O98" s="75">
        <v>0</v>
      </c>
      <c r="P98" s="67">
        <f t="shared" si="24"/>
        <v>1017.98</v>
      </c>
      <c r="Q98" s="77">
        <v>11747.241302</v>
      </c>
      <c r="R98" s="67">
        <f t="shared" si="25"/>
        <v>3053.94</v>
      </c>
      <c r="S98" s="67">
        <v>0</v>
      </c>
      <c r="T98" s="76">
        <f t="shared" si="26"/>
        <v>9627.581581</v>
      </c>
      <c r="U98" s="76"/>
      <c r="V98" s="77">
        <v>0</v>
      </c>
      <c r="W98" s="75">
        <v>0</v>
      </c>
      <c r="X98" s="76"/>
      <c r="Y98" s="77">
        <v>2433.884399</v>
      </c>
      <c r="Z98" s="77">
        <v>0</v>
      </c>
      <c r="AA98" s="67">
        <f t="shared" si="27"/>
        <v>0</v>
      </c>
      <c r="AB98" s="77">
        <v>18.146779</v>
      </c>
      <c r="AC98" s="67">
        <f t="shared" si="28"/>
        <v>36.293558</v>
      </c>
      <c r="AD98" s="77">
        <v>0</v>
      </c>
      <c r="AE98" s="67">
        <f t="shared" si="29"/>
        <v>0</v>
      </c>
      <c r="AF98" s="82">
        <v>0</v>
      </c>
      <c r="AG98" s="67">
        <f t="shared" si="30"/>
        <v>0</v>
      </c>
      <c r="AH98" s="77">
        <v>0</v>
      </c>
      <c r="AI98" s="67">
        <f t="shared" si="31"/>
        <v>0</v>
      </c>
      <c r="AJ98" s="77">
        <v>2302.613006</v>
      </c>
      <c r="AK98" s="77">
        <v>0</v>
      </c>
      <c r="AL98" s="77">
        <v>0</v>
      </c>
      <c r="AM98" s="77">
        <v>967.255514</v>
      </c>
      <c r="AN98" s="77">
        <v>0</v>
      </c>
      <c r="AO98" s="77">
        <v>3923.828662</v>
      </c>
      <c r="AP98" s="67">
        <f t="shared" si="32"/>
        <v>1017.98</v>
      </c>
      <c r="AQ98" s="91">
        <f t="shared" si="33"/>
        <v>0</v>
      </c>
      <c r="AR98" s="91">
        <f t="shared" si="34"/>
        <v>0</v>
      </c>
      <c r="AS98" s="67">
        <f t="shared" si="35"/>
        <v>3.05394</v>
      </c>
      <c r="AT98" s="67">
        <f t="shared" si="36"/>
        <v>0.095435625</v>
      </c>
      <c r="AU98" s="67">
        <f t="shared" si="37"/>
        <v>2.03596</v>
      </c>
      <c r="AV98" s="67">
        <f t="shared" si="38"/>
        <v>0.0424158333333333</v>
      </c>
      <c r="AW98" s="67">
        <f t="shared" si="39"/>
        <v>0.00090733895</v>
      </c>
      <c r="AX98" s="67"/>
      <c r="AY98" s="67"/>
      <c r="AZ98" s="75"/>
    </row>
    <row r="99" spans="1:52">
      <c r="A99" s="64">
        <v>94</v>
      </c>
      <c r="B99" s="65" t="s">
        <v>185</v>
      </c>
      <c r="C99" s="65" t="s">
        <v>185</v>
      </c>
      <c r="D99" s="65" t="s">
        <v>93</v>
      </c>
      <c r="E99" s="65" t="s">
        <v>113</v>
      </c>
      <c r="F99" s="66">
        <v>455.62</v>
      </c>
      <c r="G99" s="67">
        <f t="shared" si="20"/>
        <v>41.7352533470875</v>
      </c>
      <c r="H99" s="67">
        <f t="shared" si="21"/>
        <v>19015.41613</v>
      </c>
      <c r="I99" s="75">
        <v>2</v>
      </c>
      <c r="J99" s="75">
        <v>2</v>
      </c>
      <c r="K99" s="76">
        <f t="shared" si="22"/>
        <v>17373.338626</v>
      </c>
      <c r="L99" s="76">
        <f t="shared" si="23"/>
        <v>14507.77645</v>
      </c>
      <c r="M99" s="75">
        <v>2</v>
      </c>
      <c r="N99" s="77">
        <v>0</v>
      </c>
      <c r="O99" s="75">
        <v>0</v>
      </c>
      <c r="P99" s="67">
        <f t="shared" si="24"/>
        <v>911.24</v>
      </c>
      <c r="Q99" s="77">
        <v>4375.797504</v>
      </c>
      <c r="R99" s="67">
        <f t="shared" si="25"/>
        <v>2733.72</v>
      </c>
      <c r="S99" s="67">
        <v>0</v>
      </c>
      <c r="T99" s="76">
        <f t="shared" si="26"/>
        <v>14507.77645</v>
      </c>
      <c r="U99" s="76"/>
      <c r="V99" s="77">
        <v>1415.271068</v>
      </c>
      <c r="W99" s="75">
        <v>1</v>
      </c>
      <c r="X99" s="76"/>
      <c r="Y99" s="77">
        <v>1848.73808</v>
      </c>
      <c r="Z99" s="77">
        <v>48.37049</v>
      </c>
      <c r="AA99" s="67">
        <f t="shared" si="27"/>
        <v>96.74098</v>
      </c>
      <c r="AB99" s="77">
        <v>65.921088</v>
      </c>
      <c r="AC99" s="67">
        <f t="shared" si="28"/>
        <v>131.842176</v>
      </c>
      <c r="AD99" s="77">
        <v>761.045263</v>
      </c>
      <c r="AE99" s="67">
        <f t="shared" si="29"/>
        <v>1522.090526</v>
      </c>
      <c r="AF99" s="82">
        <v>0</v>
      </c>
      <c r="AG99" s="67">
        <f t="shared" si="30"/>
        <v>0</v>
      </c>
      <c r="AH99" s="77">
        <v>0</v>
      </c>
      <c r="AI99" s="67">
        <f t="shared" si="31"/>
        <v>0</v>
      </c>
      <c r="AJ99" s="77">
        <v>1942.042243</v>
      </c>
      <c r="AK99" s="77">
        <v>0</v>
      </c>
      <c r="AL99" s="77">
        <v>0</v>
      </c>
      <c r="AM99" s="77">
        <v>569.684519</v>
      </c>
      <c r="AN99" s="77">
        <v>0</v>
      </c>
      <c r="AO99" s="77">
        <v>7113.209034</v>
      </c>
      <c r="AP99" s="67">
        <f t="shared" si="32"/>
        <v>911.24</v>
      </c>
      <c r="AQ99" s="91">
        <f t="shared" si="33"/>
        <v>0</v>
      </c>
      <c r="AR99" s="91">
        <f t="shared" si="34"/>
        <v>0</v>
      </c>
      <c r="AS99" s="67">
        <f t="shared" si="35"/>
        <v>1.82248</v>
      </c>
      <c r="AT99" s="67">
        <f t="shared" si="36"/>
        <v>0.0569525</v>
      </c>
      <c r="AU99" s="67">
        <f t="shared" si="37"/>
        <v>1.36686</v>
      </c>
      <c r="AV99" s="67">
        <f t="shared" si="38"/>
        <v>0.02847625</v>
      </c>
      <c r="AW99" s="67">
        <f t="shared" si="39"/>
        <v>0.04376684205</v>
      </c>
      <c r="AX99" s="67"/>
      <c r="AY99" s="67"/>
      <c r="AZ99" s="75"/>
    </row>
    <row r="100" spans="1:52">
      <c r="A100" s="64">
        <v>95</v>
      </c>
      <c r="B100" s="65" t="s">
        <v>113</v>
      </c>
      <c r="C100" s="65" t="s">
        <v>113</v>
      </c>
      <c r="D100" s="65" t="s">
        <v>114</v>
      </c>
      <c r="E100" s="65" t="s">
        <v>185</v>
      </c>
      <c r="F100" s="66">
        <v>321.08</v>
      </c>
      <c r="G100" s="67">
        <f t="shared" si="20"/>
        <v>49.4912744674224</v>
      </c>
      <c r="H100" s="67">
        <f t="shared" si="21"/>
        <v>15890.658406</v>
      </c>
      <c r="I100" s="75">
        <v>2</v>
      </c>
      <c r="J100" s="75">
        <v>2</v>
      </c>
      <c r="K100" s="76">
        <f t="shared" si="22"/>
        <v>12563.895271</v>
      </c>
      <c r="L100" s="76">
        <f t="shared" si="23"/>
        <v>10637.415271</v>
      </c>
      <c r="M100" s="75">
        <v>2</v>
      </c>
      <c r="N100" s="77">
        <v>0</v>
      </c>
      <c r="O100" s="75">
        <v>0</v>
      </c>
      <c r="P100" s="67">
        <f t="shared" si="24"/>
        <v>642.16</v>
      </c>
      <c r="Q100" s="77">
        <v>5253.243135</v>
      </c>
      <c r="R100" s="67">
        <f t="shared" si="25"/>
        <v>1926.48</v>
      </c>
      <c r="S100" s="67">
        <v>0</v>
      </c>
      <c r="T100" s="76">
        <f t="shared" si="26"/>
        <v>10637.415271</v>
      </c>
      <c r="U100" s="76"/>
      <c r="V100" s="77">
        <v>0</v>
      </c>
      <c r="W100" s="75">
        <v>0</v>
      </c>
      <c r="X100" s="76"/>
      <c r="Y100" s="77">
        <v>1628.493237</v>
      </c>
      <c r="Z100" s="77">
        <v>128.77004</v>
      </c>
      <c r="AA100" s="67">
        <f t="shared" si="27"/>
        <v>257.54008</v>
      </c>
      <c r="AB100" s="77">
        <v>0</v>
      </c>
      <c r="AC100" s="67">
        <f t="shared" si="28"/>
        <v>0</v>
      </c>
      <c r="AD100" s="77">
        <v>0</v>
      </c>
      <c r="AE100" s="67">
        <f t="shared" si="29"/>
        <v>0</v>
      </c>
      <c r="AF100" s="82">
        <v>0</v>
      </c>
      <c r="AG100" s="67">
        <f t="shared" si="30"/>
        <v>0</v>
      </c>
      <c r="AH100" s="77">
        <v>0</v>
      </c>
      <c r="AI100" s="67">
        <f t="shared" si="31"/>
        <v>0</v>
      </c>
      <c r="AJ100" s="77">
        <v>2638.399281</v>
      </c>
      <c r="AK100" s="77">
        <v>0</v>
      </c>
      <c r="AL100" s="77">
        <v>0</v>
      </c>
      <c r="AM100" s="77">
        <v>795.219788</v>
      </c>
      <c r="AN100" s="77">
        <v>0</v>
      </c>
      <c r="AO100" s="77">
        <v>5317.762885</v>
      </c>
      <c r="AP100" s="67">
        <f t="shared" si="32"/>
        <v>642.16</v>
      </c>
      <c r="AQ100" s="91">
        <f t="shared" si="33"/>
        <v>0</v>
      </c>
      <c r="AR100" s="91">
        <f t="shared" si="34"/>
        <v>0</v>
      </c>
      <c r="AS100" s="67">
        <f t="shared" si="35"/>
        <v>1.28432</v>
      </c>
      <c r="AT100" s="67">
        <f t="shared" si="36"/>
        <v>0.040135</v>
      </c>
      <c r="AU100" s="67">
        <f t="shared" si="37"/>
        <v>0.96324</v>
      </c>
      <c r="AV100" s="67">
        <f t="shared" si="38"/>
        <v>0.0200675</v>
      </c>
      <c r="AW100" s="67">
        <f t="shared" si="39"/>
        <v>0.006438502</v>
      </c>
      <c r="AX100" s="67"/>
      <c r="AY100" s="67"/>
      <c r="AZ100" s="75"/>
    </row>
    <row r="101" spans="1:52">
      <c r="A101" s="64">
        <v>96</v>
      </c>
      <c r="B101" s="65" t="s">
        <v>113</v>
      </c>
      <c r="C101" s="65" t="s">
        <v>113</v>
      </c>
      <c r="D101" s="65" t="s">
        <v>111</v>
      </c>
      <c r="E101" s="65" t="s">
        <v>93</v>
      </c>
      <c r="F101" s="66">
        <v>755.5</v>
      </c>
      <c r="G101" s="67">
        <f t="shared" si="20"/>
        <v>45.8965757736598</v>
      </c>
      <c r="H101" s="67">
        <f t="shared" si="21"/>
        <v>34674.862997</v>
      </c>
      <c r="I101" s="75">
        <v>2</v>
      </c>
      <c r="J101" s="75">
        <v>2</v>
      </c>
      <c r="K101" s="76">
        <f t="shared" si="22"/>
        <v>27832.248584</v>
      </c>
      <c r="L101" s="76">
        <f t="shared" si="23"/>
        <v>23299.248584</v>
      </c>
      <c r="M101" s="75">
        <v>2</v>
      </c>
      <c r="N101" s="77">
        <v>0</v>
      </c>
      <c r="O101" s="75">
        <v>0</v>
      </c>
      <c r="P101" s="67">
        <f t="shared" si="24"/>
        <v>1511</v>
      </c>
      <c r="Q101" s="77">
        <v>11375.614413</v>
      </c>
      <c r="R101" s="67">
        <f t="shared" si="25"/>
        <v>4533</v>
      </c>
      <c r="S101" s="67">
        <v>0</v>
      </c>
      <c r="T101" s="76">
        <f t="shared" si="26"/>
        <v>23299.248584</v>
      </c>
      <c r="U101" s="76"/>
      <c r="V101" s="77">
        <v>0</v>
      </c>
      <c r="W101" s="75">
        <v>0</v>
      </c>
      <c r="X101" s="76"/>
      <c r="Y101" s="77">
        <v>3969.883282</v>
      </c>
      <c r="Z101" s="77">
        <v>6.375324</v>
      </c>
      <c r="AA101" s="67">
        <f t="shared" si="27"/>
        <v>12.750648</v>
      </c>
      <c r="AB101" s="77">
        <v>0</v>
      </c>
      <c r="AC101" s="67">
        <f t="shared" si="28"/>
        <v>0</v>
      </c>
      <c r="AD101" s="77">
        <v>0</v>
      </c>
      <c r="AE101" s="67">
        <f t="shared" si="29"/>
        <v>0</v>
      </c>
      <c r="AF101" s="82">
        <v>0</v>
      </c>
      <c r="AG101" s="67">
        <f t="shared" si="30"/>
        <v>0</v>
      </c>
      <c r="AH101" s="77">
        <v>137.224842</v>
      </c>
      <c r="AI101" s="67">
        <f t="shared" si="31"/>
        <v>274.449684</v>
      </c>
      <c r="AJ101" s="77">
        <v>3659.022958</v>
      </c>
      <c r="AK101" s="77">
        <v>0</v>
      </c>
      <c r="AL101" s="77">
        <v>0</v>
      </c>
      <c r="AM101" s="77">
        <v>0</v>
      </c>
      <c r="AN101" s="77">
        <v>0</v>
      </c>
      <c r="AO101" s="77">
        <v>15383.142012</v>
      </c>
      <c r="AP101" s="67">
        <f t="shared" si="32"/>
        <v>1511</v>
      </c>
      <c r="AQ101" s="91">
        <f t="shared" si="33"/>
        <v>0</v>
      </c>
      <c r="AR101" s="91">
        <f t="shared" si="34"/>
        <v>0</v>
      </c>
      <c r="AS101" s="67">
        <f t="shared" si="35"/>
        <v>3.022</v>
      </c>
      <c r="AT101" s="67">
        <f t="shared" si="36"/>
        <v>0.0944375</v>
      </c>
      <c r="AU101" s="67">
        <f t="shared" si="37"/>
        <v>2.2665</v>
      </c>
      <c r="AV101" s="67">
        <f t="shared" si="38"/>
        <v>0.04721875</v>
      </c>
      <c r="AW101" s="67">
        <f t="shared" si="39"/>
        <v>0.0003187662</v>
      </c>
      <c r="AX101" s="67"/>
      <c r="AY101" s="67"/>
      <c r="AZ101" s="75"/>
    </row>
    <row r="102" spans="1:52">
      <c r="A102" s="64">
        <v>97</v>
      </c>
      <c r="B102" s="65" t="s">
        <v>113</v>
      </c>
      <c r="C102" s="65" t="s">
        <v>113</v>
      </c>
      <c r="D102" s="65" t="s">
        <v>93</v>
      </c>
      <c r="E102" s="65" t="s">
        <v>114</v>
      </c>
      <c r="F102" s="66">
        <v>647.26</v>
      </c>
      <c r="G102" s="67">
        <f t="shared" si="20"/>
        <v>43.6330669839014</v>
      </c>
      <c r="H102" s="67">
        <f t="shared" si="21"/>
        <v>28241.938936</v>
      </c>
      <c r="I102" s="75">
        <v>2</v>
      </c>
      <c r="J102" s="75">
        <v>2</v>
      </c>
      <c r="K102" s="76">
        <f t="shared" si="22"/>
        <v>22375.236142</v>
      </c>
      <c r="L102" s="76">
        <f t="shared" si="23"/>
        <v>18491.676142</v>
      </c>
      <c r="M102" s="75">
        <v>2</v>
      </c>
      <c r="N102" s="77">
        <v>0</v>
      </c>
      <c r="O102" s="75">
        <v>0</v>
      </c>
      <c r="P102" s="67">
        <f t="shared" si="24"/>
        <v>1294.52</v>
      </c>
      <c r="Q102" s="77">
        <v>9750.262794</v>
      </c>
      <c r="R102" s="67">
        <f t="shared" si="25"/>
        <v>3883.56</v>
      </c>
      <c r="S102" s="67">
        <v>0</v>
      </c>
      <c r="T102" s="76">
        <f t="shared" si="26"/>
        <v>18491.676142</v>
      </c>
      <c r="U102" s="76"/>
      <c r="V102" s="77">
        <v>0</v>
      </c>
      <c r="W102" s="75">
        <v>0</v>
      </c>
      <c r="X102" s="76"/>
      <c r="Y102" s="77">
        <v>3297.480952</v>
      </c>
      <c r="Z102" s="77">
        <v>49.82571</v>
      </c>
      <c r="AA102" s="67">
        <f t="shared" si="27"/>
        <v>99.65142</v>
      </c>
      <c r="AB102" s="77">
        <v>0</v>
      </c>
      <c r="AC102" s="67">
        <f t="shared" si="28"/>
        <v>0</v>
      </c>
      <c r="AD102" s="77">
        <v>0</v>
      </c>
      <c r="AE102" s="67">
        <f t="shared" si="29"/>
        <v>0</v>
      </c>
      <c r="AF102" s="82">
        <v>0</v>
      </c>
      <c r="AG102" s="67">
        <f t="shared" si="30"/>
        <v>0</v>
      </c>
      <c r="AH102" s="77">
        <v>0</v>
      </c>
      <c r="AI102" s="67">
        <f t="shared" si="31"/>
        <v>0</v>
      </c>
      <c r="AJ102" s="77">
        <v>3353.139772</v>
      </c>
      <c r="AK102" s="77">
        <v>0</v>
      </c>
      <c r="AL102" s="77">
        <v>0</v>
      </c>
      <c r="AM102" s="77">
        <v>0</v>
      </c>
      <c r="AN102" s="77">
        <v>0</v>
      </c>
      <c r="AO102" s="77">
        <v>11741.403998</v>
      </c>
      <c r="AP102" s="67">
        <f t="shared" si="32"/>
        <v>1294.52</v>
      </c>
      <c r="AQ102" s="91">
        <f t="shared" si="33"/>
        <v>0</v>
      </c>
      <c r="AR102" s="91">
        <f t="shared" si="34"/>
        <v>0</v>
      </c>
      <c r="AS102" s="67">
        <f t="shared" si="35"/>
        <v>2.58904</v>
      </c>
      <c r="AT102" s="67">
        <f t="shared" si="36"/>
        <v>0.0809075</v>
      </c>
      <c r="AU102" s="67">
        <f t="shared" si="37"/>
        <v>1.94178</v>
      </c>
      <c r="AV102" s="67">
        <f t="shared" si="38"/>
        <v>0.04045375</v>
      </c>
      <c r="AW102" s="67">
        <f t="shared" si="39"/>
        <v>0.0024912855</v>
      </c>
      <c r="AX102" s="67"/>
      <c r="AY102" s="67"/>
      <c r="AZ102" s="75"/>
    </row>
    <row r="103" spans="1:52">
      <c r="A103" s="64">
        <v>98</v>
      </c>
      <c r="B103" s="65" t="s">
        <v>113</v>
      </c>
      <c r="C103" s="65" t="s">
        <v>186</v>
      </c>
      <c r="D103" s="65"/>
      <c r="E103" s="65"/>
      <c r="F103" s="66">
        <v>28.98</v>
      </c>
      <c r="G103" s="67">
        <f t="shared" si="20"/>
        <v>17.5397097308489</v>
      </c>
      <c r="H103" s="67">
        <f t="shared" si="21"/>
        <v>508.300788</v>
      </c>
      <c r="I103" s="75">
        <v>2</v>
      </c>
      <c r="J103" s="75">
        <v>2</v>
      </c>
      <c r="K103" s="76">
        <f t="shared" si="22"/>
        <v>173.88</v>
      </c>
      <c r="L103" s="76">
        <f t="shared" si="23"/>
        <v>0</v>
      </c>
      <c r="M103" s="75">
        <v>0</v>
      </c>
      <c r="N103" s="77">
        <v>0</v>
      </c>
      <c r="O103" s="75">
        <v>0</v>
      </c>
      <c r="P103" s="67">
        <f t="shared" si="24"/>
        <v>57.96</v>
      </c>
      <c r="Q103" s="77">
        <v>508.300788</v>
      </c>
      <c r="R103" s="67">
        <f t="shared" si="25"/>
        <v>173.88</v>
      </c>
      <c r="S103" s="67">
        <v>0</v>
      </c>
      <c r="T103" s="76">
        <f t="shared" si="26"/>
        <v>0</v>
      </c>
      <c r="U103" s="76"/>
      <c r="V103" s="77">
        <v>0</v>
      </c>
      <c r="W103" s="75">
        <v>0</v>
      </c>
      <c r="X103" s="76"/>
      <c r="Y103" s="77">
        <v>0</v>
      </c>
      <c r="Z103" s="77">
        <v>0</v>
      </c>
      <c r="AA103" s="67">
        <f t="shared" si="27"/>
        <v>0</v>
      </c>
      <c r="AB103" s="77">
        <v>0</v>
      </c>
      <c r="AC103" s="67">
        <f t="shared" si="28"/>
        <v>0</v>
      </c>
      <c r="AD103" s="77">
        <v>0</v>
      </c>
      <c r="AE103" s="67">
        <f t="shared" si="29"/>
        <v>0</v>
      </c>
      <c r="AF103" s="82">
        <v>0</v>
      </c>
      <c r="AG103" s="67">
        <f t="shared" si="30"/>
        <v>0</v>
      </c>
      <c r="AH103" s="77">
        <v>0</v>
      </c>
      <c r="AI103" s="67">
        <f t="shared" si="31"/>
        <v>0</v>
      </c>
      <c r="AJ103" s="77">
        <v>0</v>
      </c>
      <c r="AK103" s="77">
        <v>0</v>
      </c>
      <c r="AL103" s="77">
        <v>0</v>
      </c>
      <c r="AM103" s="77">
        <v>0</v>
      </c>
      <c r="AN103" s="77">
        <v>0</v>
      </c>
      <c r="AO103" s="77">
        <v>0</v>
      </c>
      <c r="AP103" s="67">
        <f t="shared" si="32"/>
        <v>57.96</v>
      </c>
      <c r="AQ103" s="91">
        <f t="shared" si="33"/>
        <v>0</v>
      </c>
      <c r="AR103" s="91">
        <f t="shared" si="34"/>
        <v>0</v>
      </c>
      <c r="AS103" s="67">
        <f t="shared" si="35"/>
        <v>0.11592</v>
      </c>
      <c r="AT103" s="67">
        <f t="shared" si="36"/>
        <v>0.0036225</v>
      </c>
      <c r="AU103" s="67">
        <f t="shared" si="37"/>
        <v>0.08694</v>
      </c>
      <c r="AV103" s="67">
        <f t="shared" si="38"/>
        <v>0.00181125</v>
      </c>
      <c r="AW103" s="67">
        <f t="shared" si="39"/>
        <v>0</v>
      </c>
      <c r="AX103" s="67"/>
      <c r="AY103" s="67"/>
      <c r="AZ103" s="75"/>
    </row>
    <row r="104" spans="1:52">
      <c r="A104" s="64">
        <v>99</v>
      </c>
      <c r="B104" s="65" t="s">
        <v>113</v>
      </c>
      <c r="C104" s="65" t="s">
        <v>187</v>
      </c>
      <c r="D104" s="65"/>
      <c r="E104" s="65"/>
      <c r="F104" s="66">
        <v>26.48</v>
      </c>
      <c r="G104" s="67">
        <f t="shared" si="20"/>
        <v>19.5137354607251</v>
      </c>
      <c r="H104" s="67">
        <f t="shared" si="21"/>
        <v>516.723715</v>
      </c>
      <c r="I104" s="75">
        <v>2</v>
      </c>
      <c r="J104" s="75">
        <v>2</v>
      </c>
      <c r="K104" s="76">
        <f t="shared" si="22"/>
        <v>158.88</v>
      </c>
      <c r="L104" s="76">
        <f t="shared" si="23"/>
        <v>0</v>
      </c>
      <c r="M104" s="75">
        <v>0</v>
      </c>
      <c r="N104" s="77">
        <v>0</v>
      </c>
      <c r="O104" s="75">
        <v>0</v>
      </c>
      <c r="P104" s="67">
        <f t="shared" si="24"/>
        <v>52.96</v>
      </c>
      <c r="Q104" s="77">
        <v>516.723715</v>
      </c>
      <c r="R104" s="67">
        <f t="shared" si="25"/>
        <v>158.88</v>
      </c>
      <c r="S104" s="67">
        <v>0</v>
      </c>
      <c r="T104" s="76">
        <f t="shared" si="26"/>
        <v>0</v>
      </c>
      <c r="U104" s="76"/>
      <c r="V104" s="77">
        <v>0</v>
      </c>
      <c r="W104" s="75">
        <v>0</v>
      </c>
      <c r="X104" s="76"/>
      <c r="Y104" s="77">
        <v>0</v>
      </c>
      <c r="Z104" s="77">
        <v>0</v>
      </c>
      <c r="AA104" s="67">
        <f t="shared" si="27"/>
        <v>0</v>
      </c>
      <c r="AB104" s="77">
        <v>0</v>
      </c>
      <c r="AC104" s="67">
        <f t="shared" si="28"/>
        <v>0</v>
      </c>
      <c r="AD104" s="77">
        <v>0</v>
      </c>
      <c r="AE104" s="67">
        <f t="shared" si="29"/>
        <v>0</v>
      </c>
      <c r="AF104" s="82">
        <v>0</v>
      </c>
      <c r="AG104" s="67">
        <f t="shared" si="30"/>
        <v>0</v>
      </c>
      <c r="AH104" s="77">
        <v>0</v>
      </c>
      <c r="AI104" s="67">
        <f t="shared" si="31"/>
        <v>0</v>
      </c>
      <c r="AJ104" s="77">
        <v>0</v>
      </c>
      <c r="AK104" s="77">
        <v>0</v>
      </c>
      <c r="AL104" s="77">
        <v>0</v>
      </c>
      <c r="AM104" s="77">
        <v>0</v>
      </c>
      <c r="AN104" s="77">
        <v>0</v>
      </c>
      <c r="AO104" s="77">
        <v>0</v>
      </c>
      <c r="AP104" s="67">
        <f t="shared" si="32"/>
        <v>52.96</v>
      </c>
      <c r="AQ104" s="91">
        <f t="shared" si="33"/>
        <v>0</v>
      </c>
      <c r="AR104" s="91">
        <f t="shared" si="34"/>
        <v>0</v>
      </c>
      <c r="AS104" s="67">
        <f t="shared" si="35"/>
        <v>0.10592</v>
      </c>
      <c r="AT104" s="67">
        <f t="shared" si="36"/>
        <v>0.00331</v>
      </c>
      <c r="AU104" s="67">
        <f t="shared" si="37"/>
        <v>0.07944</v>
      </c>
      <c r="AV104" s="67">
        <f t="shared" si="38"/>
        <v>0.001655</v>
      </c>
      <c r="AW104" s="67">
        <f t="shared" si="39"/>
        <v>0</v>
      </c>
      <c r="AX104" s="67"/>
      <c r="AY104" s="67"/>
      <c r="AZ104" s="75"/>
    </row>
    <row r="105" spans="1:52">
      <c r="A105" s="64">
        <v>100</v>
      </c>
      <c r="B105" s="65" t="s">
        <v>113</v>
      </c>
      <c r="C105" s="65" t="s">
        <v>188</v>
      </c>
      <c r="D105" s="65"/>
      <c r="E105" s="65"/>
      <c r="F105" s="66">
        <v>35.41</v>
      </c>
      <c r="G105" s="67">
        <f t="shared" si="20"/>
        <v>21.5059009036995</v>
      </c>
      <c r="H105" s="67">
        <f t="shared" si="21"/>
        <v>761.523951</v>
      </c>
      <c r="I105" s="75">
        <v>2</v>
      </c>
      <c r="J105" s="75">
        <v>2</v>
      </c>
      <c r="K105" s="76">
        <f t="shared" si="22"/>
        <v>212.46</v>
      </c>
      <c r="L105" s="76">
        <f t="shared" si="23"/>
        <v>0</v>
      </c>
      <c r="M105" s="75">
        <v>0</v>
      </c>
      <c r="N105" s="77">
        <v>0</v>
      </c>
      <c r="O105" s="75">
        <v>0</v>
      </c>
      <c r="P105" s="67">
        <f t="shared" si="24"/>
        <v>70.82</v>
      </c>
      <c r="Q105" s="77">
        <v>761.523951</v>
      </c>
      <c r="R105" s="67">
        <f t="shared" si="25"/>
        <v>212.46</v>
      </c>
      <c r="S105" s="67">
        <v>0</v>
      </c>
      <c r="T105" s="76">
        <f t="shared" si="26"/>
        <v>0</v>
      </c>
      <c r="U105" s="76"/>
      <c r="V105" s="77">
        <v>0</v>
      </c>
      <c r="W105" s="75">
        <v>0</v>
      </c>
      <c r="X105" s="76"/>
      <c r="Y105" s="77">
        <v>0</v>
      </c>
      <c r="Z105" s="77">
        <v>0</v>
      </c>
      <c r="AA105" s="67">
        <f t="shared" si="27"/>
        <v>0</v>
      </c>
      <c r="AB105" s="77">
        <v>0</v>
      </c>
      <c r="AC105" s="67">
        <f t="shared" si="28"/>
        <v>0</v>
      </c>
      <c r="AD105" s="77">
        <v>0</v>
      </c>
      <c r="AE105" s="67">
        <f t="shared" si="29"/>
        <v>0</v>
      </c>
      <c r="AF105" s="82">
        <v>0</v>
      </c>
      <c r="AG105" s="67">
        <f t="shared" si="30"/>
        <v>0</v>
      </c>
      <c r="AH105" s="77">
        <v>0</v>
      </c>
      <c r="AI105" s="67">
        <f t="shared" si="31"/>
        <v>0</v>
      </c>
      <c r="AJ105" s="77">
        <v>0</v>
      </c>
      <c r="AK105" s="77">
        <v>0</v>
      </c>
      <c r="AL105" s="77">
        <v>0</v>
      </c>
      <c r="AM105" s="77">
        <v>0</v>
      </c>
      <c r="AN105" s="77">
        <v>0</v>
      </c>
      <c r="AO105" s="77">
        <v>0</v>
      </c>
      <c r="AP105" s="67">
        <f t="shared" si="32"/>
        <v>70.82</v>
      </c>
      <c r="AQ105" s="91">
        <f t="shared" si="33"/>
        <v>0</v>
      </c>
      <c r="AR105" s="91">
        <f t="shared" si="34"/>
        <v>0</v>
      </c>
      <c r="AS105" s="67">
        <f t="shared" si="35"/>
        <v>0.14164</v>
      </c>
      <c r="AT105" s="67">
        <f t="shared" si="36"/>
        <v>0.00442625</v>
      </c>
      <c r="AU105" s="67">
        <f t="shared" si="37"/>
        <v>0.10623</v>
      </c>
      <c r="AV105" s="67">
        <f t="shared" si="38"/>
        <v>0.002213125</v>
      </c>
      <c r="AW105" s="67">
        <f t="shared" si="39"/>
        <v>0</v>
      </c>
      <c r="AX105" s="67"/>
      <c r="AY105" s="67"/>
      <c r="AZ105" s="75"/>
    </row>
    <row r="106" spans="1:52">
      <c r="A106" s="64">
        <v>101</v>
      </c>
      <c r="B106" s="65" t="s">
        <v>113</v>
      </c>
      <c r="C106" s="65" t="s">
        <v>189</v>
      </c>
      <c r="D106" s="65"/>
      <c r="E106" s="65"/>
      <c r="F106" s="66">
        <v>25.39</v>
      </c>
      <c r="G106" s="67">
        <f t="shared" si="20"/>
        <v>18.6426428121308</v>
      </c>
      <c r="H106" s="67">
        <f t="shared" si="21"/>
        <v>473.336701</v>
      </c>
      <c r="I106" s="75">
        <v>2</v>
      </c>
      <c r="J106" s="75">
        <v>2</v>
      </c>
      <c r="K106" s="76">
        <f t="shared" si="22"/>
        <v>152.34</v>
      </c>
      <c r="L106" s="76">
        <f t="shared" si="23"/>
        <v>0</v>
      </c>
      <c r="M106" s="75">
        <v>0</v>
      </c>
      <c r="N106" s="77">
        <v>0</v>
      </c>
      <c r="O106" s="75">
        <v>0</v>
      </c>
      <c r="P106" s="67">
        <f t="shared" si="24"/>
        <v>50.78</v>
      </c>
      <c r="Q106" s="77">
        <v>473.336701</v>
      </c>
      <c r="R106" s="67">
        <f t="shared" si="25"/>
        <v>152.34</v>
      </c>
      <c r="S106" s="67">
        <v>0</v>
      </c>
      <c r="T106" s="76">
        <f t="shared" si="26"/>
        <v>0</v>
      </c>
      <c r="U106" s="76"/>
      <c r="V106" s="77">
        <v>0</v>
      </c>
      <c r="W106" s="75">
        <v>0</v>
      </c>
      <c r="X106" s="76"/>
      <c r="Y106" s="77">
        <v>0</v>
      </c>
      <c r="Z106" s="77">
        <v>0</v>
      </c>
      <c r="AA106" s="67">
        <f t="shared" si="27"/>
        <v>0</v>
      </c>
      <c r="AB106" s="77">
        <v>0</v>
      </c>
      <c r="AC106" s="67">
        <f t="shared" si="28"/>
        <v>0</v>
      </c>
      <c r="AD106" s="77">
        <v>0</v>
      </c>
      <c r="AE106" s="67">
        <f t="shared" si="29"/>
        <v>0</v>
      </c>
      <c r="AF106" s="82">
        <v>0</v>
      </c>
      <c r="AG106" s="67">
        <f t="shared" si="30"/>
        <v>0</v>
      </c>
      <c r="AH106" s="77">
        <v>0</v>
      </c>
      <c r="AI106" s="67">
        <f t="shared" si="31"/>
        <v>0</v>
      </c>
      <c r="AJ106" s="77">
        <v>0</v>
      </c>
      <c r="AK106" s="77">
        <v>0</v>
      </c>
      <c r="AL106" s="77">
        <v>0</v>
      </c>
      <c r="AM106" s="77">
        <v>0</v>
      </c>
      <c r="AN106" s="77">
        <v>0</v>
      </c>
      <c r="AO106" s="77">
        <v>0</v>
      </c>
      <c r="AP106" s="67">
        <f t="shared" si="32"/>
        <v>50.78</v>
      </c>
      <c r="AQ106" s="91">
        <f t="shared" si="33"/>
        <v>0</v>
      </c>
      <c r="AR106" s="91">
        <f t="shared" si="34"/>
        <v>0</v>
      </c>
      <c r="AS106" s="67">
        <f t="shared" si="35"/>
        <v>0.10156</v>
      </c>
      <c r="AT106" s="67">
        <f t="shared" si="36"/>
        <v>0.00317375</v>
      </c>
      <c r="AU106" s="67">
        <f t="shared" si="37"/>
        <v>0.07617</v>
      </c>
      <c r="AV106" s="67">
        <f t="shared" si="38"/>
        <v>0.001586875</v>
      </c>
      <c r="AW106" s="67">
        <f t="shared" si="39"/>
        <v>0</v>
      </c>
      <c r="AX106" s="67"/>
      <c r="AY106" s="67"/>
      <c r="AZ106" s="75"/>
    </row>
    <row r="107" spans="1:52">
      <c r="A107" s="64">
        <v>102</v>
      </c>
      <c r="B107" s="65" t="s">
        <v>113</v>
      </c>
      <c r="C107" s="65" t="s">
        <v>113</v>
      </c>
      <c r="D107" s="65" t="s">
        <v>92</v>
      </c>
      <c r="E107" s="65" t="s">
        <v>111</v>
      </c>
      <c r="F107" s="66">
        <v>210.01</v>
      </c>
      <c r="G107" s="67">
        <f t="shared" si="20"/>
        <v>42.5067893766963</v>
      </c>
      <c r="H107" s="67">
        <f t="shared" si="21"/>
        <v>8926.850837</v>
      </c>
      <c r="I107" s="75">
        <v>2</v>
      </c>
      <c r="J107" s="75">
        <v>2</v>
      </c>
      <c r="K107" s="76">
        <f t="shared" si="22"/>
        <v>6738.022062</v>
      </c>
      <c r="L107" s="76">
        <f t="shared" si="23"/>
        <v>5477.962062</v>
      </c>
      <c r="M107" s="75">
        <v>2</v>
      </c>
      <c r="N107" s="77">
        <v>0</v>
      </c>
      <c r="O107" s="75">
        <v>0</v>
      </c>
      <c r="P107" s="67">
        <f t="shared" si="24"/>
        <v>420.02</v>
      </c>
      <c r="Q107" s="77">
        <v>3448.888775</v>
      </c>
      <c r="R107" s="67">
        <f t="shared" si="25"/>
        <v>1260.06</v>
      </c>
      <c r="S107" s="67">
        <v>0</v>
      </c>
      <c r="T107" s="76">
        <f t="shared" si="26"/>
        <v>5477.962062</v>
      </c>
      <c r="U107" s="76"/>
      <c r="V107" s="77">
        <v>0</v>
      </c>
      <c r="W107" s="75">
        <v>0</v>
      </c>
      <c r="X107" s="76"/>
      <c r="Y107" s="77">
        <v>1030.17144</v>
      </c>
      <c r="Z107" s="77">
        <v>0</v>
      </c>
      <c r="AA107" s="67">
        <f t="shared" si="27"/>
        <v>0</v>
      </c>
      <c r="AB107" s="77">
        <v>0</v>
      </c>
      <c r="AC107" s="67">
        <f t="shared" si="28"/>
        <v>0</v>
      </c>
      <c r="AD107" s="77">
        <v>0</v>
      </c>
      <c r="AE107" s="67">
        <f t="shared" si="29"/>
        <v>0</v>
      </c>
      <c r="AF107" s="82">
        <v>0</v>
      </c>
      <c r="AG107" s="67">
        <f t="shared" si="30"/>
        <v>0</v>
      </c>
      <c r="AH107" s="77">
        <v>0</v>
      </c>
      <c r="AI107" s="67">
        <f t="shared" si="31"/>
        <v>0</v>
      </c>
      <c r="AJ107" s="77">
        <v>618.083391</v>
      </c>
      <c r="AK107" s="77">
        <v>0</v>
      </c>
      <c r="AL107" s="77">
        <v>0</v>
      </c>
      <c r="AM107" s="77">
        <v>0</v>
      </c>
      <c r="AN107" s="77">
        <v>0</v>
      </c>
      <c r="AO107" s="77">
        <v>3829.707231</v>
      </c>
      <c r="AP107" s="67">
        <f t="shared" si="32"/>
        <v>420.02</v>
      </c>
      <c r="AQ107" s="91">
        <f t="shared" si="33"/>
        <v>0</v>
      </c>
      <c r="AR107" s="91">
        <f t="shared" si="34"/>
        <v>0</v>
      </c>
      <c r="AS107" s="67">
        <f t="shared" si="35"/>
        <v>0.84004</v>
      </c>
      <c r="AT107" s="67">
        <f t="shared" si="36"/>
        <v>0.02625125</v>
      </c>
      <c r="AU107" s="67">
        <f t="shared" si="37"/>
        <v>0.63003</v>
      </c>
      <c r="AV107" s="67">
        <f t="shared" si="38"/>
        <v>0.013125625</v>
      </c>
      <c r="AW107" s="67">
        <f t="shared" si="39"/>
        <v>0</v>
      </c>
      <c r="AX107" s="67"/>
      <c r="AY107" s="67"/>
      <c r="AZ107" s="75"/>
    </row>
    <row r="108" spans="1:52">
      <c r="A108" s="64">
        <v>103</v>
      </c>
      <c r="B108" s="65" t="s">
        <v>113</v>
      </c>
      <c r="C108" s="65" t="s">
        <v>113</v>
      </c>
      <c r="D108" s="65" t="s">
        <v>185</v>
      </c>
      <c r="E108" s="65" t="s">
        <v>86</v>
      </c>
      <c r="F108" s="66">
        <v>335.12</v>
      </c>
      <c r="G108" s="67">
        <f t="shared" si="20"/>
        <v>60.0619821675818</v>
      </c>
      <c r="H108" s="67">
        <f t="shared" si="21"/>
        <v>20127.971464</v>
      </c>
      <c r="I108" s="75">
        <v>2</v>
      </c>
      <c r="J108" s="75">
        <v>2</v>
      </c>
      <c r="K108" s="76">
        <f t="shared" si="22"/>
        <v>16271.966614</v>
      </c>
      <c r="L108" s="76">
        <f t="shared" si="23"/>
        <v>14142.885372</v>
      </c>
      <c r="M108" s="75">
        <v>4</v>
      </c>
      <c r="N108" s="77">
        <v>0</v>
      </c>
      <c r="O108" s="75">
        <v>0</v>
      </c>
      <c r="P108" s="67">
        <f t="shared" si="24"/>
        <v>670.24</v>
      </c>
      <c r="Q108" s="77">
        <v>5866.72485</v>
      </c>
      <c r="R108" s="67">
        <f t="shared" si="25"/>
        <v>2010.72</v>
      </c>
      <c r="S108" s="67">
        <v>0</v>
      </c>
      <c r="T108" s="76">
        <f t="shared" si="26"/>
        <v>14142.885372</v>
      </c>
      <c r="U108" s="76"/>
      <c r="V108" s="77">
        <v>213.683639</v>
      </c>
      <c r="W108" s="75">
        <v>2</v>
      </c>
      <c r="X108" s="76"/>
      <c r="Y108" s="77">
        <v>1682.817844</v>
      </c>
      <c r="Z108" s="77">
        <v>19.050556</v>
      </c>
      <c r="AA108" s="67">
        <f t="shared" si="27"/>
        <v>38.101112</v>
      </c>
      <c r="AB108" s="77">
        <v>59.180621</v>
      </c>
      <c r="AC108" s="67">
        <f t="shared" si="28"/>
        <v>118.361242</v>
      </c>
      <c r="AD108" s="77">
        <v>0</v>
      </c>
      <c r="AE108" s="67">
        <f t="shared" si="29"/>
        <v>0</v>
      </c>
      <c r="AF108" s="82">
        <v>0</v>
      </c>
      <c r="AG108" s="67">
        <f t="shared" si="30"/>
        <v>0</v>
      </c>
      <c r="AH108" s="77">
        <v>6.497858</v>
      </c>
      <c r="AI108" s="67">
        <f t="shared" si="31"/>
        <v>12.995716</v>
      </c>
      <c r="AJ108" s="77">
        <v>4337.75132</v>
      </c>
      <c r="AK108" s="77">
        <v>190.885229</v>
      </c>
      <c r="AL108" s="77">
        <v>0</v>
      </c>
      <c r="AM108" s="77">
        <v>714.5508</v>
      </c>
      <c r="AN108" s="77">
        <v>150.560726</v>
      </c>
      <c r="AO108" s="77">
        <v>6801.538986</v>
      </c>
      <c r="AP108" s="67">
        <f t="shared" si="32"/>
        <v>670.24</v>
      </c>
      <c r="AQ108" s="91">
        <f t="shared" si="33"/>
        <v>0</v>
      </c>
      <c r="AR108" s="91">
        <f t="shared" si="34"/>
        <v>0</v>
      </c>
      <c r="AS108" s="67">
        <f t="shared" si="35"/>
        <v>1.34048</v>
      </c>
      <c r="AT108" s="67">
        <f t="shared" si="36"/>
        <v>0.04189</v>
      </c>
      <c r="AU108" s="67">
        <f t="shared" si="37"/>
        <v>1.00536</v>
      </c>
      <c r="AV108" s="67">
        <f t="shared" si="38"/>
        <v>0.020945</v>
      </c>
      <c r="AW108" s="67">
        <f t="shared" si="39"/>
        <v>0.00391155885</v>
      </c>
      <c r="AX108" s="67"/>
      <c r="AY108" s="67"/>
      <c r="AZ108" s="75"/>
    </row>
    <row r="109" spans="1:52">
      <c r="A109" s="64">
        <v>104</v>
      </c>
      <c r="B109" s="65" t="s">
        <v>190</v>
      </c>
      <c r="C109" s="65" t="s">
        <v>190</v>
      </c>
      <c r="D109" s="65" t="s">
        <v>191</v>
      </c>
      <c r="E109" s="65" t="s">
        <v>170</v>
      </c>
      <c r="F109" s="66">
        <v>332.42</v>
      </c>
      <c r="G109" s="67">
        <f t="shared" si="20"/>
        <v>31.7467701582336</v>
      </c>
      <c r="H109" s="67">
        <f t="shared" si="21"/>
        <v>10553.261336</v>
      </c>
      <c r="I109" s="75">
        <v>2</v>
      </c>
      <c r="J109" s="75">
        <v>3</v>
      </c>
      <c r="K109" s="76">
        <f t="shared" si="22"/>
        <v>10555.189652</v>
      </c>
      <c r="L109" s="76">
        <f t="shared" si="23"/>
        <v>7893.633306</v>
      </c>
      <c r="M109" s="75">
        <v>2</v>
      </c>
      <c r="N109" s="77">
        <v>0</v>
      </c>
      <c r="O109" s="75">
        <v>0</v>
      </c>
      <c r="P109" s="67">
        <f t="shared" si="24"/>
        <v>664.84</v>
      </c>
      <c r="Q109" s="77">
        <v>1992.591684</v>
      </c>
      <c r="R109" s="67">
        <f t="shared" si="25"/>
        <v>1994.52</v>
      </c>
      <c r="S109" s="67">
        <v>0</v>
      </c>
      <c r="T109" s="76">
        <f t="shared" si="26"/>
        <v>7893.633306</v>
      </c>
      <c r="U109" s="76"/>
      <c r="V109" s="77">
        <v>0</v>
      </c>
      <c r="W109" s="75">
        <v>0</v>
      </c>
      <c r="X109" s="76"/>
      <c r="Y109" s="77">
        <v>0</v>
      </c>
      <c r="Z109" s="77">
        <v>0</v>
      </c>
      <c r="AA109" s="67">
        <f t="shared" si="27"/>
        <v>0</v>
      </c>
      <c r="AB109" s="77">
        <v>333.518173</v>
      </c>
      <c r="AC109" s="67">
        <f t="shared" si="28"/>
        <v>667.036346</v>
      </c>
      <c r="AD109" s="77">
        <v>0</v>
      </c>
      <c r="AE109" s="67">
        <f t="shared" si="29"/>
        <v>0</v>
      </c>
      <c r="AF109" s="82">
        <v>0</v>
      </c>
      <c r="AG109" s="67">
        <f t="shared" si="30"/>
        <v>0</v>
      </c>
      <c r="AH109" s="77">
        <v>0</v>
      </c>
      <c r="AI109" s="67">
        <f t="shared" si="31"/>
        <v>0</v>
      </c>
      <c r="AJ109" s="77">
        <v>0</v>
      </c>
      <c r="AK109" s="77">
        <v>0</v>
      </c>
      <c r="AL109" s="77">
        <v>0</v>
      </c>
      <c r="AM109" s="77">
        <v>0</v>
      </c>
      <c r="AN109" s="77">
        <v>0</v>
      </c>
      <c r="AO109" s="77">
        <v>7893.633306</v>
      </c>
      <c r="AP109" s="67">
        <f t="shared" si="32"/>
        <v>664.84</v>
      </c>
      <c r="AQ109" s="91">
        <f t="shared" si="33"/>
        <v>1.32968</v>
      </c>
      <c r="AR109" s="91">
        <f t="shared" si="34"/>
        <v>0.0221613333333333</v>
      </c>
      <c r="AS109" s="67">
        <f t="shared" si="35"/>
        <v>0</v>
      </c>
      <c r="AT109" s="67">
        <f t="shared" si="36"/>
        <v>0</v>
      </c>
      <c r="AU109" s="67">
        <f t="shared" si="37"/>
        <v>0.66484</v>
      </c>
      <c r="AV109" s="67">
        <f t="shared" si="38"/>
        <v>0.0138508333333333</v>
      </c>
      <c r="AW109" s="67">
        <f t="shared" si="39"/>
        <v>0.01667590865</v>
      </c>
      <c r="AX109" s="67"/>
      <c r="AY109" s="67"/>
      <c r="AZ109" s="75"/>
    </row>
    <row r="110" spans="1:52">
      <c r="A110" s="64">
        <v>105</v>
      </c>
      <c r="B110" s="65" t="s">
        <v>192</v>
      </c>
      <c r="C110" s="65" t="s">
        <v>192</v>
      </c>
      <c r="D110" s="65" t="s">
        <v>170</v>
      </c>
      <c r="E110" s="65" t="s">
        <v>193</v>
      </c>
      <c r="F110" s="66">
        <v>281</v>
      </c>
      <c r="G110" s="67">
        <f t="shared" si="20"/>
        <v>6.39280223487544</v>
      </c>
      <c r="H110" s="67">
        <f t="shared" si="21"/>
        <v>1796.377428</v>
      </c>
      <c r="I110" s="75">
        <v>2</v>
      </c>
      <c r="J110" s="75">
        <v>3</v>
      </c>
      <c r="K110" s="76">
        <f t="shared" si="22"/>
        <v>2067.449308</v>
      </c>
      <c r="L110" s="76">
        <f t="shared" si="23"/>
        <v>0</v>
      </c>
      <c r="M110" s="75">
        <v>2</v>
      </c>
      <c r="N110" s="77">
        <v>0</v>
      </c>
      <c r="O110" s="75">
        <v>0</v>
      </c>
      <c r="P110" s="67">
        <f t="shared" si="24"/>
        <v>562</v>
      </c>
      <c r="Q110" s="77">
        <v>1414.92812</v>
      </c>
      <c r="R110" s="67">
        <f t="shared" si="25"/>
        <v>1686</v>
      </c>
      <c r="S110" s="67">
        <v>0</v>
      </c>
      <c r="T110" s="76">
        <f t="shared" si="26"/>
        <v>0</v>
      </c>
      <c r="U110" s="76"/>
      <c r="V110" s="77">
        <v>0</v>
      </c>
      <c r="W110" s="75">
        <v>0</v>
      </c>
      <c r="X110" s="76"/>
      <c r="Y110" s="77">
        <v>0</v>
      </c>
      <c r="Z110" s="77">
        <v>0</v>
      </c>
      <c r="AA110" s="67">
        <f t="shared" si="27"/>
        <v>0</v>
      </c>
      <c r="AB110" s="77">
        <v>190.724654</v>
      </c>
      <c r="AC110" s="67">
        <f t="shared" si="28"/>
        <v>381.449308</v>
      </c>
      <c r="AD110" s="77">
        <v>0</v>
      </c>
      <c r="AE110" s="67">
        <f t="shared" si="29"/>
        <v>0</v>
      </c>
      <c r="AF110" s="82">
        <v>0</v>
      </c>
      <c r="AG110" s="67">
        <f t="shared" si="30"/>
        <v>0</v>
      </c>
      <c r="AH110" s="77">
        <v>0</v>
      </c>
      <c r="AI110" s="67">
        <f t="shared" si="31"/>
        <v>0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  <c r="AO110" s="77">
        <v>0</v>
      </c>
      <c r="AP110" s="67">
        <f t="shared" si="32"/>
        <v>562</v>
      </c>
      <c r="AQ110" s="91">
        <f t="shared" si="33"/>
        <v>1.124</v>
      </c>
      <c r="AR110" s="91">
        <f t="shared" si="34"/>
        <v>0.0187333333333333</v>
      </c>
      <c r="AS110" s="67">
        <f t="shared" si="35"/>
        <v>0</v>
      </c>
      <c r="AT110" s="67">
        <f t="shared" si="36"/>
        <v>0</v>
      </c>
      <c r="AU110" s="67">
        <f t="shared" si="37"/>
        <v>0.562</v>
      </c>
      <c r="AV110" s="67">
        <f t="shared" si="38"/>
        <v>0.0117083333333333</v>
      </c>
      <c r="AW110" s="67">
        <f t="shared" si="39"/>
        <v>0.0095362327</v>
      </c>
      <c r="AX110" s="67"/>
      <c r="AY110" s="67"/>
      <c r="AZ110" s="75"/>
    </row>
    <row r="111" spans="1:52">
      <c r="A111" s="64">
        <v>106</v>
      </c>
      <c r="B111" s="65" t="s">
        <v>194</v>
      </c>
      <c r="C111" s="65" t="s">
        <v>194</v>
      </c>
      <c r="D111" s="65" t="s">
        <v>195</v>
      </c>
      <c r="E111" s="65" t="s">
        <v>170</v>
      </c>
      <c r="F111" s="66">
        <v>266.98</v>
      </c>
      <c r="G111" s="67">
        <f t="shared" si="20"/>
        <v>27.1203660274178</v>
      </c>
      <c r="H111" s="67">
        <f t="shared" si="21"/>
        <v>7240.595322</v>
      </c>
      <c r="I111" s="75">
        <v>2</v>
      </c>
      <c r="J111" s="75">
        <v>3</v>
      </c>
      <c r="K111" s="76">
        <f t="shared" si="22"/>
        <v>7105.635814</v>
      </c>
      <c r="L111" s="76">
        <f t="shared" si="23"/>
        <v>5141.271882</v>
      </c>
      <c r="M111" s="75">
        <v>2</v>
      </c>
      <c r="N111" s="77">
        <v>0</v>
      </c>
      <c r="O111" s="75">
        <v>0</v>
      </c>
      <c r="P111" s="67">
        <f t="shared" si="24"/>
        <v>533.96</v>
      </c>
      <c r="Q111" s="77">
        <v>1736.839508</v>
      </c>
      <c r="R111" s="67">
        <f t="shared" si="25"/>
        <v>1601.88</v>
      </c>
      <c r="S111" s="67">
        <v>0</v>
      </c>
      <c r="T111" s="76">
        <f t="shared" si="26"/>
        <v>5141.271882</v>
      </c>
      <c r="U111" s="76"/>
      <c r="V111" s="77">
        <v>0</v>
      </c>
      <c r="W111" s="75">
        <v>0</v>
      </c>
      <c r="X111" s="76"/>
      <c r="Y111" s="77">
        <v>0</v>
      </c>
      <c r="Z111" s="77">
        <v>0</v>
      </c>
      <c r="AA111" s="67">
        <f t="shared" si="27"/>
        <v>0</v>
      </c>
      <c r="AB111" s="77">
        <v>181.241966</v>
      </c>
      <c r="AC111" s="67">
        <f t="shared" si="28"/>
        <v>362.483932</v>
      </c>
      <c r="AD111" s="77">
        <v>0</v>
      </c>
      <c r="AE111" s="67">
        <f t="shared" si="29"/>
        <v>0</v>
      </c>
      <c r="AF111" s="82">
        <v>0</v>
      </c>
      <c r="AG111" s="67">
        <f t="shared" si="30"/>
        <v>0</v>
      </c>
      <c r="AH111" s="77">
        <v>0</v>
      </c>
      <c r="AI111" s="67">
        <f t="shared" si="31"/>
        <v>0</v>
      </c>
      <c r="AJ111" s="77">
        <v>735.866715</v>
      </c>
      <c r="AK111" s="77">
        <v>0</v>
      </c>
      <c r="AL111" s="77">
        <v>0</v>
      </c>
      <c r="AM111" s="77">
        <v>0</v>
      </c>
      <c r="AN111" s="77">
        <v>0</v>
      </c>
      <c r="AO111" s="77">
        <v>4405.405167</v>
      </c>
      <c r="AP111" s="67">
        <f t="shared" si="32"/>
        <v>533.96</v>
      </c>
      <c r="AQ111" s="91">
        <f t="shared" si="33"/>
        <v>1.06792</v>
      </c>
      <c r="AR111" s="91">
        <f t="shared" si="34"/>
        <v>0.0177986666666667</v>
      </c>
      <c r="AS111" s="67">
        <f t="shared" si="35"/>
        <v>0</v>
      </c>
      <c r="AT111" s="67">
        <f t="shared" si="36"/>
        <v>0</v>
      </c>
      <c r="AU111" s="67">
        <f t="shared" si="37"/>
        <v>0.53396</v>
      </c>
      <c r="AV111" s="67">
        <f t="shared" si="38"/>
        <v>0.0111241666666667</v>
      </c>
      <c r="AW111" s="67">
        <f t="shared" si="39"/>
        <v>0.0090620983</v>
      </c>
      <c r="AX111" s="67"/>
      <c r="AY111" s="67"/>
      <c r="AZ111" s="75"/>
    </row>
    <row r="112" spans="1:52">
      <c r="A112" s="64">
        <v>107</v>
      </c>
      <c r="B112" s="65" t="s">
        <v>196</v>
      </c>
      <c r="C112" s="65" t="s">
        <v>196</v>
      </c>
      <c r="D112" s="65" t="s">
        <v>170</v>
      </c>
      <c r="E112" s="65" t="s">
        <v>197</v>
      </c>
      <c r="F112" s="66">
        <v>287.63</v>
      </c>
      <c r="G112" s="67">
        <f t="shared" si="20"/>
        <v>27.4874544727601</v>
      </c>
      <c r="H112" s="67">
        <f t="shared" si="21"/>
        <v>7906.21653</v>
      </c>
      <c r="I112" s="75">
        <v>2</v>
      </c>
      <c r="J112" s="75">
        <v>3</v>
      </c>
      <c r="K112" s="76">
        <f t="shared" si="22"/>
        <v>8451.256333</v>
      </c>
      <c r="L112" s="76">
        <f t="shared" si="23"/>
        <v>6152.844097</v>
      </c>
      <c r="M112" s="75">
        <v>2</v>
      </c>
      <c r="N112" s="77">
        <v>0</v>
      </c>
      <c r="O112" s="75">
        <v>0</v>
      </c>
      <c r="P112" s="67">
        <f t="shared" si="24"/>
        <v>575.26</v>
      </c>
      <c r="Q112" s="77">
        <v>1180.740197</v>
      </c>
      <c r="R112" s="67">
        <f t="shared" si="25"/>
        <v>1725.78</v>
      </c>
      <c r="S112" s="67">
        <v>0</v>
      </c>
      <c r="T112" s="76">
        <f t="shared" si="26"/>
        <v>6152.844097</v>
      </c>
      <c r="U112" s="76"/>
      <c r="V112" s="77">
        <v>0</v>
      </c>
      <c r="W112" s="75">
        <v>0</v>
      </c>
      <c r="X112" s="76"/>
      <c r="Y112" s="77">
        <v>0</v>
      </c>
      <c r="Z112" s="77">
        <v>0</v>
      </c>
      <c r="AA112" s="67">
        <f t="shared" si="27"/>
        <v>0</v>
      </c>
      <c r="AB112" s="77">
        <v>286.316118</v>
      </c>
      <c r="AC112" s="67">
        <f t="shared" si="28"/>
        <v>572.632236</v>
      </c>
      <c r="AD112" s="77">
        <v>0</v>
      </c>
      <c r="AE112" s="67">
        <f t="shared" si="29"/>
        <v>0</v>
      </c>
      <c r="AF112" s="82">
        <v>0</v>
      </c>
      <c r="AG112" s="67">
        <f t="shared" si="30"/>
        <v>0</v>
      </c>
      <c r="AH112" s="77">
        <v>0</v>
      </c>
      <c r="AI112" s="67">
        <f t="shared" si="31"/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  <c r="AO112" s="77">
        <v>6152.844097</v>
      </c>
      <c r="AP112" s="67">
        <f t="shared" si="32"/>
        <v>575.26</v>
      </c>
      <c r="AQ112" s="91">
        <f t="shared" si="33"/>
        <v>1.15052</v>
      </c>
      <c r="AR112" s="91">
        <f t="shared" si="34"/>
        <v>0.0191753333333333</v>
      </c>
      <c r="AS112" s="67">
        <f t="shared" si="35"/>
        <v>0</v>
      </c>
      <c r="AT112" s="67">
        <f t="shared" si="36"/>
        <v>0</v>
      </c>
      <c r="AU112" s="67">
        <f t="shared" si="37"/>
        <v>0.57526</v>
      </c>
      <c r="AV112" s="67">
        <f t="shared" si="38"/>
        <v>0.0119845833333333</v>
      </c>
      <c r="AW112" s="67">
        <f t="shared" si="39"/>
        <v>0.0143158059</v>
      </c>
      <c r="AX112" s="67"/>
      <c r="AY112" s="67"/>
      <c r="AZ112" s="75"/>
    </row>
    <row r="113" spans="1:52">
      <c r="A113" s="64">
        <v>108</v>
      </c>
      <c r="B113" s="65" t="s">
        <v>198</v>
      </c>
      <c r="C113" s="65" t="s">
        <v>198</v>
      </c>
      <c r="D113" s="65" t="s">
        <v>196</v>
      </c>
      <c r="E113" s="65" t="s">
        <v>194</v>
      </c>
      <c r="F113" s="66">
        <v>83.58</v>
      </c>
      <c r="G113" s="67">
        <f t="shared" si="20"/>
        <v>5.59593269921034</v>
      </c>
      <c r="H113" s="67">
        <f t="shared" si="21"/>
        <v>467.708055</v>
      </c>
      <c r="I113" s="75">
        <v>3</v>
      </c>
      <c r="J113" s="75">
        <v>3</v>
      </c>
      <c r="K113" s="76">
        <f t="shared" si="22"/>
        <v>969.188055</v>
      </c>
      <c r="L113" s="76">
        <f t="shared" si="23"/>
        <v>467.708055</v>
      </c>
      <c r="M113" s="75">
        <v>0</v>
      </c>
      <c r="N113" s="77">
        <v>0</v>
      </c>
      <c r="O113" s="75">
        <v>0</v>
      </c>
      <c r="P113" s="67">
        <f t="shared" si="24"/>
        <v>167.16</v>
      </c>
      <c r="Q113" s="77">
        <v>0</v>
      </c>
      <c r="R113" s="67">
        <f t="shared" si="25"/>
        <v>501.48</v>
      </c>
      <c r="S113" s="67">
        <v>0</v>
      </c>
      <c r="T113" s="76">
        <f t="shared" si="26"/>
        <v>467.708055</v>
      </c>
      <c r="U113" s="76"/>
      <c r="V113" s="77">
        <v>332.417013</v>
      </c>
      <c r="W113" s="75">
        <v>1</v>
      </c>
      <c r="X113" s="76"/>
      <c r="Y113" s="77">
        <v>0</v>
      </c>
      <c r="Z113" s="77">
        <v>0</v>
      </c>
      <c r="AA113" s="67">
        <f t="shared" si="27"/>
        <v>0</v>
      </c>
      <c r="AB113" s="77">
        <v>0</v>
      </c>
      <c r="AC113" s="67">
        <f t="shared" si="28"/>
        <v>0</v>
      </c>
      <c r="AD113" s="77">
        <v>67.645521</v>
      </c>
      <c r="AE113" s="67">
        <f t="shared" si="29"/>
        <v>135.291042</v>
      </c>
      <c r="AF113" s="82">
        <v>0</v>
      </c>
      <c r="AG113" s="67">
        <f t="shared" si="30"/>
        <v>0</v>
      </c>
      <c r="AH113" s="77">
        <v>0</v>
      </c>
      <c r="AI113" s="67">
        <f t="shared" si="31"/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  <c r="AO113" s="77">
        <v>0</v>
      </c>
      <c r="AP113" s="67">
        <f t="shared" si="32"/>
        <v>167.16</v>
      </c>
      <c r="AQ113" s="91">
        <f t="shared" si="33"/>
        <v>0.33432</v>
      </c>
      <c r="AR113" s="91">
        <f t="shared" si="34"/>
        <v>0.005572</v>
      </c>
      <c r="AS113" s="67">
        <f t="shared" si="35"/>
        <v>0</v>
      </c>
      <c r="AT113" s="67">
        <f t="shared" si="36"/>
        <v>0</v>
      </c>
      <c r="AU113" s="67">
        <f t="shared" si="37"/>
        <v>0.16716</v>
      </c>
      <c r="AV113" s="67">
        <f t="shared" si="38"/>
        <v>0.0034825</v>
      </c>
      <c r="AW113" s="67">
        <f t="shared" si="39"/>
        <v>0.00338227605</v>
      </c>
      <c r="AX113" s="67"/>
      <c r="AY113" s="67"/>
      <c r="AZ113" s="75"/>
    </row>
    <row r="114" spans="1:52">
      <c r="A114" s="64">
        <v>109</v>
      </c>
      <c r="B114" s="65" t="s">
        <v>199</v>
      </c>
      <c r="C114" s="65" t="s">
        <v>199</v>
      </c>
      <c r="D114" s="65" t="s">
        <v>190</v>
      </c>
      <c r="E114" s="65" t="s">
        <v>192</v>
      </c>
      <c r="F114" s="66">
        <v>115.35</v>
      </c>
      <c r="G114" s="67">
        <f t="shared" si="20"/>
        <v>4.05398241005635</v>
      </c>
      <c r="H114" s="67">
        <f t="shared" si="21"/>
        <v>467.626871</v>
      </c>
      <c r="I114" s="75">
        <v>3</v>
      </c>
      <c r="J114" s="75">
        <v>3</v>
      </c>
      <c r="K114" s="76">
        <f t="shared" si="22"/>
        <v>1159.726871</v>
      </c>
      <c r="L114" s="76">
        <f t="shared" si="23"/>
        <v>467.626871</v>
      </c>
      <c r="M114" s="75">
        <v>0</v>
      </c>
      <c r="N114" s="77">
        <v>0</v>
      </c>
      <c r="O114" s="75">
        <v>0</v>
      </c>
      <c r="P114" s="67">
        <f t="shared" si="24"/>
        <v>230.7</v>
      </c>
      <c r="Q114" s="77">
        <v>0</v>
      </c>
      <c r="R114" s="67">
        <f t="shared" si="25"/>
        <v>692.1</v>
      </c>
      <c r="S114" s="67">
        <v>0</v>
      </c>
      <c r="T114" s="76">
        <f t="shared" si="26"/>
        <v>467.626871</v>
      </c>
      <c r="U114" s="76"/>
      <c r="V114" s="77">
        <v>467.626871</v>
      </c>
      <c r="W114" s="75">
        <v>1</v>
      </c>
      <c r="X114" s="76"/>
      <c r="Y114" s="77">
        <v>0</v>
      </c>
      <c r="Z114" s="77">
        <v>0</v>
      </c>
      <c r="AA114" s="67">
        <f t="shared" si="27"/>
        <v>0</v>
      </c>
      <c r="AB114" s="77">
        <v>0</v>
      </c>
      <c r="AC114" s="67">
        <f t="shared" si="28"/>
        <v>0</v>
      </c>
      <c r="AD114" s="77">
        <v>0</v>
      </c>
      <c r="AE114" s="67">
        <f t="shared" si="29"/>
        <v>0</v>
      </c>
      <c r="AF114" s="82">
        <v>0</v>
      </c>
      <c r="AG114" s="67">
        <f t="shared" si="30"/>
        <v>0</v>
      </c>
      <c r="AH114" s="77">
        <v>0</v>
      </c>
      <c r="AI114" s="67">
        <f t="shared" si="31"/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  <c r="AO114" s="77">
        <v>0</v>
      </c>
      <c r="AP114" s="67">
        <f t="shared" si="32"/>
        <v>230.7</v>
      </c>
      <c r="AQ114" s="91">
        <f t="shared" si="33"/>
        <v>0.4614</v>
      </c>
      <c r="AR114" s="91">
        <f t="shared" si="34"/>
        <v>0.00769</v>
      </c>
      <c r="AS114" s="67">
        <f t="shared" si="35"/>
        <v>0</v>
      </c>
      <c r="AT114" s="67">
        <f t="shared" si="36"/>
        <v>0</v>
      </c>
      <c r="AU114" s="67">
        <f t="shared" si="37"/>
        <v>0.2307</v>
      </c>
      <c r="AV114" s="67">
        <f t="shared" si="38"/>
        <v>0.00480625</v>
      </c>
      <c r="AW114" s="67">
        <f t="shared" si="39"/>
        <v>0</v>
      </c>
      <c r="AX114" s="67"/>
      <c r="AY114" s="67"/>
      <c r="AZ114" s="75"/>
    </row>
    <row r="115" spans="1:52">
      <c r="A115" s="64">
        <v>110</v>
      </c>
      <c r="B115" s="65" t="s">
        <v>200</v>
      </c>
      <c r="C115" s="65" t="s">
        <v>200</v>
      </c>
      <c r="D115" s="65" t="s">
        <v>201</v>
      </c>
      <c r="E115" s="65" t="s">
        <v>202</v>
      </c>
      <c r="F115" s="66">
        <v>1188.98</v>
      </c>
      <c r="G115" s="67">
        <f t="shared" si="20"/>
        <v>6.12093942286666</v>
      </c>
      <c r="H115" s="67">
        <f t="shared" si="21"/>
        <v>7277.674555</v>
      </c>
      <c r="I115" s="75">
        <v>3</v>
      </c>
      <c r="J115" s="75">
        <v>3</v>
      </c>
      <c r="K115" s="76">
        <f t="shared" si="22"/>
        <v>7572.86129</v>
      </c>
      <c r="L115" s="76">
        <f t="shared" si="23"/>
        <v>438.98129</v>
      </c>
      <c r="M115" s="75">
        <v>0</v>
      </c>
      <c r="N115" s="77">
        <v>0</v>
      </c>
      <c r="O115" s="75">
        <v>0</v>
      </c>
      <c r="P115" s="67">
        <f t="shared" si="24"/>
        <v>2377.96</v>
      </c>
      <c r="Q115" s="77">
        <v>6838.693265</v>
      </c>
      <c r="R115" s="67">
        <f t="shared" si="25"/>
        <v>7133.88</v>
      </c>
      <c r="S115" s="67">
        <v>0</v>
      </c>
      <c r="T115" s="76">
        <f t="shared" si="26"/>
        <v>438.98129</v>
      </c>
      <c r="U115" s="76"/>
      <c r="V115" s="77">
        <v>0</v>
      </c>
      <c r="W115" s="75">
        <v>0</v>
      </c>
      <c r="X115" s="76"/>
      <c r="Y115" s="77">
        <v>0</v>
      </c>
      <c r="Z115" s="77">
        <v>0</v>
      </c>
      <c r="AA115" s="67">
        <f t="shared" si="27"/>
        <v>0</v>
      </c>
      <c r="AB115" s="77">
        <v>0</v>
      </c>
      <c r="AC115" s="67">
        <f t="shared" si="28"/>
        <v>0</v>
      </c>
      <c r="AD115" s="77">
        <v>0</v>
      </c>
      <c r="AE115" s="67">
        <f t="shared" si="29"/>
        <v>0</v>
      </c>
      <c r="AF115" s="82">
        <v>0</v>
      </c>
      <c r="AG115" s="67">
        <f t="shared" si="30"/>
        <v>0</v>
      </c>
      <c r="AH115" s="77">
        <v>0</v>
      </c>
      <c r="AI115" s="67">
        <f t="shared" si="31"/>
        <v>0</v>
      </c>
      <c r="AJ115" s="77">
        <v>438.98129</v>
      </c>
      <c r="AK115" s="77">
        <v>0</v>
      </c>
      <c r="AL115" s="77">
        <v>0</v>
      </c>
      <c r="AM115" s="77">
        <v>0</v>
      </c>
      <c r="AN115" s="77">
        <v>0</v>
      </c>
      <c r="AO115" s="77">
        <v>0</v>
      </c>
      <c r="AP115" s="67">
        <f t="shared" si="32"/>
        <v>2377.96</v>
      </c>
      <c r="AQ115" s="91">
        <f t="shared" si="33"/>
        <v>4.75592</v>
      </c>
      <c r="AR115" s="91">
        <f t="shared" si="34"/>
        <v>0.0792653333333333</v>
      </c>
      <c r="AS115" s="67">
        <f t="shared" si="35"/>
        <v>0</v>
      </c>
      <c r="AT115" s="67">
        <f t="shared" si="36"/>
        <v>0</v>
      </c>
      <c r="AU115" s="67">
        <f t="shared" si="37"/>
        <v>2.37796</v>
      </c>
      <c r="AV115" s="67">
        <f t="shared" si="38"/>
        <v>0.0495408333333333</v>
      </c>
      <c r="AW115" s="67">
        <f t="shared" si="39"/>
        <v>0</v>
      </c>
      <c r="AX115" s="67"/>
      <c r="AY115" s="67"/>
      <c r="AZ115" s="75"/>
    </row>
    <row r="116" spans="1:52">
      <c r="A116" s="64">
        <v>111</v>
      </c>
      <c r="B116" s="65" t="s">
        <v>203</v>
      </c>
      <c r="C116" s="65" t="s">
        <v>203</v>
      </c>
      <c r="D116" s="65" t="s">
        <v>204</v>
      </c>
      <c r="E116" s="65" t="s">
        <v>92</v>
      </c>
      <c r="F116" s="66">
        <v>551.29</v>
      </c>
      <c r="G116" s="67">
        <f t="shared" si="20"/>
        <v>14.9947614866948</v>
      </c>
      <c r="H116" s="67">
        <f t="shared" si="21"/>
        <v>8266.46206</v>
      </c>
      <c r="I116" s="75">
        <v>3</v>
      </c>
      <c r="J116" s="75">
        <v>3</v>
      </c>
      <c r="K116" s="76">
        <f t="shared" si="22"/>
        <v>7209.9982</v>
      </c>
      <c r="L116" s="76">
        <f t="shared" si="23"/>
        <v>3902.2582</v>
      </c>
      <c r="M116" s="75">
        <v>2</v>
      </c>
      <c r="N116" s="77">
        <v>0</v>
      </c>
      <c r="O116" s="75">
        <v>0</v>
      </c>
      <c r="P116" s="67">
        <f t="shared" si="24"/>
        <v>1102.58</v>
      </c>
      <c r="Q116" s="77">
        <v>4364.20386</v>
      </c>
      <c r="R116" s="67">
        <f t="shared" si="25"/>
        <v>3307.74</v>
      </c>
      <c r="S116" s="67">
        <v>0</v>
      </c>
      <c r="T116" s="76">
        <f t="shared" si="26"/>
        <v>3902.2582</v>
      </c>
      <c r="U116" s="76"/>
      <c r="V116" s="77">
        <v>312.035734</v>
      </c>
      <c r="W116" s="75">
        <v>1</v>
      </c>
      <c r="X116" s="76"/>
      <c r="Y116" s="77">
        <v>1457.550347</v>
      </c>
      <c r="Z116" s="77">
        <v>0</v>
      </c>
      <c r="AA116" s="67">
        <f t="shared" si="27"/>
        <v>0</v>
      </c>
      <c r="AB116" s="77">
        <v>0</v>
      </c>
      <c r="AC116" s="67">
        <f t="shared" si="28"/>
        <v>0</v>
      </c>
      <c r="AD116" s="77">
        <v>230.478698</v>
      </c>
      <c r="AE116" s="67">
        <f t="shared" si="29"/>
        <v>460.957396</v>
      </c>
      <c r="AF116" s="82">
        <v>0</v>
      </c>
      <c r="AG116" s="67">
        <f t="shared" si="30"/>
        <v>0</v>
      </c>
      <c r="AH116" s="77">
        <v>0</v>
      </c>
      <c r="AI116" s="67">
        <f t="shared" si="31"/>
        <v>0</v>
      </c>
      <c r="AJ116" s="77">
        <v>1087.792747</v>
      </c>
      <c r="AK116" s="77">
        <v>0</v>
      </c>
      <c r="AL116" s="77">
        <v>0</v>
      </c>
      <c r="AM116" s="77">
        <v>0</v>
      </c>
      <c r="AN116" s="77">
        <v>0</v>
      </c>
      <c r="AO116" s="77">
        <v>583.921976</v>
      </c>
      <c r="AP116" s="67">
        <f t="shared" si="32"/>
        <v>1102.58</v>
      </c>
      <c r="AQ116" s="91">
        <f t="shared" si="33"/>
        <v>2.20516</v>
      </c>
      <c r="AR116" s="91">
        <f t="shared" si="34"/>
        <v>0.0367526666666667</v>
      </c>
      <c r="AS116" s="67">
        <f t="shared" si="35"/>
        <v>0</v>
      </c>
      <c r="AT116" s="67">
        <f t="shared" si="36"/>
        <v>0</v>
      </c>
      <c r="AU116" s="67">
        <f t="shared" si="37"/>
        <v>1.10258</v>
      </c>
      <c r="AV116" s="67">
        <f t="shared" si="38"/>
        <v>0.0229704166666667</v>
      </c>
      <c r="AW116" s="67">
        <f t="shared" si="39"/>
        <v>0.0115239349</v>
      </c>
      <c r="AX116" s="67"/>
      <c r="AY116" s="67"/>
      <c r="AZ116" s="75"/>
    </row>
    <row r="117" spans="1:52">
      <c r="A117" s="64">
        <v>112</v>
      </c>
      <c r="B117" s="65" t="s">
        <v>80</v>
      </c>
      <c r="C117" s="65" t="s">
        <v>80</v>
      </c>
      <c r="D117" s="65" t="s">
        <v>143</v>
      </c>
      <c r="E117" s="65" t="s">
        <v>90</v>
      </c>
      <c r="F117" s="66">
        <v>108.12</v>
      </c>
      <c r="G117" s="67">
        <f t="shared" si="20"/>
        <v>61.8288639937107</v>
      </c>
      <c r="H117" s="67">
        <f t="shared" si="21"/>
        <v>6684.936775</v>
      </c>
      <c r="I117" s="75">
        <v>1</v>
      </c>
      <c r="J117" s="78">
        <v>3</v>
      </c>
      <c r="K117" s="76">
        <f t="shared" si="22"/>
        <v>4384.267163</v>
      </c>
      <c r="L117" s="76">
        <f t="shared" si="23"/>
        <v>3575.797391</v>
      </c>
      <c r="M117" s="75">
        <v>2</v>
      </c>
      <c r="N117" s="77">
        <v>0</v>
      </c>
      <c r="O117" s="75">
        <v>0</v>
      </c>
      <c r="P117" s="67">
        <f t="shared" si="24"/>
        <v>216.24</v>
      </c>
      <c r="Q117" s="77">
        <v>2949.389612</v>
      </c>
      <c r="R117" s="67">
        <f t="shared" si="25"/>
        <v>648.72</v>
      </c>
      <c r="S117" s="67">
        <v>0</v>
      </c>
      <c r="T117" s="76">
        <f t="shared" si="26"/>
        <v>3575.797391</v>
      </c>
      <c r="U117" s="76"/>
      <c r="V117" s="77">
        <v>0</v>
      </c>
      <c r="W117" s="75">
        <v>0</v>
      </c>
      <c r="X117" s="76"/>
      <c r="Y117" s="77">
        <v>472.176142</v>
      </c>
      <c r="Z117" s="77">
        <v>0</v>
      </c>
      <c r="AA117" s="67">
        <f t="shared" si="27"/>
        <v>0</v>
      </c>
      <c r="AB117" s="77">
        <v>79.874886</v>
      </c>
      <c r="AC117" s="67">
        <f t="shared" si="28"/>
        <v>159.749772</v>
      </c>
      <c r="AD117" s="77">
        <v>0</v>
      </c>
      <c r="AE117" s="67">
        <f t="shared" si="29"/>
        <v>0</v>
      </c>
      <c r="AF117" s="82">
        <v>0</v>
      </c>
      <c r="AG117" s="67">
        <f t="shared" si="30"/>
        <v>0</v>
      </c>
      <c r="AH117" s="77">
        <v>0</v>
      </c>
      <c r="AI117" s="67">
        <f t="shared" si="31"/>
        <v>0</v>
      </c>
      <c r="AJ117" s="77">
        <v>1107.800564</v>
      </c>
      <c r="AK117" s="77">
        <v>0</v>
      </c>
      <c r="AL117" s="77">
        <v>0</v>
      </c>
      <c r="AM117" s="77">
        <v>41.528869</v>
      </c>
      <c r="AN117" s="77">
        <v>0</v>
      </c>
      <c r="AO117" s="77">
        <v>1954.291816</v>
      </c>
      <c r="AP117" s="67">
        <f t="shared" si="32"/>
        <v>216.24</v>
      </c>
      <c r="AQ117" s="91">
        <f t="shared" si="33"/>
        <v>0.43248</v>
      </c>
      <c r="AR117" s="91">
        <f t="shared" si="34"/>
        <v>0.007208</v>
      </c>
      <c r="AS117" s="67">
        <f t="shared" si="35"/>
        <v>0</v>
      </c>
      <c r="AT117" s="67">
        <f t="shared" si="36"/>
        <v>0</v>
      </c>
      <c r="AU117" s="67">
        <f t="shared" si="37"/>
        <v>0.21624</v>
      </c>
      <c r="AV117" s="67">
        <f t="shared" si="38"/>
        <v>0.004505</v>
      </c>
      <c r="AW117" s="67">
        <f t="shared" si="39"/>
        <v>0.0039937443</v>
      </c>
      <c r="AX117" s="67"/>
      <c r="AY117" s="67"/>
      <c r="AZ117" s="75"/>
    </row>
    <row r="118" spans="1:52">
      <c r="A118" s="64">
        <v>113</v>
      </c>
      <c r="B118" s="65" t="s">
        <v>80</v>
      </c>
      <c r="C118" s="65" t="s">
        <v>80</v>
      </c>
      <c r="D118" s="65" t="s">
        <v>205</v>
      </c>
      <c r="E118" s="65" t="s">
        <v>143</v>
      </c>
      <c r="F118" s="66">
        <v>1447.83</v>
      </c>
      <c r="G118" s="67">
        <f t="shared" si="20"/>
        <v>50.8718700986994</v>
      </c>
      <c r="H118" s="67">
        <f t="shared" si="21"/>
        <v>73653.819685</v>
      </c>
      <c r="I118" s="75">
        <v>1</v>
      </c>
      <c r="J118" s="78">
        <v>2</v>
      </c>
      <c r="K118" s="76">
        <f t="shared" si="22"/>
        <v>53351.005255</v>
      </c>
      <c r="L118" s="76">
        <f t="shared" si="23"/>
        <v>44518.800619</v>
      </c>
      <c r="M118" s="75">
        <v>2</v>
      </c>
      <c r="N118" s="77">
        <v>0</v>
      </c>
      <c r="O118" s="75">
        <v>0</v>
      </c>
      <c r="P118" s="67">
        <f t="shared" si="24"/>
        <v>2895.66</v>
      </c>
      <c r="Q118" s="77">
        <v>28989.79443</v>
      </c>
      <c r="R118" s="67">
        <f t="shared" si="25"/>
        <v>8686.98</v>
      </c>
      <c r="S118" s="67">
        <v>0</v>
      </c>
      <c r="T118" s="76">
        <f t="shared" si="26"/>
        <v>44518.800619</v>
      </c>
      <c r="U118" s="76"/>
      <c r="V118" s="77">
        <v>5627.638364</v>
      </c>
      <c r="W118" s="75">
        <v>1</v>
      </c>
      <c r="X118" s="76"/>
      <c r="Y118" s="77">
        <v>6513.817409</v>
      </c>
      <c r="Z118" s="77">
        <v>0</v>
      </c>
      <c r="AA118" s="67">
        <f t="shared" si="27"/>
        <v>0</v>
      </c>
      <c r="AB118" s="77">
        <v>72.612318</v>
      </c>
      <c r="AC118" s="67">
        <f t="shared" si="28"/>
        <v>145.224636</v>
      </c>
      <c r="AD118" s="77">
        <v>1429.325943</v>
      </c>
      <c r="AE118" s="67">
        <f t="shared" si="29"/>
        <v>2858.651886</v>
      </c>
      <c r="AF118" s="82">
        <v>0</v>
      </c>
      <c r="AG118" s="67">
        <f t="shared" si="30"/>
        <v>0</v>
      </c>
      <c r="AH118" s="77">
        <v>0</v>
      </c>
      <c r="AI118" s="67">
        <f t="shared" si="31"/>
        <v>0</v>
      </c>
      <c r="AJ118" s="77">
        <v>3270.118359</v>
      </c>
      <c r="AK118" s="77">
        <v>0</v>
      </c>
      <c r="AL118" s="77">
        <v>0</v>
      </c>
      <c r="AM118" s="77">
        <v>2537.283674</v>
      </c>
      <c r="AN118" s="77">
        <v>0</v>
      </c>
      <c r="AO118" s="77">
        <v>23711.290927</v>
      </c>
      <c r="AP118" s="67">
        <f t="shared" si="32"/>
        <v>2895.66</v>
      </c>
      <c r="AQ118" s="91">
        <f t="shared" si="33"/>
        <v>0</v>
      </c>
      <c r="AR118" s="91">
        <f t="shared" si="34"/>
        <v>0</v>
      </c>
      <c r="AS118" s="67">
        <f t="shared" si="35"/>
        <v>5.79132</v>
      </c>
      <c r="AT118" s="67">
        <f t="shared" si="36"/>
        <v>0.18097875</v>
      </c>
      <c r="AU118" s="67">
        <f t="shared" si="37"/>
        <v>4.34349</v>
      </c>
      <c r="AV118" s="67">
        <f t="shared" si="38"/>
        <v>0.090489375</v>
      </c>
      <c r="AW118" s="67">
        <f t="shared" si="39"/>
        <v>0.07509691305</v>
      </c>
      <c r="AX118" s="67"/>
      <c r="AY118" s="67"/>
      <c r="AZ118" s="75"/>
    </row>
    <row r="119" spans="1:52">
      <c r="A119" s="64">
        <v>114</v>
      </c>
      <c r="B119" s="65" t="s">
        <v>80</v>
      </c>
      <c r="C119" s="65" t="s">
        <v>80</v>
      </c>
      <c r="D119" s="65" t="s">
        <v>91</v>
      </c>
      <c r="E119" s="65" t="s">
        <v>92</v>
      </c>
      <c r="F119" s="66">
        <v>424.19</v>
      </c>
      <c r="G119" s="67">
        <f t="shared" si="20"/>
        <v>28.4950961833141</v>
      </c>
      <c r="H119" s="67">
        <f t="shared" si="21"/>
        <v>12087.33485</v>
      </c>
      <c r="I119" s="75">
        <v>1</v>
      </c>
      <c r="J119" s="78">
        <v>3</v>
      </c>
      <c r="K119" s="76">
        <f t="shared" si="22"/>
        <v>10814.348947</v>
      </c>
      <c r="L119" s="76">
        <f t="shared" si="23"/>
        <v>8203.740855</v>
      </c>
      <c r="M119" s="75">
        <v>2</v>
      </c>
      <c r="N119" s="77">
        <v>0</v>
      </c>
      <c r="O119" s="75">
        <v>0</v>
      </c>
      <c r="P119" s="67">
        <f t="shared" si="24"/>
        <v>848.38</v>
      </c>
      <c r="Q119" s="77">
        <v>3818.125903</v>
      </c>
      <c r="R119" s="67">
        <f t="shared" si="25"/>
        <v>2545.14</v>
      </c>
      <c r="S119" s="67">
        <v>0</v>
      </c>
      <c r="T119" s="76">
        <f t="shared" si="26"/>
        <v>8203.740855</v>
      </c>
      <c r="U119" s="76"/>
      <c r="V119" s="77">
        <v>1634.784069</v>
      </c>
      <c r="W119" s="75">
        <v>0</v>
      </c>
      <c r="X119" s="76"/>
      <c r="Y119" s="77">
        <v>394.958993</v>
      </c>
      <c r="Z119" s="77">
        <v>0</v>
      </c>
      <c r="AA119" s="67">
        <f t="shared" si="27"/>
        <v>0</v>
      </c>
      <c r="AB119" s="77">
        <v>32.734046</v>
      </c>
      <c r="AC119" s="67">
        <f t="shared" si="28"/>
        <v>65.468092</v>
      </c>
      <c r="AD119" s="77">
        <v>338.209794</v>
      </c>
      <c r="AE119" s="67">
        <f t="shared" si="29"/>
        <v>676.419588</v>
      </c>
      <c r="AF119" s="82">
        <v>0</v>
      </c>
      <c r="AG119" s="67">
        <f t="shared" si="30"/>
        <v>0</v>
      </c>
      <c r="AH119" s="77">
        <v>0</v>
      </c>
      <c r="AI119" s="67">
        <f t="shared" si="31"/>
        <v>0</v>
      </c>
      <c r="AJ119" s="77">
        <v>3085.012966</v>
      </c>
      <c r="AK119" s="77">
        <v>0</v>
      </c>
      <c r="AL119" s="77">
        <v>0</v>
      </c>
      <c r="AM119" s="77">
        <v>0</v>
      </c>
      <c r="AN119" s="77">
        <v>0</v>
      </c>
      <c r="AO119" s="77">
        <v>2412.565239</v>
      </c>
      <c r="AP119" s="67">
        <f t="shared" si="32"/>
        <v>848.38</v>
      </c>
      <c r="AQ119" s="91">
        <f t="shared" si="33"/>
        <v>1.69676</v>
      </c>
      <c r="AR119" s="91">
        <f t="shared" si="34"/>
        <v>0.0282793333333333</v>
      </c>
      <c r="AS119" s="67">
        <f t="shared" si="35"/>
        <v>0</v>
      </c>
      <c r="AT119" s="67">
        <f t="shared" si="36"/>
        <v>0</v>
      </c>
      <c r="AU119" s="67">
        <f t="shared" si="37"/>
        <v>0.84838</v>
      </c>
      <c r="AV119" s="67">
        <f t="shared" si="38"/>
        <v>0.0176745833333333</v>
      </c>
      <c r="AW119" s="67">
        <f t="shared" si="39"/>
        <v>0.018547192</v>
      </c>
      <c r="AX119" s="67"/>
      <c r="AY119" s="67"/>
      <c r="AZ119" s="75"/>
    </row>
    <row r="120" spans="1:52">
      <c r="A120" s="64">
        <v>115</v>
      </c>
      <c r="B120" s="65" t="s">
        <v>206</v>
      </c>
      <c r="C120" s="65" t="s">
        <v>206</v>
      </c>
      <c r="D120" s="65" t="s">
        <v>80</v>
      </c>
      <c r="E120" s="65" t="s">
        <v>80</v>
      </c>
      <c r="F120" s="66">
        <v>417.57</v>
      </c>
      <c r="G120" s="67">
        <f t="shared" si="20"/>
        <v>15.4756037981656</v>
      </c>
      <c r="H120" s="67">
        <f t="shared" si="21"/>
        <v>6462.147878</v>
      </c>
      <c r="I120" s="75">
        <v>3</v>
      </c>
      <c r="J120" s="75">
        <v>3</v>
      </c>
      <c r="K120" s="76">
        <f t="shared" si="22"/>
        <v>6279.990536</v>
      </c>
      <c r="L120" s="76">
        <f t="shared" si="23"/>
        <v>3709.7467</v>
      </c>
      <c r="M120" s="75">
        <v>2</v>
      </c>
      <c r="N120" s="77">
        <v>0</v>
      </c>
      <c r="O120" s="75">
        <v>0</v>
      </c>
      <c r="P120" s="67">
        <f t="shared" si="24"/>
        <v>835.14</v>
      </c>
      <c r="Q120" s="77">
        <v>2687.577342</v>
      </c>
      <c r="R120" s="67">
        <f t="shared" si="25"/>
        <v>2505.42</v>
      </c>
      <c r="S120" s="67">
        <v>0</v>
      </c>
      <c r="T120" s="76">
        <f t="shared" si="26"/>
        <v>3709.7467</v>
      </c>
      <c r="U120" s="76"/>
      <c r="V120" s="77">
        <v>0</v>
      </c>
      <c r="W120" s="75">
        <v>0</v>
      </c>
      <c r="X120" s="76"/>
      <c r="Y120" s="77">
        <v>0</v>
      </c>
      <c r="Z120" s="77">
        <v>0</v>
      </c>
      <c r="AA120" s="67">
        <f t="shared" si="27"/>
        <v>0</v>
      </c>
      <c r="AB120" s="77">
        <v>32.411918</v>
      </c>
      <c r="AC120" s="67">
        <f t="shared" si="28"/>
        <v>64.823836</v>
      </c>
      <c r="AD120" s="77">
        <v>0</v>
      </c>
      <c r="AE120" s="67">
        <f t="shared" si="29"/>
        <v>0</v>
      </c>
      <c r="AF120" s="82">
        <v>0</v>
      </c>
      <c r="AG120" s="67">
        <f t="shared" si="30"/>
        <v>0</v>
      </c>
      <c r="AH120" s="77">
        <v>0</v>
      </c>
      <c r="AI120" s="67">
        <f t="shared" si="31"/>
        <v>0</v>
      </c>
      <c r="AJ120" s="77">
        <v>2291.10074</v>
      </c>
      <c r="AK120" s="77">
        <v>0</v>
      </c>
      <c r="AL120" s="77">
        <v>0</v>
      </c>
      <c r="AM120" s="77">
        <v>0</v>
      </c>
      <c r="AN120" s="77">
        <v>0</v>
      </c>
      <c r="AO120" s="77">
        <v>1418.64596</v>
      </c>
      <c r="AP120" s="67">
        <f t="shared" si="32"/>
        <v>835.14</v>
      </c>
      <c r="AQ120" s="91">
        <f t="shared" si="33"/>
        <v>1.67028</v>
      </c>
      <c r="AR120" s="91">
        <f t="shared" si="34"/>
        <v>0.027838</v>
      </c>
      <c r="AS120" s="67">
        <f t="shared" si="35"/>
        <v>0</v>
      </c>
      <c r="AT120" s="67">
        <f t="shared" si="36"/>
        <v>0</v>
      </c>
      <c r="AU120" s="67">
        <f t="shared" si="37"/>
        <v>0.83514</v>
      </c>
      <c r="AV120" s="67">
        <f t="shared" si="38"/>
        <v>0.01739875</v>
      </c>
      <c r="AW120" s="67">
        <f t="shared" si="39"/>
        <v>0.0016205959</v>
      </c>
      <c r="AX120" s="67"/>
      <c r="AY120" s="67"/>
      <c r="AZ120" s="75"/>
    </row>
    <row r="121" spans="1:52">
      <c r="A121" s="64">
        <v>116</v>
      </c>
      <c r="B121" s="65" t="s">
        <v>169</v>
      </c>
      <c r="C121" s="65" t="s">
        <v>169</v>
      </c>
      <c r="D121" s="65" t="s">
        <v>166</v>
      </c>
      <c r="E121" s="65" t="s">
        <v>80</v>
      </c>
      <c r="F121" s="66">
        <v>576.48</v>
      </c>
      <c r="G121" s="67">
        <f t="shared" si="20"/>
        <v>18.1323065622398</v>
      </c>
      <c r="H121" s="67">
        <f t="shared" si="21"/>
        <v>10452.912087</v>
      </c>
      <c r="I121" s="75">
        <v>2</v>
      </c>
      <c r="J121" s="78">
        <v>3</v>
      </c>
      <c r="K121" s="76">
        <f t="shared" si="22"/>
        <v>3458.88</v>
      </c>
      <c r="L121" s="76">
        <f t="shared" si="23"/>
        <v>0</v>
      </c>
      <c r="M121" s="75">
        <v>0</v>
      </c>
      <c r="N121" s="77">
        <v>0</v>
      </c>
      <c r="O121" s="75">
        <v>0</v>
      </c>
      <c r="P121" s="67">
        <f t="shared" si="24"/>
        <v>1152.96</v>
      </c>
      <c r="Q121" s="77">
        <v>10452.912087</v>
      </c>
      <c r="R121" s="67">
        <f t="shared" si="25"/>
        <v>3458.88</v>
      </c>
      <c r="S121" s="67">
        <v>0</v>
      </c>
      <c r="T121" s="76">
        <f t="shared" si="26"/>
        <v>0</v>
      </c>
      <c r="U121" s="76"/>
      <c r="V121" s="77">
        <v>0</v>
      </c>
      <c r="W121" s="75">
        <v>0</v>
      </c>
      <c r="X121" s="76"/>
      <c r="Y121" s="77">
        <v>0</v>
      </c>
      <c r="Z121" s="77">
        <v>0</v>
      </c>
      <c r="AA121" s="67">
        <f t="shared" si="27"/>
        <v>0</v>
      </c>
      <c r="AB121" s="77">
        <v>0</v>
      </c>
      <c r="AC121" s="67">
        <f t="shared" si="28"/>
        <v>0</v>
      </c>
      <c r="AD121" s="77">
        <v>0</v>
      </c>
      <c r="AE121" s="67">
        <f t="shared" si="29"/>
        <v>0</v>
      </c>
      <c r="AF121" s="82">
        <v>0</v>
      </c>
      <c r="AG121" s="67">
        <f t="shared" si="30"/>
        <v>0</v>
      </c>
      <c r="AH121" s="77">
        <v>0</v>
      </c>
      <c r="AI121" s="67">
        <f t="shared" si="31"/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  <c r="AO121" s="77">
        <v>0</v>
      </c>
      <c r="AP121" s="67">
        <f t="shared" si="32"/>
        <v>1152.96</v>
      </c>
      <c r="AQ121" s="91">
        <f t="shared" si="33"/>
        <v>2.30592</v>
      </c>
      <c r="AR121" s="91">
        <f t="shared" si="34"/>
        <v>0.038432</v>
      </c>
      <c r="AS121" s="67">
        <f t="shared" si="35"/>
        <v>0</v>
      </c>
      <c r="AT121" s="67">
        <f t="shared" si="36"/>
        <v>0</v>
      </c>
      <c r="AU121" s="67">
        <f t="shared" si="37"/>
        <v>1.15296</v>
      </c>
      <c r="AV121" s="67">
        <f t="shared" si="38"/>
        <v>0.02402</v>
      </c>
      <c r="AW121" s="67">
        <f t="shared" si="39"/>
        <v>0</v>
      </c>
      <c r="AX121" s="67"/>
      <c r="AY121" s="67"/>
      <c r="AZ121" s="75" t="s">
        <v>649</v>
      </c>
    </row>
    <row r="122" s="52" customFormat="1" ht="13.5" customHeight="1" spans="1:58">
      <c r="A122" s="64">
        <v>117</v>
      </c>
      <c r="B122" s="65" t="s">
        <v>207</v>
      </c>
      <c r="C122" s="65" t="s">
        <v>207</v>
      </c>
      <c r="D122" s="65" t="s">
        <v>114</v>
      </c>
      <c r="E122" s="65" t="s">
        <v>80</v>
      </c>
      <c r="F122" s="66">
        <v>552.13</v>
      </c>
      <c r="G122" s="67">
        <f t="shared" si="20"/>
        <v>4.75342849691196</v>
      </c>
      <c r="H122" s="67">
        <f t="shared" si="21"/>
        <v>2624.510476</v>
      </c>
      <c r="I122" s="75">
        <v>2</v>
      </c>
      <c r="J122" s="78">
        <v>3</v>
      </c>
      <c r="K122" s="76">
        <f t="shared" si="22"/>
        <v>3359.179592</v>
      </c>
      <c r="L122" s="76">
        <f t="shared" si="23"/>
        <v>46.399592</v>
      </c>
      <c r="M122" s="75">
        <v>0</v>
      </c>
      <c r="N122" s="77">
        <v>0</v>
      </c>
      <c r="O122" s="75">
        <v>0</v>
      </c>
      <c r="P122" s="67">
        <f t="shared" si="24"/>
        <v>1104.26</v>
      </c>
      <c r="Q122" s="77">
        <v>2578.110884</v>
      </c>
      <c r="R122" s="67">
        <f t="shared" si="25"/>
        <v>3312.78</v>
      </c>
      <c r="S122" s="67">
        <v>0</v>
      </c>
      <c r="T122" s="76">
        <f t="shared" si="26"/>
        <v>46.399592</v>
      </c>
      <c r="U122" s="76"/>
      <c r="V122" s="77">
        <v>0</v>
      </c>
      <c r="W122" s="75">
        <v>0</v>
      </c>
      <c r="X122" s="76"/>
      <c r="Y122" s="77">
        <v>0</v>
      </c>
      <c r="Z122" s="77">
        <v>0</v>
      </c>
      <c r="AA122" s="67">
        <f t="shared" si="27"/>
        <v>0</v>
      </c>
      <c r="AB122" s="77">
        <v>0</v>
      </c>
      <c r="AC122" s="67">
        <f t="shared" si="28"/>
        <v>0</v>
      </c>
      <c r="AD122" s="77">
        <v>0</v>
      </c>
      <c r="AE122" s="67">
        <f t="shared" si="29"/>
        <v>0</v>
      </c>
      <c r="AF122" s="82">
        <v>0</v>
      </c>
      <c r="AG122" s="67">
        <f t="shared" si="30"/>
        <v>0</v>
      </c>
      <c r="AH122" s="77">
        <v>0</v>
      </c>
      <c r="AI122" s="67">
        <f t="shared" si="31"/>
        <v>0</v>
      </c>
      <c r="AJ122" s="77">
        <v>46.399592</v>
      </c>
      <c r="AK122" s="77">
        <v>0</v>
      </c>
      <c r="AL122" s="77">
        <v>0</v>
      </c>
      <c r="AM122" s="77">
        <v>0</v>
      </c>
      <c r="AN122" s="77">
        <v>0</v>
      </c>
      <c r="AO122" s="77">
        <v>0</v>
      </c>
      <c r="AP122" s="67">
        <f t="shared" si="32"/>
        <v>1104.26</v>
      </c>
      <c r="AQ122" s="91">
        <f t="shared" si="33"/>
        <v>2.20852</v>
      </c>
      <c r="AR122" s="91">
        <f t="shared" si="34"/>
        <v>0.0368086666666667</v>
      </c>
      <c r="AS122" s="67">
        <f t="shared" si="35"/>
        <v>0</v>
      </c>
      <c r="AT122" s="67">
        <f t="shared" si="36"/>
        <v>0</v>
      </c>
      <c r="AU122" s="67">
        <f t="shared" si="37"/>
        <v>1.10426</v>
      </c>
      <c r="AV122" s="67">
        <f t="shared" si="38"/>
        <v>0.0230054166666667</v>
      </c>
      <c r="AW122" s="67">
        <f t="shared" si="39"/>
        <v>0</v>
      </c>
      <c r="AX122" s="67"/>
      <c r="AY122" s="67"/>
      <c r="AZ122" s="75" t="s">
        <v>649</v>
      </c>
      <c r="BF122" s="102"/>
    </row>
    <row r="123" s="52" customFormat="1" ht="13.5" customHeight="1" spans="1:58">
      <c r="A123" s="64">
        <v>118</v>
      </c>
      <c r="B123" s="65" t="s">
        <v>202</v>
      </c>
      <c r="C123" s="65" t="s">
        <v>202</v>
      </c>
      <c r="D123" s="65" t="s">
        <v>176</v>
      </c>
      <c r="E123" s="65" t="s">
        <v>80</v>
      </c>
      <c r="F123" s="66">
        <v>489.2</v>
      </c>
      <c r="G123" s="67">
        <f t="shared" si="20"/>
        <v>14.7194193969747</v>
      </c>
      <c r="H123" s="67">
        <f t="shared" si="21"/>
        <v>7200.739969</v>
      </c>
      <c r="I123" s="75">
        <v>3</v>
      </c>
      <c r="J123" s="75">
        <v>3</v>
      </c>
      <c r="K123" s="76">
        <f t="shared" si="22"/>
        <v>6577.447446</v>
      </c>
      <c r="L123" s="76">
        <f t="shared" si="23"/>
        <v>3642.247446</v>
      </c>
      <c r="M123" s="75">
        <v>0</v>
      </c>
      <c r="N123" s="77">
        <v>0</v>
      </c>
      <c r="O123" s="75">
        <v>0</v>
      </c>
      <c r="P123" s="67">
        <f t="shared" si="24"/>
        <v>978.4</v>
      </c>
      <c r="Q123" s="77">
        <v>3558.492523</v>
      </c>
      <c r="R123" s="67">
        <f t="shared" si="25"/>
        <v>2935.2</v>
      </c>
      <c r="S123" s="67">
        <v>0</v>
      </c>
      <c r="T123" s="76">
        <f t="shared" si="26"/>
        <v>3642.247446</v>
      </c>
      <c r="U123" s="76"/>
      <c r="V123" s="77">
        <v>0</v>
      </c>
      <c r="W123" s="75">
        <v>0</v>
      </c>
      <c r="X123" s="76"/>
      <c r="Y123" s="77">
        <v>1503.032564</v>
      </c>
      <c r="Z123" s="77">
        <v>0</v>
      </c>
      <c r="AA123" s="67">
        <f t="shared" si="27"/>
        <v>0</v>
      </c>
      <c r="AB123" s="77">
        <v>0</v>
      </c>
      <c r="AC123" s="67">
        <f t="shared" si="28"/>
        <v>0</v>
      </c>
      <c r="AD123" s="77">
        <v>0</v>
      </c>
      <c r="AE123" s="67">
        <f t="shared" si="29"/>
        <v>0</v>
      </c>
      <c r="AF123" s="82">
        <v>0</v>
      </c>
      <c r="AG123" s="67">
        <f t="shared" si="30"/>
        <v>0</v>
      </c>
      <c r="AH123" s="77">
        <v>0</v>
      </c>
      <c r="AI123" s="67">
        <f t="shared" si="31"/>
        <v>0</v>
      </c>
      <c r="AJ123" s="77">
        <v>958.571027</v>
      </c>
      <c r="AK123" s="77">
        <v>0</v>
      </c>
      <c r="AL123" s="77">
        <v>0</v>
      </c>
      <c r="AM123" s="77">
        <v>0</v>
      </c>
      <c r="AN123" s="77">
        <v>0</v>
      </c>
      <c r="AO123" s="77">
        <v>1180.643855</v>
      </c>
      <c r="AP123" s="67">
        <f t="shared" si="32"/>
        <v>978.4</v>
      </c>
      <c r="AQ123" s="91">
        <f t="shared" si="33"/>
        <v>1.9568</v>
      </c>
      <c r="AR123" s="91">
        <f t="shared" si="34"/>
        <v>0.0326133333333333</v>
      </c>
      <c r="AS123" s="67">
        <f t="shared" si="35"/>
        <v>0</v>
      </c>
      <c r="AT123" s="67">
        <f t="shared" si="36"/>
        <v>0</v>
      </c>
      <c r="AU123" s="67">
        <f t="shared" si="37"/>
        <v>0.9784</v>
      </c>
      <c r="AV123" s="67">
        <f t="shared" si="38"/>
        <v>0.0203833333333333</v>
      </c>
      <c r="AW123" s="67">
        <f t="shared" si="39"/>
        <v>0</v>
      </c>
      <c r="AX123" s="67"/>
      <c r="AY123" s="67"/>
      <c r="AZ123" s="75"/>
      <c r="BF123" s="102"/>
    </row>
    <row r="124" spans="1:52">
      <c r="A124" s="64">
        <v>119</v>
      </c>
      <c r="B124" s="65" t="s">
        <v>208</v>
      </c>
      <c r="C124" s="65" t="s">
        <v>208</v>
      </c>
      <c r="D124" s="65" t="s">
        <v>144</v>
      </c>
      <c r="E124" s="65" t="s">
        <v>142</v>
      </c>
      <c r="F124" s="66">
        <v>198.58</v>
      </c>
      <c r="G124" s="67">
        <f t="shared" si="20"/>
        <v>26.8059394752744</v>
      </c>
      <c r="H124" s="67">
        <f t="shared" si="21"/>
        <v>5323.123461</v>
      </c>
      <c r="I124" s="75">
        <v>3</v>
      </c>
      <c r="J124" s="75">
        <v>3</v>
      </c>
      <c r="K124" s="76">
        <f t="shared" si="22"/>
        <v>4405.861825</v>
      </c>
      <c r="L124" s="76">
        <f t="shared" si="23"/>
        <v>3214.381825</v>
      </c>
      <c r="M124" s="75">
        <v>2</v>
      </c>
      <c r="N124" s="77">
        <v>0</v>
      </c>
      <c r="O124" s="75">
        <v>0</v>
      </c>
      <c r="P124" s="67">
        <f t="shared" si="24"/>
        <v>397.16</v>
      </c>
      <c r="Q124" s="77">
        <v>2108.741636</v>
      </c>
      <c r="R124" s="67">
        <f t="shared" si="25"/>
        <v>1191.48</v>
      </c>
      <c r="S124" s="67">
        <v>0</v>
      </c>
      <c r="T124" s="76">
        <f t="shared" si="26"/>
        <v>3214.381825</v>
      </c>
      <c r="U124" s="76"/>
      <c r="V124" s="77">
        <v>0</v>
      </c>
      <c r="W124" s="75">
        <v>0</v>
      </c>
      <c r="X124" s="76"/>
      <c r="Y124" s="77">
        <v>0</v>
      </c>
      <c r="Z124" s="77">
        <v>0</v>
      </c>
      <c r="AA124" s="67">
        <f t="shared" si="27"/>
        <v>0</v>
      </c>
      <c r="AB124" s="77">
        <v>0</v>
      </c>
      <c r="AC124" s="67">
        <f t="shared" si="28"/>
        <v>0</v>
      </c>
      <c r="AD124" s="77">
        <v>0</v>
      </c>
      <c r="AE124" s="67">
        <f t="shared" si="29"/>
        <v>0</v>
      </c>
      <c r="AF124" s="82">
        <v>0</v>
      </c>
      <c r="AG124" s="67">
        <f t="shared" si="30"/>
        <v>0</v>
      </c>
      <c r="AH124" s="77">
        <v>0</v>
      </c>
      <c r="AI124" s="67">
        <f t="shared" si="31"/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  <c r="AO124" s="77">
        <v>3214.381825</v>
      </c>
      <c r="AP124" s="67">
        <f t="shared" si="32"/>
        <v>397.16</v>
      </c>
      <c r="AQ124" s="91">
        <f t="shared" si="33"/>
        <v>0.79432</v>
      </c>
      <c r="AR124" s="91">
        <f t="shared" si="34"/>
        <v>0.0132386666666667</v>
      </c>
      <c r="AS124" s="67">
        <f t="shared" si="35"/>
        <v>0</v>
      </c>
      <c r="AT124" s="67">
        <f t="shared" si="36"/>
        <v>0</v>
      </c>
      <c r="AU124" s="67">
        <f t="shared" si="37"/>
        <v>0.39716</v>
      </c>
      <c r="AV124" s="67">
        <f t="shared" si="38"/>
        <v>0.00827416666666667</v>
      </c>
      <c r="AW124" s="67">
        <f t="shared" si="39"/>
        <v>0</v>
      </c>
      <c r="AX124" s="67"/>
      <c r="AY124" s="67"/>
      <c r="AZ124" s="75"/>
    </row>
    <row r="125" spans="1:52">
      <c r="A125" s="64">
        <v>120</v>
      </c>
      <c r="B125" s="65" t="s">
        <v>209</v>
      </c>
      <c r="C125" s="65" t="s">
        <v>209</v>
      </c>
      <c r="D125" s="65" t="s">
        <v>210</v>
      </c>
      <c r="E125" s="65" t="s">
        <v>92</v>
      </c>
      <c r="F125" s="66">
        <v>210.31</v>
      </c>
      <c r="G125" s="67">
        <f t="shared" si="20"/>
        <v>6.38470430792639</v>
      </c>
      <c r="H125" s="67">
        <f t="shared" si="21"/>
        <v>1342.767163</v>
      </c>
      <c r="I125" s="75">
        <v>3</v>
      </c>
      <c r="J125" s="75">
        <v>3</v>
      </c>
      <c r="K125" s="76">
        <f t="shared" si="22"/>
        <v>1261.86</v>
      </c>
      <c r="L125" s="76">
        <f t="shared" si="23"/>
        <v>0</v>
      </c>
      <c r="M125" s="75">
        <v>0</v>
      </c>
      <c r="N125" s="77">
        <v>0</v>
      </c>
      <c r="O125" s="75">
        <v>0</v>
      </c>
      <c r="P125" s="67">
        <f t="shared" si="24"/>
        <v>420.62</v>
      </c>
      <c r="Q125" s="77">
        <v>1342.767163</v>
      </c>
      <c r="R125" s="67">
        <f t="shared" si="25"/>
        <v>1261.86</v>
      </c>
      <c r="S125" s="67">
        <v>0</v>
      </c>
      <c r="T125" s="76">
        <f t="shared" si="26"/>
        <v>0</v>
      </c>
      <c r="U125" s="76"/>
      <c r="V125" s="77">
        <v>0</v>
      </c>
      <c r="W125" s="75">
        <v>0</v>
      </c>
      <c r="X125" s="76"/>
      <c r="Y125" s="77">
        <v>0</v>
      </c>
      <c r="Z125" s="77">
        <v>0</v>
      </c>
      <c r="AA125" s="67">
        <f t="shared" si="27"/>
        <v>0</v>
      </c>
      <c r="AB125" s="77">
        <v>0</v>
      </c>
      <c r="AC125" s="67">
        <f t="shared" si="28"/>
        <v>0</v>
      </c>
      <c r="AD125" s="77">
        <v>0</v>
      </c>
      <c r="AE125" s="67">
        <f t="shared" si="29"/>
        <v>0</v>
      </c>
      <c r="AF125" s="82">
        <v>0</v>
      </c>
      <c r="AG125" s="67">
        <f t="shared" si="30"/>
        <v>0</v>
      </c>
      <c r="AH125" s="77">
        <v>0</v>
      </c>
      <c r="AI125" s="67">
        <f t="shared" si="31"/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  <c r="AO125" s="77">
        <v>0</v>
      </c>
      <c r="AP125" s="67">
        <f t="shared" si="32"/>
        <v>420.62</v>
      </c>
      <c r="AQ125" s="91">
        <f t="shared" si="33"/>
        <v>0.84124</v>
      </c>
      <c r="AR125" s="91">
        <f t="shared" si="34"/>
        <v>0.0140206666666667</v>
      </c>
      <c r="AS125" s="67">
        <f t="shared" si="35"/>
        <v>0</v>
      </c>
      <c r="AT125" s="67">
        <f t="shared" si="36"/>
        <v>0</v>
      </c>
      <c r="AU125" s="67">
        <f t="shared" si="37"/>
        <v>0.42062</v>
      </c>
      <c r="AV125" s="67">
        <f t="shared" si="38"/>
        <v>0.00876291666666667</v>
      </c>
      <c r="AW125" s="67">
        <f t="shared" si="39"/>
        <v>0</v>
      </c>
      <c r="AX125" s="67"/>
      <c r="AY125" s="67"/>
      <c r="AZ125" s="75"/>
    </row>
    <row r="126" spans="1:52">
      <c r="A126" s="64">
        <v>121</v>
      </c>
      <c r="B126" s="65" t="s">
        <v>151</v>
      </c>
      <c r="C126" s="65" t="s">
        <v>151</v>
      </c>
      <c r="D126" s="65" t="s">
        <v>211</v>
      </c>
      <c r="E126" s="65" t="s">
        <v>206</v>
      </c>
      <c r="F126" s="66">
        <v>827.97</v>
      </c>
      <c r="G126" s="67">
        <f t="shared" si="20"/>
        <v>10.7542958078191</v>
      </c>
      <c r="H126" s="67">
        <f t="shared" si="21"/>
        <v>8904.2343</v>
      </c>
      <c r="I126" s="75">
        <v>3</v>
      </c>
      <c r="J126" s="75">
        <v>3</v>
      </c>
      <c r="K126" s="76">
        <f t="shared" si="22"/>
        <v>10469.605112</v>
      </c>
      <c r="L126" s="76">
        <f t="shared" si="23"/>
        <v>5501.785112</v>
      </c>
      <c r="M126" s="75">
        <v>0</v>
      </c>
      <c r="N126" s="77">
        <v>0</v>
      </c>
      <c r="O126" s="75">
        <v>0</v>
      </c>
      <c r="P126" s="67">
        <f t="shared" si="24"/>
        <v>1655.94</v>
      </c>
      <c r="Q126" s="77">
        <v>3402.449188</v>
      </c>
      <c r="R126" s="67">
        <f t="shared" si="25"/>
        <v>4967.82</v>
      </c>
      <c r="S126" s="67">
        <v>0</v>
      </c>
      <c r="T126" s="76">
        <f t="shared" si="26"/>
        <v>5501.785112</v>
      </c>
      <c r="U126" s="76"/>
      <c r="V126" s="77">
        <v>0</v>
      </c>
      <c r="W126" s="75">
        <v>0</v>
      </c>
      <c r="X126" s="76"/>
      <c r="Y126" s="77">
        <v>3984.764083</v>
      </c>
      <c r="Z126" s="77">
        <v>0</v>
      </c>
      <c r="AA126" s="67">
        <f t="shared" si="27"/>
        <v>0</v>
      </c>
      <c r="AB126" s="77">
        <v>0</v>
      </c>
      <c r="AC126" s="67">
        <f t="shared" si="28"/>
        <v>0</v>
      </c>
      <c r="AD126" s="77">
        <v>0</v>
      </c>
      <c r="AE126" s="67">
        <f t="shared" si="29"/>
        <v>0</v>
      </c>
      <c r="AF126" s="82">
        <v>0</v>
      </c>
      <c r="AG126" s="67">
        <f t="shared" si="30"/>
        <v>0</v>
      </c>
      <c r="AH126" s="77">
        <v>0</v>
      </c>
      <c r="AI126" s="67">
        <f t="shared" si="31"/>
        <v>0</v>
      </c>
      <c r="AJ126" s="77">
        <v>1498.112913</v>
      </c>
      <c r="AK126" s="77">
        <v>0</v>
      </c>
      <c r="AL126" s="77">
        <v>0</v>
      </c>
      <c r="AM126" s="77">
        <v>0</v>
      </c>
      <c r="AN126" s="77">
        <v>0</v>
      </c>
      <c r="AO126" s="77">
        <v>18.908116</v>
      </c>
      <c r="AP126" s="67">
        <f t="shared" si="32"/>
        <v>1655.94</v>
      </c>
      <c r="AQ126" s="91">
        <f t="shared" si="33"/>
        <v>3.31188</v>
      </c>
      <c r="AR126" s="91">
        <f t="shared" si="34"/>
        <v>0.055198</v>
      </c>
      <c r="AS126" s="67">
        <f t="shared" si="35"/>
        <v>0</v>
      </c>
      <c r="AT126" s="67">
        <f t="shared" si="36"/>
        <v>0</v>
      </c>
      <c r="AU126" s="67">
        <f t="shared" si="37"/>
        <v>1.65594</v>
      </c>
      <c r="AV126" s="67">
        <f t="shared" si="38"/>
        <v>0.03449875</v>
      </c>
      <c r="AW126" s="67">
        <f t="shared" si="39"/>
        <v>0</v>
      </c>
      <c r="AX126" s="67"/>
      <c r="AY126" s="67"/>
      <c r="AZ126" s="75"/>
    </row>
    <row r="127" spans="1:52">
      <c r="A127" s="64">
        <v>122</v>
      </c>
      <c r="B127" s="65" t="s">
        <v>212</v>
      </c>
      <c r="C127" s="65" t="s">
        <v>212</v>
      </c>
      <c r="D127" s="65" t="s">
        <v>148</v>
      </c>
      <c r="E127" s="65" t="s">
        <v>213</v>
      </c>
      <c r="F127" s="66">
        <v>310.5</v>
      </c>
      <c r="G127" s="67">
        <f t="shared" si="20"/>
        <v>6.0798107826087</v>
      </c>
      <c r="H127" s="67">
        <f t="shared" si="21"/>
        <v>1887.781248</v>
      </c>
      <c r="I127" s="75">
        <v>3</v>
      </c>
      <c r="J127" s="75">
        <v>3</v>
      </c>
      <c r="K127" s="76">
        <f t="shared" si="22"/>
        <v>2274.228612</v>
      </c>
      <c r="L127" s="76">
        <f t="shared" si="23"/>
        <v>411.228612</v>
      </c>
      <c r="M127" s="75">
        <v>0</v>
      </c>
      <c r="N127" s="77">
        <v>0</v>
      </c>
      <c r="O127" s="75">
        <v>0</v>
      </c>
      <c r="P127" s="67">
        <f t="shared" si="24"/>
        <v>621</v>
      </c>
      <c r="Q127" s="77">
        <v>1476.552636</v>
      </c>
      <c r="R127" s="67">
        <f t="shared" si="25"/>
        <v>1863</v>
      </c>
      <c r="S127" s="67">
        <v>0</v>
      </c>
      <c r="T127" s="76">
        <f t="shared" si="26"/>
        <v>411.228612</v>
      </c>
      <c r="U127" s="76"/>
      <c r="V127" s="77">
        <v>0</v>
      </c>
      <c r="W127" s="75">
        <v>0</v>
      </c>
      <c r="X127" s="76"/>
      <c r="Y127" s="77">
        <v>23.080974</v>
      </c>
      <c r="Z127" s="77">
        <v>0</v>
      </c>
      <c r="AA127" s="67">
        <f t="shared" si="27"/>
        <v>0</v>
      </c>
      <c r="AB127" s="77">
        <v>0</v>
      </c>
      <c r="AC127" s="67">
        <f t="shared" si="28"/>
        <v>0</v>
      </c>
      <c r="AD127" s="77">
        <v>0</v>
      </c>
      <c r="AE127" s="67">
        <f t="shared" si="29"/>
        <v>0</v>
      </c>
      <c r="AF127" s="82">
        <v>0</v>
      </c>
      <c r="AG127" s="67">
        <f t="shared" si="30"/>
        <v>0</v>
      </c>
      <c r="AH127" s="77">
        <v>0</v>
      </c>
      <c r="AI127" s="67">
        <f t="shared" si="31"/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  <c r="AO127" s="77">
        <v>388.147638</v>
      </c>
      <c r="AP127" s="67">
        <f t="shared" si="32"/>
        <v>621</v>
      </c>
      <c r="AQ127" s="91">
        <f t="shared" si="33"/>
        <v>1.242</v>
      </c>
      <c r="AR127" s="91">
        <f t="shared" si="34"/>
        <v>0.0207</v>
      </c>
      <c r="AS127" s="67">
        <f t="shared" si="35"/>
        <v>0</v>
      </c>
      <c r="AT127" s="67">
        <f t="shared" si="36"/>
        <v>0</v>
      </c>
      <c r="AU127" s="67">
        <f t="shared" si="37"/>
        <v>0.621</v>
      </c>
      <c r="AV127" s="67">
        <f t="shared" si="38"/>
        <v>0.0129375</v>
      </c>
      <c r="AW127" s="67">
        <f t="shared" si="39"/>
        <v>0</v>
      </c>
      <c r="AX127" s="67"/>
      <c r="AY127" s="67"/>
      <c r="AZ127" s="75"/>
    </row>
    <row r="128" spans="1:52">
      <c r="A128" s="64">
        <v>123</v>
      </c>
      <c r="B128" s="65" t="s">
        <v>90</v>
      </c>
      <c r="C128" s="65" t="s">
        <v>214</v>
      </c>
      <c r="D128" s="65"/>
      <c r="E128" s="65"/>
      <c r="F128" s="66">
        <v>34.72</v>
      </c>
      <c r="G128" s="67">
        <f t="shared" si="20"/>
        <v>22.7452194988479</v>
      </c>
      <c r="H128" s="67">
        <f t="shared" si="21"/>
        <v>789.714021</v>
      </c>
      <c r="I128" s="75">
        <v>3</v>
      </c>
      <c r="J128" s="75">
        <v>3</v>
      </c>
      <c r="K128" s="76">
        <f t="shared" si="22"/>
        <v>208.32</v>
      </c>
      <c r="L128" s="76">
        <f t="shared" si="23"/>
        <v>0</v>
      </c>
      <c r="M128" s="75">
        <v>0</v>
      </c>
      <c r="N128" s="77">
        <v>0</v>
      </c>
      <c r="O128" s="75">
        <v>0</v>
      </c>
      <c r="P128" s="67">
        <f t="shared" si="24"/>
        <v>69.44</v>
      </c>
      <c r="Q128" s="77">
        <v>789.714021</v>
      </c>
      <c r="R128" s="67">
        <f t="shared" si="25"/>
        <v>208.32</v>
      </c>
      <c r="S128" s="67">
        <v>0</v>
      </c>
      <c r="T128" s="76">
        <f t="shared" si="26"/>
        <v>0</v>
      </c>
      <c r="U128" s="76"/>
      <c r="V128" s="77">
        <v>0</v>
      </c>
      <c r="W128" s="75">
        <v>0</v>
      </c>
      <c r="X128" s="76"/>
      <c r="Y128" s="77">
        <v>0</v>
      </c>
      <c r="Z128" s="77">
        <v>0</v>
      </c>
      <c r="AA128" s="67">
        <f t="shared" si="27"/>
        <v>0</v>
      </c>
      <c r="AB128" s="77">
        <v>0</v>
      </c>
      <c r="AC128" s="67">
        <f t="shared" si="28"/>
        <v>0</v>
      </c>
      <c r="AD128" s="77">
        <v>0</v>
      </c>
      <c r="AE128" s="67">
        <f t="shared" si="29"/>
        <v>0</v>
      </c>
      <c r="AF128" s="82">
        <v>0</v>
      </c>
      <c r="AG128" s="67">
        <f t="shared" si="30"/>
        <v>0</v>
      </c>
      <c r="AH128" s="77">
        <v>0</v>
      </c>
      <c r="AI128" s="67">
        <f t="shared" si="31"/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  <c r="AO128" s="77">
        <v>0</v>
      </c>
      <c r="AP128" s="67">
        <f t="shared" si="32"/>
        <v>69.44</v>
      </c>
      <c r="AQ128" s="91">
        <f t="shared" si="33"/>
        <v>0.13888</v>
      </c>
      <c r="AR128" s="91">
        <f t="shared" si="34"/>
        <v>0.00231466666666667</v>
      </c>
      <c r="AS128" s="67">
        <f t="shared" si="35"/>
        <v>0</v>
      </c>
      <c r="AT128" s="67">
        <f t="shared" si="36"/>
        <v>0</v>
      </c>
      <c r="AU128" s="67">
        <f t="shared" si="37"/>
        <v>0.06944</v>
      </c>
      <c r="AV128" s="67">
        <f t="shared" si="38"/>
        <v>0.00144666666666667</v>
      </c>
      <c r="AW128" s="67">
        <f t="shared" si="39"/>
        <v>0</v>
      </c>
      <c r="AX128" s="67"/>
      <c r="AY128" s="67"/>
      <c r="AZ128" s="75"/>
    </row>
    <row r="129" spans="1:52">
      <c r="A129" s="64">
        <v>124</v>
      </c>
      <c r="B129" s="65" t="s">
        <v>90</v>
      </c>
      <c r="C129" s="65" t="s">
        <v>90</v>
      </c>
      <c r="D129" s="65" t="s">
        <v>114</v>
      </c>
      <c r="E129" s="65" t="s">
        <v>86</v>
      </c>
      <c r="F129" s="66">
        <v>492.54</v>
      </c>
      <c r="G129" s="67">
        <f t="shared" si="20"/>
        <v>52.9629175072075</v>
      </c>
      <c r="H129" s="67">
        <f t="shared" si="21"/>
        <v>26086.355389</v>
      </c>
      <c r="I129" s="75">
        <v>3</v>
      </c>
      <c r="J129" s="75">
        <v>3</v>
      </c>
      <c r="K129" s="76">
        <f t="shared" si="22"/>
        <v>20815.853386</v>
      </c>
      <c r="L129" s="76">
        <f t="shared" si="23"/>
        <v>17860.613386</v>
      </c>
      <c r="M129" s="75">
        <v>2</v>
      </c>
      <c r="N129" s="77">
        <v>0</v>
      </c>
      <c r="O129" s="75">
        <v>0</v>
      </c>
      <c r="P129" s="67">
        <f t="shared" si="24"/>
        <v>985.08</v>
      </c>
      <c r="Q129" s="77">
        <v>8225.742003</v>
      </c>
      <c r="R129" s="67">
        <f t="shared" si="25"/>
        <v>2955.24</v>
      </c>
      <c r="S129" s="67">
        <v>0</v>
      </c>
      <c r="T129" s="76">
        <f t="shared" si="26"/>
        <v>17860.613386</v>
      </c>
      <c r="U129" s="76"/>
      <c r="V129" s="77">
        <v>0</v>
      </c>
      <c r="W129" s="75">
        <v>0</v>
      </c>
      <c r="X129" s="76"/>
      <c r="Y129" s="77">
        <v>0</v>
      </c>
      <c r="Z129" s="77">
        <v>0</v>
      </c>
      <c r="AA129" s="67">
        <f t="shared" si="27"/>
        <v>0</v>
      </c>
      <c r="AB129" s="77">
        <v>0</v>
      </c>
      <c r="AC129" s="67">
        <f t="shared" si="28"/>
        <v>0</v>
      </c>
      <c r="AD129" s="77">
        <v>0</v>
      </c>
      <c r="AE129" s="67">
        <f t="shared" si="29"/>
        <v>0</v>
      </c>
      <c r="AF129" s="82">
        <v>0</v>
      </c>
      <c r="AG129" s="67">
        <f t="shared" si="30"/>
        <v>0</v>
      </c>
      <c r="AH129" s="77">
        <v>210.853923</v>
      </c>
      <c r="AI129" s="67">
        <f t="shared" si="31"/>
        <v>421.707846</v>
      </c>
      <c r="AJ129" s="77">
        <v>55.353288</v>
      </c>
      <c r="AK129" s="77">
        <v>1580.420638</v>
      </c>
      <c r="AL129" s="77">
        <v>0</v>
      </c>
      <c r="AM129" s="77">
        <v>0</v>
      </c>
      <c r="AN129" s="77">
        <v>0</v>
      </c>
      <c r="AO129" s="77">
        <v>15803.131614</v>
      </c>
      <c r="AP129" s="67">
        <f t="shared" si="32"/>
        <v>985.08</v>
      </c>
      <c r="AQ129" s="91">
        <f t="shared" si="33"/>
        <v>1.97016</v>
      </c>
      <c r="AR129" s="91">
        <f t="shared" si="34"/>
        <v>0.032836</v>
      </c>
      <c r="AS129" s="67">
        <f t="shared" si="35"/>
        <v>0</v>
      </c>
      <c r="AT129" s="67">
        <f t="shared" si="36"/>
        <v>0</v>
      </c>
      <c r="AU129" s="67">
        <f t="shared" si="37"/>
        <v>0.98508</v>
      </c>
      <c r="AV129" s="67">
        <f t="shared" si="38"/>
        <v>0.0205225</v>
      </c>
      <c r="AW129" s="67">
        <f t="shared" si="39"/>
        <v>0</v>
      </c>
      <c r="AX129" s="67"/>
      <c r="AY129" s="67"/>
      <c r="AZ129" s="75"/>
    </row>
    <row r="130" spans="1:52">
      <c r="A130" s="64">
        <v>125</v>
      </c>
      <c r="B130" s="65" t="s">
        <v>90</v>
      </c>
      <c r="C130" s="65" t="s">
        <v>90</v>
      </c>
      <c r="D130" s="65" t="s">
        <v>215</v>
      </c>
      <c r="E130" s="65" t="s">
        <v>114</v>
      </c>
      <c r="F130" s="66">
        <v>233.11</v>
      </c>
      <c r="G130" s="67">
        <f t="shared" si="20"/>
        <v>57.9218783406975</v>
      </c>
      <c r="H130" s="67">
        <f t="shared" si="21"/>
        <v>13502.16906</v>
      </c>
      <c r="I130" s="75">
        <v>3</v>
      </c>
      <c r="J130" s="75">
        <v>3</v>
      </c>
      <c r="K130" s="76">
        <f t="shared" si="22"/>
        <v>11460.519885</v>
      </c>
      <c r="L130" s="76">
        <f t="shared" si="23"/>
        <v>9962.191547</v>
      </c>
      <c r="M130" s="75">
        <v>2</v>
      </c>
      <c r="N130" s="77">
        <v>0</v>
      </c>
      <c r="O130" s="75">
        <v>0</v>
      </c>
      <c r="P130" s="67">
        <f t="shared" si="24"/>
        <v>466.22</v>
      </c>
      <c r="Q130" s="77">
        <v>3440.309175</v>
      </c>
      <c r="R130" s="67">
        <f t="shared" si="25"/>
        <v>1398.66</v>
      </c>
      <c r="S130" s="67">
        <v>0</v>
      </c>
      <c r="T130" s="76">
        <f t="shared" si="26"/>
        <v>9962.191547</v>
      </c>
      <c r="U130" s="76"/>
      <c r="V130" s="77">
        <v>618.884</v>
      </c>
      <c r="W130" s="75">
        <v>1</v>
      </c>
      <c r="X130" s="76"/>
      <c r="Y130" s="77">
        <v>364.650374</v>
      </c>
      <c r="Z130" s="77">
        <v>0</v>
      </c>
      <c r="AA130" s="67">
        <f t="shared" si="27"/>
        <v>0</v>
      </c>
      <c r="AB130" s="77">
        <v>49.834169</v>
      </c>
      <c r="AC130" s="67">
        <f t="shared" si="28"/>
        <v>99.668338</v>
      </c>
      <c r="AD130" s="77">
        <v>165.662872</v>
      </c>
      <c r="AE130" s="67">
        <f t="shared" si="29"/>
        <v>331.325744</v>
      </c>
      <c r="AF130" s="82">
        <v>0</v>
      </c>
      <c r="AG130" s="67">
        <f t="shared" si="30"/>
        <v>0</v>
      </c>
      <c r="AH130" s="77">
        <v>0</v>
      </c>
      <c r="AI130" s="67">
        <f t="shared" si="31"/>
        <v>0</v>
      </c>
      <c r="AJ130" s="77">
        <v>65.120404</v>
      </c>
      <c r="AK130" s="77">
        <v>0</v>
      </c>
      <c r="AL130" s="77">
        <v>0</v>
      </c>
      <c r="AM130" s="77">
        <v>0</v>
      </c>
      <c r="AN130" s="77">
        <v>0</v>
      </c>
      <c r="AO130" s="77">
        <v>8582.211025</v>
      </c>
      <c r="AP130" s="67">
        <f t="shared" si="32"/>
        <v>466.22</v>
      </c>
      <c r="AQ130" s="91">
        <f t="shared" si="33"/>
        <v>0.93244</v>
      </c>
      <c r="AR130" s="91">
        <f t="shared" si="34"/>
        <v>0.0155406666666667</v>
      </c>
      <c r="AS130" s="67">
        <f t="shared" si="35"/>
        <v>0</v>
      </c>
      <c r="AT130" s="67">
        <f t="shared" si="36"/>
        <v>0</v>
      </c>
      <c r="AU130" s="67">
        <f t="shared" si="37"/>
        <v>0.46622</v>
      </c>
      <c r="AV130" s="67">
        <f t="shared" si="38"/>
        <v>0.00971291666666667</v>
      </c>
      <c r="AW130" s="67">
        <f t="shared" si="39"/>
        <v>0.01077485205</v>
      </c>
      <c r="AX130" s="67"/>
      <c r="AY130" s="67"/>
      <c r="AZ130" s="75"/>
    </row>
    <row r="131" ht="28.8" spans="1:52">
      <c r="A131" s="64">
        <v>126</v>
      </c>
      <c r="B131" s="65" t="s">
        <v>87</v>
      </c>
      <c r="C131" s="65" t="s">
        <v>216</v>
      </c>
      <c r="D131" s="65"/>
      <c r="E131" s="65"/>
      <c r="F131" s="66">
        <v>32.54</v>
      </c>
      <c r="G131" s="67">
        <f t="shared" si="20"/>
        <v>30.1181918869084</v>
      </c>
      <c r="H131" s="67">
        <f t="shared" si="21"/>
        <v>980.045964</v>
      </c>
      <c r="I131" s="75">
        <v>3</v>
      </c>
      <c r="J131" s="75">
        <v>3</v>
      </c>
      <c r="K131" s="76">
        <f t="shared" si="22"/>
        <v>195.24</v>
      </c>
      <c r="L131" s="76">
        <f t="shared" si="23"/>
        <v>0</v>
      </c>
      <c r="M131" s="75">
        <v>0</v>
      </c>
      <c r="N131" s="77">
        <v>0</v>
      </c>
      <c r="O131" s="75">
        <v>0</v>
      </c>
      <c r="P131" s="67">
        <f t="shared" si="24"/>
        <v>65.08</v>
      </c>
      <c r="Q131" s="77">
        <v>980.045964</v>
      </c>
      <c r="R131" s="67">
        <f t="shared" si="25"/>
        <v>195.24</v>
      </c>
      <c r="S131" s="67">
        <v>0</v>
      </c>
      <c r="T131" s="76">
        <f t="shared" si="26"/>
        <v>0</v>
      </c>
      <c r="U131" s="76"/>
      <c r="V131" s="77">
        <v>0</v>
      </c>
      <c r="W131" s="75">
        <v>0</v>
      </c>
      <c r="X131" s="76"/>
      <c r="Y131" s="77">
        <v>0</v>
      </c>
      <c r="Z131" s="77">
        <v>0</v>
      </c>
      <c r="AA131" s="67">
        <f t="shared" si="27"/>
        <v>0</v>
      </c>
      <c r="AB131" s="77">
        <v>0</v>
      </c>
      <c r="AC131" s="67">
        <f t="shared" si="28"/>
        <v>0</v>
      </c>
      <c r="AD131" s="77">
        <v>0</v>
      </c>
      <c r="AE131" s="67">
        <f t="shared" si="29"/>
        <v>0</v>
      </c>
      <c r="AF131" s="82">
        <v>0</v>
      </c>
      <c r="AG131" s="67">
        <f t="shared" si="30"/>
        <v>0</v>
      </c>
      <c r="AH131" s="77">
        <v>0</v>
      </c>
      <c r="AI131" s="67">
        <f t="shared" si="31"/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  <c r="AO131" s="77">
        <v>0</v>
      </c>
      <c r="AP131" s="67">
        <f t="shared" si="32"/>
        <v>65.08</v>
      </c>
      <c r="AQ131" s="91">
        <f t="shared" si="33"/>
        <v>0.13016</v>
      </c>
      <c r="AR131" s="91">
        <f t="shared" si="34"/>
        <v>0.00216933333333333</v>
      </c>
      <c r="AS131" s="67">
        <f t="shared" si="35"/>
        <v>0</v>
      </c>
      <c r="AT131" s="67">
        <f t="shared" si="36"/>
        <v>0</v>
      </c>
      <c r="AU131" s="67">
        <f t="shared" si="37"/>
        <v>0.06508</v>
      </c>
      <c r="AV131" s="67">
        <f t="shared" si="38"/>
        <v>0.00135583333333333</v>
      </c>
      <c r="AW131" s="67">
        <f t="shared" si="39"/>
        <v>0</v>
      </c>
      <c r="AX131" s="67"/>
      <c r="AY131" s="67"/>
      <c r="AZ131" s="75"/>
    </row>
    <row r="132" spans="1:52">
      <c r="A132" s="64">
        <v>127</v>
      </c>
      <c r="B132" s="65" t="s">
        <v>87</v>
      </c>
      <c r="C132" s="65" t="s">
        <v>87</v>
      </c>
      <c r="D132" s="65" t="s">
        <v>86</v>
      </c>
      <c r="E132" s="65" t="s">
        <v>217</v>
      </c>
      <c r="F132" s="66">
        <v>469.34</v>
      </c>
      <c r="G132" s="67">
        <f t="shared" si="20"/>
        <v>38.7478648442494</v>
      </c>
      <c r="H132" s="67">
        <f t="shared" si="21"/>
        <v>18185.922886</v>
      </c>
      <c r="I132" s="75">
        <v>3</v>
      </c>
      <c r="J132" s="75">
        <v>3</v>
      </c>
      <c r="K132" s="76">
        <f t="shared" si="22"/>
        <v>11843.604744</v>
      </c>
      <c r="L132" s="76">
        <f t="shared" si="23"/>
        <v>8842.444984</v>
      </c>
      <c r="M132" s="75">
        <v>2</v>
      </c>
      <c r="N132" s="77">
        <v>0</v>
      </c>
      <c r="O132" s="75">
        <v>0</v>
      </c>
      <c r="P132" s="67">
        <f t="shared" si="24"/>
        <v>938.68</v>
      </c>
      <c r="Q132" s="77">
        <v>9158.358142</v>
      </c>
      <c r="R132" s="67">
        <f t="shared" si="25"/>
        <v>2816.04</v>
      </c>
      <c r="S132" s="67">
        <v>0</v>
      </c>
      <c r="T132" s="76">
        <f t="shared" si="26"/>
        <v>8842.444984</v>
      </c>
      <c r="U132" s="76"/>
      <c r="V132" s="77">
        <v>299.170579</v>
      </c>
      <c r="W132" s="75">
        <v>1</v>
      </c>
      <c r="X132" s="76"/>
      <c r="Y132" s="77">
        <v>1869.113444</v>
      </c>
      <c r="Z132" s="77">
        <v>24.689471</v>
      </c>
      <c r="AA132" s="67">
        <f t="shared" si="27"/>
        <v>49.378942</v>
      </c>
      <c r="AB132" s="77">
        <v>92.55988</v>
      </c>
      <c r="AC132" s="67">
        <f t="shared" si="28"/>
        <v>185.11976</v>
      </c>
      <c r="AD132" s="77">
        <v>108.263503</v>
      </c>
      <c r="AE132" s="67">
        <f t="shared" si="29"/>
        <v>216.527006</v>
      </c>
      <c r="AF132" s="82">
        <v>0</v>
      </c>
      <c r="AG132" s="67">
        <f t="shared" si="30"/>
        <v>0</v>
      </c>
      <c r="AH132" s="77">
        <v>0</v>
      </c>
      <c r="AI132" s="67">
        <f t="shared" si="31"/>
        <v>0</v>
      </c>
      <c r="AJ132" s="77">
        <v>1869.843178</v>
      </c>
      <c r="AK132" s="77">
        <v>0</v>
      </c>
      <c r="AL132" s="77">
        <v>0</v>
      </c>
      <c r="AM132" s="77">
        <v>0</v>
      </c>
      <c r="AN132" s="77">
        <v>0</v>
      </c>
      <c r="AO132" s="77">
        <v>4538.411835</v>
      </c>
      <c r="AP132" s="67">
        <f t="shared" si="32"/>
        <v>938.68</v>
      </c>
      <c r="AQ132" s="91">
        <f t="shared" si="33"/>
        <v>1.87736</v>
      </c>
      <c r="AR132" s="91">
        <f t="shared" si="34"/>
        <v>0.0312893333333333</v>
      </c>
      <c r="AS132" s="67">
        <f t="shared" si="35"/>
        <v>0</v>
      </c>
      <c r="AT132" s="67">
        <f t="shared" si="36"/>
        <v>0</v>
      </c>
      <c r="AU132" s="67">
        <f t="shared" si="37"/>
        <v>0.93868</v>
      </c>
      <c r="AV132" s="67">
        <f t="shared" si="38"/>
        <v>0.0195558333333333</v>
      </c>
      <c r="AW132" s="67">
        <f t="shared" si="39"/>
        <v>0.0112756427</v>
      </c>
      <c r="AX132" s="67"/>
      <c r="AY132" s="67"/>
      <c r="AZ132" s="75"/>
    </row>
    <row r="133" spans="1:52">
      <c r="A133" s="64">
        <v>128</v>
      </c>
      <c r="B133" s="65" t="s">
        <v>218</v>
      </c>
      <c r="C133" s="65" t="s">
        <v>218</v>
      </c>
      <c r="D133" s="65" t="s">
        <v>219</v>
      </c>
      <c r="E133" s="65" t="s">
        <v>87</v>
      </c>
      <c r="F133" s="66">
        <v>404.57</v>
      </c>
      <c r="G133" s="67">
        <f t="shared" si="20"/>
        <v>32.2231787601651</v>
      </c>
      <c r="H133" s="67">
        <f t="shared" si="21"/>
        <v>13036.531431</v>
      </c>
      <c r="I133" s="75">
        <v>3</v>
      </c>
      <c r="J133" s="75">
        <v>3</v>
      </c>
      <c r="K133" s="76">
        <f t="shared" si="22"/>
        <v>9097.571672</v>
      </c>
      <c r="L133" s="76">
        <f t="shared" si="23"/>
        <v>6670.151672</v>
      </c>
      <c r="M133" s="75">
        <v>2</v>
      </c>
      <c r="N133" s="77">
        <v>0</v>
      </c>
      <c r="O133" s="75">
        <v>0</v>
      </c>
      <c r="P133" s="67">
        <f t="shared" si="24"/>
        <v>809.14</v>
      </c>
      <c r="Q133" s="77">
        <v>6366.379759</v>
      </c>
      <c r="R133" s="67">
        <f t="shared" si="25"/>
        <v>2427.42</v>
      </c>
      <c r="S133" s="67">
        <v>0</v>
      </c>
      <c r="T133" s="76">
        <f t="shared" si="26"/>
        <v>6670.151672</v>
      </c>
      <c r="U133" s="76"/>
      <c r="V133" s="77">
        <v>0</v>
      </c>
      <c r="W133" s="75">
        <v>0</v>
      </c>
      <c r="X133" s="76"/>
      <c r="Y133" s="77">
        <v>930.561385</v>
      </c>
      <c r="Z133" s="77">
        <v>0</v>
      </c>
      <c r="AA133" s="67">
        <f t="shared" si="27"/>
        <v>0</v>
      </c>
      <c r="AB133" s="77">
        <v>0</v>
      </c>
      <c r="AC133" s="67">
        <f t="shared" si="28"/>
        <v>0</v>
      </c>
      <c r="AD133" s="77">
        <v>0</v>
      </c>
      <c r="AE133" s="67">
        <f t="shared" si="29"/>
        <v>0</v>
      </c>
      <c r="AF133" s="82">
        <v>0</v>
      </c>
      <c r="AG133" s="67">
        <f t="shared" si="30"/>
        <v>0</v>
      </c>
      <c r="AH133" s="77">
        <v>0</v>
      </c>
      <c r="AI133" s="67">
        <f t="shared" si="31"/>
        <v>0</v>
      </c>
      <c r="AJ133" s="77">
        <v>0</v>
      </c>
      <c r="AK133" s="77">
        <v>554.984344</v>
      </c>
      <c r="AL133" s="77">
        <v>0</v>
      </c>
      <c r="AM133" s="77">
        <v>258.384975</v>
      </c>
      <c r="AN133" s="77">
        <v>0</v>
      </c>
      <c r="AO133" s="77">
        <v>4926.220968</v>
      </c>
      <c r="AP133" s="67">
        <f t="shared" si="32"/>
        <v>809.14</v>
      </c>
      <c r="AQ133" s="91">
        <f t="shared" si="33"/>
        <v>1.61828</v>
      </c>
      <c r="AR133" s="91">
        <f t="shared" si="34"/>
        <v>0.0269713333333333</v>
      </c>
      <c r="AS133" s="67">
        <f t="shared" si="35"/>
        <v>0</v>
      </c>
      <c r="AT133" s="67">
        <f t="shared" si="36"/>
        <v>0</v>
      </c>
      <c r="AU133" s="67">
        <f t="shared" si="37"/>
        <v>0.80914</v>
      </c>
      <c r="AV133" s="67">
        <f t="shared" si="38"/>
        <v>0.0168570833333333</v>
      </c>
      <c r="AW133" s="67">
        <f t="shared" si="39"/>
        <v>0</v>
      </c>
      <c r="AX133" s="67"/>
      <c r="AY133" s="67"/>
      <c r="AZ133" s="75"/>
    </row>
    <row r="134" spans="1:52">
      <c r="A134" s="64">
        <v>129</v>
      </c>
      <c r="B134" s="65" t="s">
        <v>219</v>
      </c>
      <c r="C134" s="65" t="s">
        <v>219</v>
      </c>
      <c r="D134" s="65" t="s">
        <v>92</v>
      </c>
      <c r="E134" s="65" t="s">
        <v>220</v>
      </c>
      <c r="F134" s="66">
        <v>762.22</v>
      </c>
      <c r="G134" s="67">
        <f t="shared" ref="G134:G197" si="40">H134/F134</f>
        <v>24.8120172902836</v>
      </c>
      <c r="H134" s="67">
        <f t="shared" ref="H134:H197" si="41">Q134+V134+Y134+AA134+AC134+AE134+AG134+AI134+AJ134+AK134+AL134+AM134+AN134+AO134</f>
        <v>18912.215819</v>
      </c>
      <c r="I134" s="75">
        <v>3</v>
      </c>
      <c r="J134" s="75">
        <v>3</v>
      </c>
      <c r="K134" s="76">
        <f t="shared" ref="K134:K197" si="42">R134+V134+Y134+AA134+AC134+AE134+AG134+AI134+AJ134+AK134+AL134+AM134+AN134+AO134</f>
        <v>13808.289004</v>
      </c>
      <c r="L134" s="76">
        <f t="shared" ref="L134:L197" si="43">S134+V134+Y134+AA134+AE134+AG134+AI134+AJ134+AK134+AL134+AM134+AN134+AO134</f>
        <v>9024.089406</v>
      </c>
      <c r="M134" s="75">
        <v>2</v>
      </c>
      <c r="N134" s="77">
        <v>0</v>
      </c>
      <c r="O134" s="75">
        <v>0</v>
      </c>
      <c r="P134" s="67">
        <f t="shared" ref="P134:P197" si="44">F134*2</f>
        <v>1524.44</v>
      </c>
      <c r="Q134" s="77">
        <v>9677.246815</v>
      </c>
      <c r="R134" s="67">
        <f t="shared" ref="R134:R197" si="45">P134*3</f>
        <v>4573.32</v>
      </c>
      <c r="S134" s="67">
        <v>0</v>
      </c>
      <c r="T134" s="76">
        <f t="shared" ref="T134:T197" si="46">S134+V134+Y134+AA134+AE134+AG134+AI134+AJ134+AK134+AL134+AM134+AN134+AO134</f>
        <v>9024.089406</v>
      </c>
      <c r="U134" s="76"/>
      <c r="V134" s="77">
        <v>122.663885</v>
      </c>
      <c r="W134" s="75">
        <v>1</v>
      </c>
      <c r="X134" s="76"/>
      <c r="Y134" s="77">
        <v>2209.521796</v>
      </c>
      <c r="Z134" s="77">
        <v>14.344546</v>
      </c>
      <c r="AA134" s="67">
        <f t="shared" ref="AA134:AA197" si="47">Z134*2</f>
        <v>28.689092</v>
      </c>
      <c r="AB134" s="77">
        <v>105.439799</v>
      </c>
      <c r="AC134" s="67">
        <f t="shared" ref="AC134:AC197" si="48">AB134*2</f>
        <v>210.879598</v>
      </c>
      <c r="AD134" s="77">
        <v>19.843436</v>
      </c>
      <c r="AE134" s="67">
        <f t="shared" ref="AE134:AE197" si="49">AD134*2</f>
        <v>39.686872</v>
      </c>
      <c r="AF134" s="82">
        <v>0</v>
      </c>
      <c r="AG134" s="67">
        <f t="shared" ref="AG134:AG197" si="50">AF134*2</f>
        <v>0</v>
      </c>
      <c r="AH134" s="77">
        <v>0</v>
      </c>
      <c r="AI134" s="67">
        <f t="shared" ref="AI134:AI197" si="51">AH134*2</f>
        <v>0</v>
      </c>
      <c r="AJ134" s="77">
        <v>270.726988</v>
      </c>
      <c r="AK134" s="77">
        <v>494.046159</v>
      </c>
      <c r="AL134" s="77">
        <v>0</v>
      </c>
      <c r="AM134" s="77">
        <v>57.877237</v>
      </c>
      <c r="AN134" s="77">
        <v>0</v>
      </c>
      <c r="AO134" s="77">
        <v>5800.877377</v>
      </c>
      <c r="AP134" s="67">
        <f t="shared" ref="AP134:AP197" si="52">F134*2</f>
        <v>1524.44</v>
      </c>
      <c r="AQ134" s="91">
        <f t="shared" ref="AQ134:AQ197" si="53">P134*IF(J134=1,0,IF(J134=2,0,IF(J134=3,2,IF(J134=4,0))))/1000</f>
        <v>3.04888</v>
      </c>
      <c r="AR134" s="91">
        <f t="shared" ref="AR134:AR197" si="54">AQ134/60</f>
        <v>0.0508146666666667</v>
      </c>
      <c r="AS134" s="67">
        <f t="shared" ref="AS134:AS197" si="55">P134*IF(J134=1,3,IF(J134=2,2,IF(J134=3,0,IF(J134=4,0))))/1000</f>
        <v>0</v>
      </c>
      <c r="AT134" s="67">
        <f t="shared" ref="AT134:AT197" si="56">AS134/32</f>
        <v>0</v>
      </c>
      <c r="AU134" s="67">
        <f t="shared" ref="AU134:AU197" si="57">P134/1000/2*IF(J134=1,4,IF(J134=2,3,IF(J134=3,2,IF(J134=4,0))))</f>
        <v>1.52444</v>
      </c>
      <c r="AV134" s="67">
        <f t="shared" ref="AV134:AV197" si="58">AU134/48</f>
        <v>0.0317591666666667</v>
      </c>
      <c r="AW134" s="67">
        <f t="shared" ref="AW134:AW197" si="59">(Z134+AB134+AD134)/20/1000</f>
        <v>0.00698138905</v>
      </c>
      <c r="AX134" s="67"/>
      <c r="AY134" s="67"/>
      <c r="AZ134" s="75"/>
    </row>
    <row r="135" spans="1:52">
      <c r="A135" s="64">
        <v>130</v>
      </c>
      <c r="B135" s="65" t="s">
        <v>93</v>
      </c>
      <c r="C135" s="65" t="s">
        <v>93</v>
      </c>
      <c r="D135" s="65" t="s">
        <v>113</v>
      </c>
      <c r="E135" s="65" t="s">
        <v>114</v>
      </c>
      <c r="F135" s="66">
        <v>625.91</v>
      </c>
      <c r="G135" s="67">
        <f t="shared" si="40"/>
        <v>42.3655236663418</v>
      </c>
      <c r="H135" s="67">
        <f t="shared" si="41"/>
        <v>26517.004918</v>
      </c>
      <c r="I135" s="75">
        <v>1</v>
      </c>
      <c r="J135" s="78">
        <v>2</v>
      </c>
      <c r="K135" s="76">
        <f t="shared" si="42"/>
        <v>24587.222695</v>
      </c>
      <c r="L135" s="76">
        <f t="shared" si="43"/>
        <v>20831.762695</v>
      </c>
      <c r="M135" s="75">
        <v>2</v>
      </c>
      <c r="N135" s="77">
        <v>0</v>
      </c>
      <c r="O135" s="75">
        <v>0</v>
      </c>
      <c r="P135" s="67">
        <f t="shared" si="44"/>
        <v>1251.82</v>
      </c>
      <c r="Q135" s="77">
        <v>5685.242223</v>
      </c>
      <c r="R135" s="67">
        <f t="shared" si="45"/>
        <v>3755.46</v>
      </c>
      <c r="S135" s="67">
        <v>0</v>
      </c>
      <c r="T135" s="76">
        <f t="shared" si="46"/>
        <v>20831.762695</v>
      </c>
      <c r="U135" s="76"/>
      <c r="V135" s="77">
        <v>0</v>
      </c>
      <c r="W135" s="75">
        <v>0</v>
      </c>
      <c r="X135" s="76"/>
      <c r="Y135" s="77">
        <v>3003.195867</v>
      </c>
      <c r="Z135" s="77">
        <v>70.268781</v>
      </c>
      <c r="AA135" s="67">
        <f t="shared" si="47"/>
        <v>140.537562</v>
      </c>
      <c r="AB135" s="77">
        <v>0</v>
      </c>
      <c r="AC135" s="67">
        <f t="shared" si="48"/>
        <v>0</v>
      </c>
      <c r="AD135" s="77">
        <v>0</v>
      </c>
      <c r="AE135" s="67">
        <f t="shared" si="49"/>
        <v>0</v>
      </c>
      <c r="AF135" s="82">
        <v>0</v>
      </c>
      <c r="AG135" s="67">
        <f t="shared" si="50"/>
        <v>0</v>
      </c>
      <c r="AH135" s="77">
        <v>57.813608</v>
      </c>
      <c r="AI135" s="67">
        <f t="shared" si="51"/>
        <v>115.627216</v>
      </c>
      <c r="AJ135" s="77">
        <v>4484.072171</v>
      </c>
      <c r="AK135" s="77">
        <v>0</v>
      </c>
      <c r="AL135" s="77">
        <v>0</v>
      </c>
      <c r="AM135" s="77">
        <v>0</v>
      </c>
      <c r="AN135" s="77">
        <v>0</v>
      </c>
      <c r="AO135" s="77">
        <v>13088.329879</v>
      </c>
      <c r="AP135" s="67">
        <f t="shared" si="52"/>
        <v>1251.82</v>
      </c>
      <c r="AQ135" s="91">
        <f t="shared" si="53"/>
        <v>0</v>
      </c>
      <c r="AR135" s="91">
        <f t="shared" si="54"/>
        <v>0</v>
      </c>
      <c r="AS135" s="67">
        <f t="shared" si="55"/>
        <v>2.50364</v>
      </c>
      <c r="AT135" s="67">
        <f t="shared" si="56"/>
        <v>0.07823875</v>
      </c>
      <c r="AU135" s="67">
        <f t="shared" si="57"/>
        <v>1.87773</v>
      </c>
      <c r="AV135" s="67">
        <f t="shared" si="58"/>
        <v>0.039119375</v>
      </c>
      <c r="AW135" s="67">
        <f t="shared" si="59"/>
        <v>0.00351343905</v>
      </c>
      <c r="AX135" s="67"/>
      <c r="AY135" s="67"/>
      <c r="AZ135" s="75"/>
    </row>
    <row r="136" spans="1:52">
      <c r="A136" s="64">
        <v>131</v>
      </c>
      <c r="B136" s="65" t="s">
        <v>93</v>
      </c>
      <c r="C136" s="65" t="s">
        <v>93</v>
      </c>
      <c r="D136" s="65" t="s">
        <v>114</v>
      </c>
      <c r="E136" s="65" t="s">
        <v>86</v>
      </c>
      <c r="F136" s="66">
        <v>691.77</v>
      </c>
      <c r="G136" s="67">
        <f t="shared" si="40"/>
        <v>54.3334176315828</v>
      </c>
      <c r="H136" s="67">
        <f t="shared" si="41"/>
        <v>37586.228315</v>
      </c>
      <c r="I136" s="75">
        <v>1</v>
      </c>
      <c r="J136" s="75">
        <v>1</v>
      </c>
      <c r="K136" s="76">
        <f t="shared" si="42"/>
        <v>30593.323174</v>
      </c>
      <c r="L136" s="76">
        <f t="shared" si="43"/>
        <v>25206.210142</v>
      </c>
      <c r="M136" s="75">
        <v>2</v>
      </c>
      <c r="N136" s="77">
        <v>0</v>
      </c>
      <c r="O136" s="75">
        <v>0</v>
      </c>
      <c r="P136" s="67">
        <f t="shared" si="44"/>
        <v>1383.54</v>
      </c>
      <c r="Q136" s="77">
        <v>11143.525141</v>
      </c>
      <c r="R136" s="67">
        <f t="shared" si="45"/>
        <v>4150.62</v>
      </c>
      <c r="S136" s="67">
        <v>0</v>
      </c>
      <c r="T136" s="76">
        <f t="shared" si="46"/>
        <v>25206.210142</v>
      </c>
      <c r="U136" s="76"/>
      <c r="V136" s="77">
        <v>204.389475</v>
      </c>
      <c r="W136" s="75">
        <v>2</v>
      </c>
      <c r="X136" s="76"/>
      <c r="Y136" s="77">
        <v>3804.536384</v>
      </c>
      <c r="Z136" s="77">
        <v>70.693894</v>
      </c>
      <c r="AA136" s="67">
        <f t="shared" si="47"/>
        <v>141.387788</v>
      </c>
      <c r="AB136" s="77">
        <v>618.246516</v>
      </c>
      <c r="AC136" s="67">
        <f t="shared" si="48"/>
        <v>1236.493032</v>
      </c>
      <c r="AD136" s="77">
        <v>0</v>
      </c>
      <c r="AE136" s="67">
        <f t="shared" si="49"/>
        <v>0</v>
      </c>
      <c r="AF136" s="82">
        <v>0</v>
      </c>
      <c r="AG136" s="67">
        <f t="shared" si="50"/>
        <v>0</v>
      </c>
      <c r="AH136" s="77">
        <v>0</v>
      </c>
      <c r="AI136" s="67">
        <f t="shared" si="51"/>
        <v>0</v>
      </c>
      <c r="AJ136" s="77">
        <v>7825.430787</v>
      </c>
      <c r="AK136" s="77">
        <v>0</v>
      </c>
      <c r="AL136" s="77">
        <v>0</v>
      </c>
      <c r="AM136" s="77">
        <v>0</v>
      </c>
      <c r="AN136" s="77">
        <v>168.529833</v>
      </c>
      <c r="AO136" s="77">
        <v>13061.935875</v>
      </c>
      <c r="AP136" s="67">
        <f t="shared" si="52"/>
        <v>1383.54</v>
      </c>
      <c r="AQ136" s="91">
        <f t="shared" si="53"/>
        <v>0</v>
      </c>
      <c r="AR136" s="91">
        <f t="shared" si="54"/>
        <v>0</v>
      </c>
      <c r="AS136" s="67">
        <f t="shared" si="55"/>
        <v>4.15062</v>
      </c>
      <c r="AT136" s="67">
        <f t="shared" si="56"/>
        <v>0.129706875</v>
      </c>
      <c r="AU136" s="67">
        <f t="shared" si="57"/>
        <v>2.76708</v>
      </c>
      <c r="AV136" s="67">
        <f t="shared" si="58"/>
        <v>0.0576475</v>
      </c>
      <c r="AW136" s="67">
        <f t="shared" si="59"/>
        <v>0.0344470205</v>
      </c>
      <c r="AX136" s="67"/>
      <c r="AY136" s="67"/>
      <c r="AZ136" s="75"/>
    </row>
    <row r="137" spans="1:52">
      <c r="A137" s="64">
        <v>132</v>
      </c>
      <c r="B137" s="65" t="s">
        <v>88</v>
      </c>
      <c r="C137" s="65" t="s">
        <v>88</v>
      </c>
      <c r="D137" s="65" t="s">
        <v>86</v>
      </c>
      <c r="E137" s="65" t="s">
        <v>217</v>
      </c>
      <c r="F137" s="66">
        <v>378.8</v>
      </c>
      <c r="G137" s="67">
        <f t="shared" si="40"/>
        <v>50.9792699445618</v>
      </c>
      <c r="H137" s="67">
        <f t="shared" si="41"/>
        <v>19310.947455</v>
      </c>
      <c r="I137" s="75">
        <v>1</v>
      </c>
      <c r="J137" s="78">
        <v>3</v>
      </c>
      <c r="K137" s="76">
        <f t="shared" si="42"/>
        <v>13996.806139</v>
      </c>
      <c r="L137" s="76">
        <f t="shared" si="43"/>
        <v>11724.006139</v>
      </c>
      <c r="M137" s="75">
        <v>2</v>
      </c>
      <c r="N137" s="77">
        <v>0</v>
      </c>
      <c r="O137" s="75">
        <v>0</v>
      </c>
      <c r="P137" s="67">
        <f t="shared" si="44"/>
        <v>757.6</v>
      </c>
      <c r="Q137" s="77">
        <v>7586.941316</v>
      </c>
      <c r="R137" s="67">
        <f t="shared" si="45"/>
        <v>2272.8</v>
      </c>
      <c r="S137" s="67">
        <v>0</v>
      </c>
      <c r="T137" s="76">
        <f t="shared" si="46"/>
        <v>11724.006139</v>
      </c>
      <c r="U137" s="76"/>
      <c r="V137" s="77">
        <v>0</v>
      </c>
      <c r="W137" s="75">
        <v>0</v>
      </c>
      <c r="X137" s="76"/>
      <c r="Y137" s="77">
        <v>1549.803793</v>
      </c>
      <c r="Z137" s="77">
        <v>0</v>
      </c>
      <c r="AA137" s="67">
        <f t="shared" si="47"/>
        <v>0</v>
      </c>
      <c r="AB137" s="77">
        <v>0</v>
      </c>
      <c r="AC137" s="67">
        <f t="shared" si="48"/>
        <v>0</v>
      </c>
      <c r="AD137" s="77">
        <v>0</v>
      </c>
      <c r="AE137" s="67">
        <f t="shared" si="49"/>
        <v>0</v>
      </c>
      <c r="AF137" s="82">
        <v>0</v>
      </c>
      <c r="AG137" s="67">
        <f t="shared" si="50"/>
        <v>0</v>
      </c>
      <c r="AH137" s="77">
        <v>0</v>
      </c>
      <c r="AI137" s="67">
        <f t="shared" si="51"/>
        <v>0</v>
      </c>
      <c r="AJ137" s="77">
        <v>0</v>
      </c>
      <c r="AK137" s="77">
        <v>888.792145</v>
      </c>
      <c r="AL137" s="77">
        <v>0</v>
      </c>
      <c r="AM137" s="77">
        <v>0</v>
      </c>
      <c r="AN137" s="77">
        <v>0</v>
      </c>
      <c r="AO137" s="77">
        <v>9285.410201</v>
      </c>
      <c r="AP137" s="67">
        <f t="shared" si="52"/>
        <v>757.6</v>
      </c>
      <c r="AQ137" s="91">
        <f t="shared" si="53"/>
        <v>1.5152</v>
      </c>
      <c r="AR137" s="91">
        <f t="shared" si="54"/>
        <v>0.0252533333333333</v>
      </c>
      <c r="AS137" s="67">
        <f t="shared" si="55"/>
        <v>0</v>
      </c>
      <c r="AT137" s="67">
        <f t="shared" si="56"/>
        <v>0</v>
      </c>
      <c r="AU137" s="67">
        <f t="shared" si="57"/>
        <v>0.7576</v>
      </c>
      <c r="AV137" s="67">
        <f t="shared" si="58"/>
        <v>0.0157833333333333</v>
      </c>
      <c r="AW137" s="67">
        <f t="shared" si="59"/>
        <v>0</v>
      </c>
      <c r="AX137" s="67"/>
      <c r="AY137" s="67"/>
      <c r="AZ137" s="75"/>
    </row>
    <row r="138" spans="1:52">
      <c r="A138" s="64">
        <v>133</v>
      </c>
      <c r="B138" s="65" t="s">
        <v>88</v>
      </c>
      <c r="C138" s="65" t="s">
        <v>88</v>
      </c>
      <c r="D138" s="65" t="s">
        <v>114</v>
      </c>
      <c r="E138" s="65" t="s">
        <v>86</v>
      </c>
      <c r="F138" s="66">
        <v>667.98</v>
      </c>
      <c r="G138" s="67">
        <f t="shared" si="40"/>
        <v>47.9421919668254</v>
      </c>
      <c r="H138" s="67">
        <f t="shared" si="41"/>
        <v>32024.42539</v>
      </c>
      <c r="I138" s="75">
        <v>1</v>
      </c>
      <c r="J138" s="78">
        <v>3</v>
      </c>
      <c r="K138" s="76">
        <f t="shared" si="42"/>
        <v>20566.956511</v>
      </c>
      <c r="L138" s="76">
        <f t="shared" si="43"/>
        <v>15436.452695</v>
      </c>
      <c r="M138" s="75">
        <v>2</v>
      </c>
      <c r="N138" s="77">
        <v>0</v>
      </c>
      <c r="O138" s="75">
        <v>0</v>
      </c>
      <c r="P138" s="67">
        <f t="shared" si="44"/>
        <v>1335.96</v>
      </c>
      <c r="Q138" s="77">
        <v>15465.348879</v>
      </c>
      <c r="R138" s="67">
        <f t="shared" si="45"/>
        <v>4007.88</v>
      </c>
      <c r="S138" s="67">
        <v>0</v>
      </c>
      <c r="T138" s="76">
        <f t="shared" si="46"/>
        <v>15436.452695</v>
      </c>
      <c r="U138" s="76"/>
      <c r="V138" s="77">
        <v>0</v>
      </c>
      <c r="W138" s="75">
        <v>0</v>
      </c>
      <c r="X138" s="76"/>
      <c r="Y138" s="77">
        <v>3913.045353</v>
      </c>
      <c r="Z138" s="77">
        <v>0</v>
      </c>
      <c r="AA138" s="67">
        <f t="shared" si="47"/>
        <v>0</v>
      </c>
      <c r="AB138" s="77">
        <v>561.311908</v>
      </c>
      <c r="AC138" s="67">
        <f t="shared" si="48"/>
        <v>1122.623816</v>
      </c>
      <c r="AD138" s="77">
        <v>0</v>
      </c>
      <c r="AE138" s="67">
        <f t="shared" si="49"/>
        <v>0</v>
      </c>
      <c r="AF138" s="82">
        <v>0</v>
      </c>
      <c r="AG138" s="67">
        <f t="shared" si="50"/>
        <v>0</v>
      </c>
      <c r="AH138" s="77">
        <v>0</v>
      </c>
      <c r="AI138" s="67">
        <f t="shared" si="51"/>
        <v>0</v>
      </c>
      <c r="AJ138" s="77">
        <v>2893.21956</v>
      </c>
      <c r="AK138" s="77">
        <v>0</v>
      </c>
      <c r="AL138" s="77">
        <v>0</v>
      </c>
      <c r="AM138" s="77">
        <v>0</v>
      </c>
      <c r="AN138" s="77">
        <v>0</v>
      </c>
      <c r="AO138" s="77">
        <v>8630.187782</v>
      </c>
      <c r="AP138" s="67">
        <f t="shared" si="52"/>
        <v>1335.96</v>
      </c>
      <c r="AQ138" s="91">
        <f t="shared" si="53"/>
        <v>2.67192</v>
      </c>
      <c r="AR138" s="91">
        <f t="shared" si="54"/>
        <v>0.044532</v>
      </c>
      <c r="AS138" s="67">
        <f t="shared" si="55"/>
        <v>0</v>
      </c>
      <c r="AT138" s="67">
        <f t="shared" si="56"/>
        <v>0</v>
      </c>
      <c r="AU138" s="67">
        <f t="shared" si="57"/>
        <v>1.33596</v>
      </c>
      <c r="AV138" s="67">
        <f t="shared" si="58"/>
        <v>0.0278325</v>
      </c>
      <c r="AW138" s="67">
        <f t="shared" si="59"/>
        <v>0.0280655954</v>
      </c>
      <c r="AX138" s="67"/>
      <c r="AY138" s="67"/>
      <c r="AZ138" s="75"/>
    </row>
    <row r="139" spans="1:52">
      <c r="A139" s="64">
        <v>134</v>
      </c>
      <c r="B139" s="65" t="s">
        <v>88</v>
      </c>
      <c r="C139" s="65" t="s">
        <v>88</v>
      </c>
      <c r="D139" s="65" t="s">
        <v>112</v>
      </c>
      <c r="E139" s="65" t="s">
        <v>114</v>
      </c>
      <c r="F139" s="66">
        <v>440.22</v>
      </c>
      <c r="G139" s="67">
        <f t="shared" si="40"/>
        <v>48.2414749488892</v>
      </c>
      <c r="H139" s="67">
        <f t="shared" si="41"/>
        <v>21236.862102</v>
      </c>
      <c r="I139" s="75">
        <v>1</v>
      </c>
      <c r="J139" s="78">
        <v>2</v>
      </c>
      <c r="K139" s="76">
        <f t="shared" si="42"/>
        <v>13591.873589</v>
      </c>
      <c r="L139" s="76">
        <f t="shared" si="43"/>
        <v>10169.125943</v>
      </c>
      <c r="M139" s="75">
        <v>2</v>
      </c>
      <c r="N139" s="77">
        <v>0</v>
      </c>
      <c r="O139" s="75">
        <v>0</v>
      </c>
      <c r="P139" s="67">
        <f t="shared" si="44"/>
        <v>880.44</v>
      </c>
      <c r="Q139" s="77">
        <v>10286.308513</v>
      </c>
      <c r="R139" s="67">
        <f t="shared" si="45"/>
        <v>2641.32</v>
      </c>
      <c r="S139" s="67">
        <v>0</v>
      </c>
      <c r="T139" s="76">
        <f t="shared" si="46"/>
        <v>10169.125943</v>
      </c>
      <c r="U139" s="76"/>
      <c r="V139" s="77">
        <v>0</v>
      </c>
      <c r="W139" s="75">
        <v>0</v>
      </c>
      <c r="X139" s="76"/>
      <c r="Y139" s="77">
        <v>2641.647448</v>
      </c>
      <c r="Z139" s="77">
        <v>0</v>
      </c>
      <c r="AA139" s="67">
        <f t="shared" si="47"/>
        <v>0</v>
      </c>
      <c r="AB139" s="77">
        <v>390.713823</v>
      </c>
      <c r="AC139" s="67">
        <f t="shared" si="48"/>
        <v>781.427646</v>
      </c>
      <c r="AD139" s="77">
        <v>0</v>
      </c>
      <c r="AE139" s="67">
        <f t="shared" si="49"/>
        <v>0</v>
      </c>
      <c r="AF139" s="82">
        <v>0</v>
      </c>
      <c r="AG139" s="67">
        <f t="shared" si="50"/>
        <v>0</v>
      </c>
      <c r="AH139" s="77">
        <v>13.104396</v>
      </c>
      <c r="AI139" s="67">
        <f t="shared" si="51"/>
        <v>26.208792</v>
      </c>
      <c r="AJ139" s="77">
        <v>703.205045</v>
      </c>
      <c r="AK139" s="77">
        <v>0</v>
      </c>
      <c r="AL139" s="77">
        <v>0</v>
      </c>
      <c r="AM139" s="77">
        <v>0</v>
      </c>
      <c r="AN139" s="77">
        <v>0</v>
      </c>
      <c r="AO139" s="77">
        <v>6798.064658</v>
      </c>
      <c r="AP139" s="67">
        <f t="shared" si="52"/>
        <v>880.44</v>
      </c>
      <c r="AQ139" s="91">
        <f t="shared" si="53"/>
        <v>0</v>
      </c>
      <c r="AR139" s="91">
        <f t="shared" si="54"/>
        <v>0</v>
      </c>
      <c r="AS139" s="67">
        <f t="shared" si="55"/>
        <v>1.76088</v>
      </c>
      <c r="AT139" s="67">
        <f t="shared" si="56"/>
        <v>0.0550275</v>
      </c>
      <c r="AU139" s="67">
        <f t="shared" si="57"/>
        <v>1.32066</v>
      </c>
      <c r="AV139" s="67">
        <f t="shared" si="58"/>
        <v>0.02751375</v>
      </c>
      <c r="AW139" s="67">
        <f t="shared" si="59"/>
        <v>0.01953569115</v>
      </c>
      <c r="AX139" s="67"/>
      <c r="AY139" s="67"/>
      <c r="AZ139" s="75"/>
    </row>
    <row r="140" spans="1:52">
      <c r="A140" s="64">
        <v>135</v>
      </c>
      <c r="B140" s="65" t="s">
        <v>221</v>
      </c>
      <c r="C140" s="65" t="s">
        <v>221</v>
      </c>
      <c r="D140" s="65" t="s">
        <v>222</v>
      </c>
      <c r="E140" s="65" t="s">
        <v>139</v>
      </c>
      <c r="F140" s="66">
        <v>633.6</v>
      </c>
      <c r="G140" s="67">
        <f t="shared" si="40"/>
        <v>14.3896979008838</v>
      </c>
      <c r="H140" s="67">
        <f t="shared" si="41"/>
        <v>9117.31259</v>
      </c>
      <c r="I140" s="75">
        <v>3</v>
      </c>
      <c r="J140" s="75">
        <v>3</v>
      </c>
      <c r="K140" s="76">
        <f t="shared" si="42"/>
        <v>5314.202801</v>
      </c>
      <c r="L140" s="76">
        <f t="shared" si="43"/>
        <v>1512.602801</v>
      </c>
      <c r="M140" s="75">
        <v>0</v>
      </c>
      <c r="N140" s="77">
        <v>0</v>
      </c>
      <c r="O140" s="75">
        <v>0</v>
      </c>
      <c r="P140" s="67">
        <f t="shared" si="44"/>
        <v>1267.2</v>
      </c>
      <c r="Q140" s="77">
        <v>7604.709789</v>
      </c>
      <c r="R140" s="67">
        <f t="shared" si="45"/>
        <v>3801.6</v>
      </c>
      <c r="S140" s="67">
        <v>0</v>
      </c>
      <c r="T140" s="76">
        <f t="shared" si="46"/>
        <v>1512.602801</v>
      </c>
      <c r="U140" s="76"/>
      <c r="V140" s="77">
        <v>0</v>
      </c>
      <c r="W140" s="75">
        <v>0</v>
      </c>
      <c r="X140" s="76"/>
      <c r="Y140" s="77">
        <v>0</v>
      </c>
      <c r="Z140" s="77">
        <v>0</v>
      </c>
      <c r="AA140" s="67">
        <f t="shared" si="47"/>
        <v>0</v>
      </c>
      <c r="AB140" s="77">
        <v>0</v>
      </c>
      <c r="AC140" s="67">
        <f t="shared" si="48"/>
        <v>0</v>
      </c>
      <c r="AD140" s="77">
        <v>0</v>
      </c>
      <c r="AE140" s="67">
        <f t="shared" si="49"/>
        <v>0</v>
      </c>
      <c r="AF140" s="82">
        <v>0</v>
      </c>
      <c r="AG140" s="67">
        <f t="shared" si="50"/>
        <v>0</v>
      </c>
      <c r="AH140" s="77">
        <v>41.942708</v>
      </c>
      <c r="AI140" s="67">
        <f t="shared" si="51"/>
        <v>83.885416</v>
      </c>
      <c r="AJ140" s="77">
        <v>165.397284</v>
      </c>
      <c r="AK140" s="77">
        <v>0</v>
      </c>
      <c r="AL140" s="77">
        <v>0</v>
      </c>
      <c r="AM140" s="77">
        <v>0</v>
      </c>
      <c r="AN140" s="77">
        <v>0</v>
      </c>
      <c r="AO140" s="77">
        <v>1263.320101</v>
      </c>
      <c r="AP140" s="67">
        <f t="shared" si="52"/>
        <v>1267.2</v>
      </c>
      <c r="AQ140" s="91">
        <f t="shared" si="53"/>
        <v>2.5344</v>
      </c>
      <c r="AR140" s="91">
        <f t="shared" si="54"/>
        <v>0.04224</v>
      </c>
      <c r="AS140" s="67">
        <f t="shared" si="55"/>
        <v>0</v>
      </c>
      <c r="AT140" s="67">
        <f t="shared" si="56"/>
        <v>0</v>
      </c>
      <c r="AU140" s="67">
        <f t="shared" si="57"/>
        <v>1.2672</v>
      </c>
      <c r="AV140" s="67">
        <f t="shared" si="58"/>
        <v>0.0264</v>
      </c>
      <c r="AW140" s="67">
        <f t="shared" si="59"/>
        <v>0</v>
      </c>
      <c r="AX140" s="67"/>
      <c r="AY140" s="67"/>
      <c r="AZ140" s="75"/>
    </row>
    <row r="141" spans="1:52">
      <c r="A141" s="64">
        <v>136</v>
      </c>
      <c r="B141" s="65" t="s">
        <v>102</v>
      </c>
      <c r="C141" s="65" t="s">
        <v>102</v>
      </c>
      <c r="D141" s="65" t="s">
        <v>92</v>
      </c>
      <c r="E141" s="65" t="s">
        <v>111</v>
      </c>
      <c r="F141" s="66">
        <v>215.19</v>
      </c>
      <c r="G141" s="67">
        <f t="shared" si="40"/>
        <v>28.5044363028022</v>
      </c>
      <c r="H141" s="67">
        <f t="shared" si="41"/>
        <v>6133.869648</v>
      </c>
      <c r="I141" s="75">
        <v>2</v>
      </c>
      <c r="J141" s="75">
        <v>2</v>
      </c>
      <c r="K141" s="76">
        <f t="shared" si="42"/>
        <v>4229.461533</v>
      </c>
      <c r="L141" s="76">
        <f t="shared" si="43"/>
        <v>2938.321533</v>
      </c>
      <c r="M141" s="75">
        <v>2</v>
      </c>
      <c r="N141" s="77">
        <v>0</v>
      </c>
      <c r="O141" s="75">
        <v>0</v>
      </c>
      <c r="P141" s="67">
        <f t="shared" si="44"/>
        <v>430.38</v>
      </c>
      <c r="Q141" s="77">
        <v>3195.548115</v>
      </c>
      <c r="R141" s="67">
        <f t="shared" si="45"/>
        <v>1291.14</v>
      </c>
      <c r="S141" s="67">
        <v>0</v>
      </c>
      <c r="T141" s="76">
        <f t="shared" si="46"/>
        <v>2938.321533</v>
      </c>
      <c r="U141" s="76"/>
      <c r="V141" s="77">
        <v>0</v>
      </c>
      <c r="W141" s="75">
        <v>0</v>
      </c>
      <c r="X141" s="76"/>
      <c r="Y141" s="77">
        <v>1076.417928</v>
      </c>
      <c r="Z141" s="77">
        <v>0</v>
      </c>
      <c r="AA141" s="67">
        <f t="shared" si="47"/>
        <v>0</v>
      </c>
      <c r="AB141" s="77">
        <v>0</v>
      </c>
      <c r="AC141" s="67">
        <f t="shared" si="48"/>
        <v>0</v>
      </c>
      <c r="AD141" s="77">
        <v>0</v>
      </c>
      <c r="AE141" s="67">
        <f t="shared" si="49"/>
        <v>0</v>
      </c>
      <c r="AF141" s="82">
        <v>0</v>
      </c>
      <c r="AG141" s="67">
        <f t="shared" si="50"/>
        <v>0</v>
      </c>
      <c r="AH141" s="77">
        <v>0</v>
      </c>
      <c r="AI141" s="67">
        <f t="shared" si="51"/>
        <v>0</v>
      </c>
      <c r="AJ141" s="77">
        <v>1302.498944</v>
      </c>
      <c r="AK141" s="77">
        <v>0</v>
      </c>
      <c r="AL141" s="77">
        <v>0</v>
      </c>
      <c r="AM141" s="77">
        <v>0</v>
      </c>
      <c r="AN141" s="77">
        <v>0</v>
      </c>
      <c r="AO141" s="77">
        <v>559.404661</v>
      </c>
      <c r="AP141" s="67">
        <f t="shared" si="52"/>
        <v>430.38</v>
      </c>
      <c r="AQ141" s="91">
        <f t="shared" si="53"/>
        <v>0</v>
      </c>
      <c r="AR141" s="91">
        <f t="shared" si="54"/>
        <v>0</v>
      </c>
      <c r="AS141" s="67">
        <f t="shared" si="55"/>
        <v>0.86076</v>
      </c>
      <c r="AT141" s="67">
        <f t="shared" si="56"/>
        <v>0.02689875</v>
      </c>
      <c r="AU141" s="67">
        <f t="shared" si="57"/>
        <v>0.64557</v>
      </c>
      <c r="AV141" s="67">
        <f t="shared" si="58"/>
        <v>0.013449375</v>
      </c>
      <c r="AW141" s="67">
        <f t="shared" si="59"/>
        <v>0</v>
      </c>
      <c r="AX141" s="67"/>
      <c r="AY141" s="67"/>
      <c r="AZ141" s="75"/>
    </row>
    <row r="142" spans="1:52">
      <c r="A142" s="64">
        <v>137</v>
      </c>
      <c r="B142" s="65" t="s">
        <v>102</v>
      </c>
      <c r="C142" s="65" t="s">
        <v>102</v>
      </c>
      <c r="D142" s="65" t="s">
        <v>223</v>
      </c>
      <c r="E142" s="65" t="s">
        <v>93</v>
      </c>
      <c r="F142" s="66">
        <v>239.95</v>
      </c>
      <c r="G142" s="67">
        <f t="shared" si="40"/>
        <v>20.7750280808502</v>
      </c>
      <c r="H142" s="67">
        <f t="shared" si="41"/>
        <v>4984.967988</v>
      </c>
      <c r="I142" s="75">
        <v>2</v>
      </c>
      <c r="J142" s="75">
        <v>2</v>
      </c>
      <c r="K142" s="76">
        <f t="shared" si="42"/>
        <v>2681.972073</v>
      </c>
      <c r="L142" s="76">
        <f t="shared" si="43"/>
        <v>1242.272073</v>
      </c>
      <c r="M142" s="75">
        <v>2</v>
      </c>
      <c r="N142" s="77">
        <v>0</v>
      </c>
      <c r="O142" s="75">
        <v>0</v>
      </c>
      <c r="P142" s="67">
        <f t="shared" si="44"/>
        <v>479.9</v>
      </c>
      <c r="Q142" s="77">
        <v>3742.695915</v>
      </c>
      <c r="R142" s="67">
        <f t="shared" si="45"/>
        <v>1439.7</v>
      </c>
      <c r="S142" s="67">
        <v>0</v>
      </c>
      <c r="T142" s="76">
        <f t="shared" si="46"/>
        <v>1242.272073</v>
      </c>
      <c r="U142" s="76"/>
      <c r="V142" s="77">
        <v>0</v>
      </c>
      <c r="W142" s="75">
        <v>0</v>
      </c>
      <c r="X142" s="76"/>
      <c r="Y142" s="77">
        <v>1242.272073</v>
      </c>
      <c r="Z142" s="77">
        <v>0</v>
      </c>
      <c r="AA142" s="67">
        <f t="shared" si="47"/>
        <v>0</v>
      </c>
      <c r="AB142" s="77">
        <v>0</v>
      </c>
      <c r="AC142" s="67">
        <f t="shared" si="48"/>
        <v>0</v>
      </c>
      <c r="AD142" s="77">
        <v>0</v>
      </c>
      <c r="AE142" s="67">
        <f t="shared" si="49"/>
        <v>0</v>
      </c>
      <c r="AF142" s="82">
        <v>0</v>
      </c>
      <c r="AG142" s="67">
        <f t="shared" si="50"/>
        <v>0</v>
      </c>
      <c r="AH142" s="77">
        <v>0</v>
      </c>
      <c r="AI142" s="67">
        <f t="shared" si="51"/>
        <v>0</v>
      </c>
      <c r="AJ142" s="77">
        <v>0</v>
      </c>
      <c r="AK142" s="77">
        <v>0</v>
      </c>
      <c r="AL142" s="77">
        <v>0</v>
      </c>
      <c r="AM142" s="77">
        <v>0</v>
      </c>
      <c r="AN142" s="77">
        <v>0</v>
      </c>
      <c r="AO142" s="77">
        <v>0</v>
      </c>
      <c r="AP142" s="67">
        <f t="shared" si="52"/>
        <v>479.9</v>
      </c>
      <c r="AQ142" s="91">
        <f t="shared" si="53"/>
        <v>0</v>
      </c>
      <c r="AR142" s="91">
        <f t="shared" si="54"/>
        <v>0</v>
      </c>
      <c r="AS142" s="67">
        <f t="shared" si="55"/>
        <v>0.9598</v>
      </c>
      <c r="AT142" s="67">
        <f t="shared" si="56"/>
        <v>0.02999375</v>
      </c>
      <c r="AU142" s="67">
        <f t="shared" si="57"/>
        <v>0.71985</v>
      </c>
      <c r="AV142" s="67">
        <f t="shared" si="58"/>
        <v>0.014996875</v>
      </c>
      <c r="AW142" s="67">
        <f t="shared" si="59"/>
        <v>0</v>
      </c>
      <c r="AX142" s="67"/>
      <c r="AY142" s="67"/>
      <c r="AZ142" s="75"/>
    </row>
    <row r="143" spans="1:52">
      <c r="A143" s="64">
        <v>138</v>
      </c>
      <c r="B143" s="65" t="s">
        <v>102</v>
      </c>
      <c r="C143" s="65" t="s">
        <v>102</v>
      </c>
      <c r="D143" s="65" t="s">
        <v>114</v>
      </c>
      <c r="E143" s="65" t="s">
        <v>111</v>
      </c>
      <c r="F143" s="66">
        <v>529.9</v>
      </c>
      <c r="G143" s="67">
        <f t="shared" si="40"/>
        <v>16.5551228533686</v>
      </c>
      <c r="H143" s="67">
        <f t="shared" si="41"/>
        <v>8772.5596</v>
      </c>
      <c r="I143" s="75">
        <v>2</v>
      </c>
      <c r="J143" s="75">
        <v>2</v>
      </c>
      <c r="K143" s="76">
        <f t="shared" si="42"/>
        <v>6809.826223</v>
      </c>
      <c r="L143" s="76">
        <f t="shared" si="43"/>
        <v>3630.426223</v>
      </c>
      <c r="M143" s="75">
        <v>2</v>
      </c>
      <c r="N143" s="77">
        <v>0</v>
      </c>
      <c r="O143" s="75">
        <v>0</v>
      </c>
      <c r="P143" s="67">
        <f t="shared" si="44"/>
        <v>1059.8</v>
      </c>
      <c r="Q143" s="77">
        <v>5142.133377</v>
      </c>
      <c r="R143" s="67">
        <f t="shared" si="45"/>
        <v>3179.4</v>
      </c>
      <c r="S143" s="67">
        <v>0</v>
      </c>
      <c r="T143" s="76">
        <f t="shared" si="46"/>
        <v>3630.426223</v>
      </c>
      <c r="U143" s="76"/>
      <c r="V143" s="77">
        <v>0</v>
      </c>
      <c r="W143" s="75">
        <v>0</v>
      </c>
      <c r="X143" s="76"/>
      <c r="Y143" s="77">
        <v>1157.860906</v>
      </c>
      <c r="Z143" s="77">
        <v>17.572911</v>
      </c>
      <c r="AA143" s="67">
        <f t="shared" si="47"/>
        <v>35.145822</v>
      </c>
      <c r="AB143" s="77">
        <v>0</v>
      </c>
      <c r="AC143" s="67">
        <f t="shared" si="48"/>
        <v>0</v>
      </c>
      <c r="AD143" s="77">
        <v>0</v>
      </c>
      <c r="AE143" s="67">
        <f t="shared" si="49"/>
        <v>0</v>
      </c>
      <c r="AF143" s="82">
        <v>0</v>
      </c>
      <c r="AG143" s="67">
        <f t="shared" si="50"/>
        <v>0</v>
      </c>
      <c r="AH143" s="77">
        <v>0</v>
      </c>
      <c r="AI143" s="67">
        <f t="shared" si="51"/>
        <v>0</v>
      </c>
      <c r="AJ143" s="77">
        <v>503.553367</v>
      </c>
      <c r="AK143" s="77">
        <v>0</v>
      </c>
      <c r="AL143" s="77">
        <v>0</v>
      </c>
      <c r="AM143" s="77">
        <v>0</v>
      </c>
      <c r="AN143" s="77">
        <v>0</v>
      </c>
      <c r="AO143" s="77">
        <v>1933.866128</v>
      </c>
      <c r="AP143" s="67">
        <f t="shared" si="52"/>
        <v>1059.8</v>
      </c>
      <c r="AQ143" s="91">
        <f t="shared" si="53"/>
        <v>0</v>
      </c>
      <c r="AR143" s="91">
        <f t="shared" si="54"/>
        <v>0</v>
      </c>
      <c r="AS143" s="67">
        <f t="shared" si="55"/>
        <v>2.1196</v>
      </c>
      <c r="AT143" s="67">
        <f t="shared" si="56"/>
        <v>0.0662375</v>
      </c>
      <c r="AU143" s="67">
        <f t="shared" si="57"/>
        <v>1.5897</v>
      </c>
      <c r="AV143" s="67">
        <f t="shared" si="58"/>
        <v>0.03311875</v>
      </c>
      <c r="AW143" s="67">
        <f t="shared" si="59"/>
        <v>0.00087864555</v>
      </c>
      <c r="AX143" s="67"/>
      <c r="AY143" s="67"/>
      <c r="AZ143" s="75"/>
    </row>
    <row r="144" spans="1:52">
      <c r="A144" s="64">
        <v>139</v>
      </c>
      <c r="B144" s="65" t="s">
        <v>102</v>
      </c>
      <c r="C144" s="65" t="s">
        <v>102</v>
      </c>
      <c r="D144" s="65" t="s">
        <v>88</v>
      </c>
      <c r="E144" s="65" t="s">
        <v>223</v>
      </c>
      <c r="F144" s="66">
        <v>235.24</v>
      </c>
      <c r="G144" s="67">
        <f t="shared" si="40"/>
        <v>24.5172937170549</v>
      </c>
      <c r="H144" s="67">
        <f t="shared" si="41"/>
        <v>5767.448174</v>
      </c>
      <c r="I144" s="75">
        <v>2</v>
      </c>
      <c r="J144" s="75">
        <v>2</v>
      </c>
      <c r="K144" s="76">
        <f t="shared" si="42"/>
        <v>3570.48475</v>
      </c>
      <c r="L144" s="76">
        <f t="shared" si="43"/>
        <v>2159.04475</v>
      </c>
      <c r="M144" s="75">
        <v>2</v>
      </c>
      <c r="N144" s="77">
        <v>0</v>
      </c>
      <c r="O144" s="75">
        <v>0</v>
      </c>
      <c r="P144" s="67">
        <f t="shared" si="44"/>
        <v>470.48</v>
      </c>
      <c r="Q144" s="77">
        <v>3608.403424</v>
      </c>
      <c r="R144" s="67">
        <f t="shared" si="45"/>
        <v>1411.44</v>
      </c>
      <c r="S144" s="67">
        <v>0</v>
      </c>
      <c r="T144" s="76">
        <f t="shared" si="46"/>
        <v>2159.04475</v>
      </c>
      <c r="U144" s="76"/>
      <c r="V144" s="77">
        <v>0</v>
      </c>
      <c r="W144" s="75">
        <v>0</v>
      </c>
      <c r="X144" s="76"/>
      <c r="Y144" s="77">
        <v>1205.169333</v>
      </c>
      <c r="Z144" s="77">
        <v>0</v>
      </c>
      <c r="AA144" s="67">
        <f t="shared" si="47"/>
        <v>0</v>
      </c>
      <c r="AB144" s="77">
        <v>0</v>
      </c>
      <c r="AC144" s="67">
        <f t="shared" si="48"/>
        <v>0</v>
      </c>
      <c r="AD144" s="77">
        <v>0</v>
      </c>
      <c r="AE144" s="67">
        <f t="shared" si="49"/>
        <v>0</v>
      </c>
      <c r="AF144" s="82">
        <v>0</v>
      </c>
      <c r="AG144" s="67">
        <f t="shared" si="50"/>
        <v>0</v>
      </c>
      <c r="AH144" s="77">
        <v>0</v>
      </c>
      <c r="AI144" s="67">
        <f t="shared" si="51"/>
        <v>0</v>
      </c>
      <c r="AJ144" s="77">
        <v>365.948164</v>
      </c>
      <c r="AK144" s="77">
        <v>0</v>
      </c>
      <c r="AL144" s="77">
        <v>0</v>
      </c>
      <c r="AM144" s="77">
        <v>0</v>
      </c>
      <c r="AN144" s="77">
        <v>0</v>
      </c>
      <c r="AO144" s="77">
        <v>587.927253</v>
      </c>
      <c r="AP144" s="67">
        <f t="shared" si="52"/>
        <v>470.48</v>
      </c>
      <c r="AQ144" s="91">
        <f t="shared" si="53"/>
        <v>0</v>
      </c>
      <c r="AR144" s="91">
        <f t="shared" si="54"/>
        <v>0</v>
      </c>
      <c r="AS144" s="67">
        <f t="shared" si="55"/>
        <v>0.94096</v>
      </c>
      <c r="AT144" s="67">
        <f t="shared" si="56"/>
        <v>0.029405</v>
      </c>
      <c r="AU144" s="67">
        <f t="shared" si="57"/>
        <v>0.70572</v>
      </c>
      <c r="AV144" s="67">
        <f t="shared" si="58"/>
        <v>0.0147025</v>
      </c>
      <c r="AW144" s="67">
        <f t="shared" si="59"/>
        <v>0</v>
      </c>
      <c r="AX144" s="67"/>
      <c r="AY144" s="67"/>
      <c r="AZ144" s="75"/>
    </row>
    <row r="145" spans="1:52">
      <c r="A145" s="64">
        <v>140</v>
      </c>
      <c r="B145" s="65" t="s">
        <v>97</v>
      </c>
      <c r="C145" s="65" t="s">
        <v>97</v>
      </c>
      <c r="D145" s="65" t="s">
        <v>114</v>
      </c>
      <c r="E145" s="65" t="s">
        <v>88</v>
      </c>
      <c r="F145" s="66">
        <v>441.84</v>
      </c>
      <c r="G145" s="67">
        <f t="shared" si="40"/>
        <v>17.5895766567083</v>
      </c>
      <c r="H145" s="67">
        <f t="shared" si="41"/>
        <v>7771.77855</v>
      </c>
      <c r="I145" s="75">
        <v>2</v>
      </c>
      <c r="J145" s="75">
        <v>2</v>
      </c>
      <c r="K145" s="76">
        <f t="shared" si="42"/>
        <v>6288.208551</v>
      </c>
      <c r="L145" s="76">
        <f t="shared" si="43"/>
        <v>3637.168551</v>
      </c>
      <c r="M145" s="75">
        <v>0</v>
      </c>
      <c r="N145" s="77">
        <v>0</v>
      </c>
      <c r="O145" s="75">
        <v>0</v>
      </c>
      <c r="P145" s="67">
        <f t="shared" si="44"/>
        <v>883.68</v>
      </c>
      <c r="Q145" s="77">
        <v>4134.609999</v>
      </c>
      <c r="R145" s="67">
        <f t="shared" si="45"/>
        <v>2651.04</v>
      </c>
      <c r="S145" s="67">
        <v>0</v>
      </c>
      <c r="T145" s="76">
        <f t="shared" si="46"/>
        <v>3637.168551</v>
      </c>
      <c r="U145" s="76"/>
      <c r="V145" s="77">
        <v>0</v>
      </c>
      <c r="W145" s="75">
        <v>0</v>
      </c>
      <c r="X145" s="76"/>
      <c r="Y145" s="77">
        <v>2129.204172</v>
      </c>
      <c r="Z145" s="77">
        <v>0</v>
      </c>
      <c r="AA145" s="67">
        <f t="shared" si="47"/>
        <v>0</v>
      </c>
      <c r="AB145" s="77">
        <v>0</v>
      </c>
      <c r="AC145" s="67">
        <f t="shared" si="48"/>
        <v>0</v>
      </c>
      <c r="AD145" s="77">
        <v>0</v>
      </c>
      <c r="AE145" s="67">
        <f t="shared" si="49"/>
        <v>0</v>
      </c>
      <c r="AF145" s="82">
        <v>0</v>
      </c>
      <c r="AG145" s="67">
        <f t="shared" si="50"/>
        <v>0</v>
      </c>
      <c r="AH145" s="77">
        <v>0</v>
      </c>
      <c r="AI145" s="67">
        <f t="shared" si="51"/>
        <v>0</v>
      </c>
      <c r="AJ145" s="77">
        <v>742.536855</v>
      </c>
      <c r="AK145" s="77">
        <v>0</v>
      </c>
      <c r="AL145" s="77">
        <v>0</v>
      </c>
      <c r="AM145" s="77">
        <v>0</v>
      </c>
      <c r="AN145" s="77">
        <v>0</v>
      </c>
      <c r="AO145" s="77">
        <v>765.427524</v>
      </c>
      <c r="AP145" s="67">
        <f t="shared" si="52"/>
        <v>883.68</v>
      </c>
      <c r="AQ145" s="91">
        <f t="shared" si="53"/>
        <v>0</v>
      </c>
      <c r="AR145" s="91">
        <f t="shared" si="54"/>
        <v>0</v>
      </c>
      <c r="AS145" s="67">
        <f t="shared" si="55"/>
        <v>1.76736</v>
      </c>
      <c r="AT145" s="67">
        <f t="shared" si="56"/>
        <v>0.05523</v>
      </c>
      <c r="AU145" s="67">
        <f t="shared" si="57"/>
        <v>1.32552</v>
      </c>
      <c r="AV145" s="67">
        <f t="shared" si="58"/>
        <v>0.027615</v>
      </c>
      <c r="AW145" s="67">
        <f t="shared" si="59"/>
        <v>0</v>
      </c>
      <c r="AX145" s="67"/>
      <c r="AY145" s="67"/>
      <c r="AZ145" s="75"/>
    </row>
    <row r="146" spans="1:52">
      <c r="A146" s="64">
        <v>141</v>
      </c>
      <c r="B146" s="65" t="s">
        <v>142</v>
      </c>
      <c r="C146" s="65" t="s">
        <v>142</v>
      </c>
      <c r="D146" s="65" t="s">
        <v>80</v>
      </c>
      <c r="E146" s="65" t="s">
        <v>135</v>
      </c>
      <c r="F146" s="66">
        <v>492.57</v>
      </c>
      <c r="G146" s="67">
        <f t="shared" si="40"/>
        <v>28.8352506933025</v>
      </c>
      <c r="H146" s="67">
        <f t="shared" si="41"/>
        <v>14203.379434</v>
      </c>
      <c r="I146" s="75">
        <v>3</v>
      </c>
      <c r="J146" s="75">
        <v>3</v>
      </c>
      <c r="K146" s="76">
        <f t="shared" si="42"/>
        <v>11165.04362</v>
      </c>
      <c r="L146" s="76">
        <f t="shared" si="43"/>
        <v>8209.62362</v>
      </c>
      <c r="M146" s="75">
        <v>0</v>
      </c>
      <c r="N146" s="77">
        <v>0</v>
      </c>
      <c r="O146" s="75">
        <v>0</v>
      </c>
      <c r="P146" s="67">
        <f t="shared" si="44"/>
        <v>985.14</v>
      </c>
      <c r="Q146" s="77">
        <v>5993.755814</v>
      </c>
      <c r="R146" s="67">
        <f t="shared" si="45"/>
        <v>2955.42</v>
      </c>
      <c r="S146" s="67">
        <v>0</v>
      </c>
      <c r="T146" s="76">
        <f t="shared" si="46"/>
        <v>8209.62362</v>
      </c>
      <c r="U146" s="76"/>
      <c r="V146" s="77">
        <v>0</v>
      </c>
      <c r="W146" s="75">
        <v>0</v>
      </c>
      <c r="X146" s="76"/>
      <c r="Y146" s="77">
        <v>0</v>
      </c>
      <c r="Z146" s="77">
        <v>0</v>
      </c>
      <c r="AA146" s="67">
        <f t="shared" si="47"/>
        <v>0</v>
      </c>
      <c r="AB146" s="77">
        <v>0</v>
      </c>
      <c r="AC146" s="67">
        <f t="shared" si="48"/>
        <v>0</v>
      </c>
      <c r="AD146" s="77">
        <v>0</v>
      </c>
      <c r="AE146" s="67">
        <f t="shared" si="49"/>
        <v>0</v>
      </c>
      <c r="AF146" s="82">
        <v>0</v>
      </c>
      <c r="AG146" s="67">
        <f t="shared" si="50"/>
        <v>0</v>
      </c>
      <c r="AH146" s="77">
        <v>0</v>
      </c>
      <c r="AI146" s="67">
        <f t="shared" si="51"/>
        <v>0</v>
      </c>
      <c r="AJ146" s="77">
        <v>440.696531</v>
      </c>
      <c r="AK146" s="77">
        <v>0</v>
      </c>
      <c r="AL146" s="77">
        <v>0</v>
      </c>
      <c r="AM146" s="77">
        <v>0</v>
      </c>
      <c r="AN146" s="77">
        <v>0</v>
      </c>
      <c r="AO146" s="77">
        <v>7768.927089</v>
      </c>
      <c r="AP146" s="67">
        <f t="shared" si="52"/>
        <v>985.14</v>
      </c>
      <c r="AQ146" s="91">
        <f t="shared" si="53"/>
        <v>1.97028</v>
      </c>
      <c r="AR146" s="91">
        <f t="shared" si="54"/>
        <v>0.032838</v>
      </c>
      <c r="AS146" s="67">
        <f t="shared" si="55"/>
        <v>0</v>
      </c>
      <c r="AT146" s="67">
        <f t="shared" si="56"/>
        <v>0</v>
      </c>
      <c r="AU146" s="67">
        <f t="shared" si="57"/>
        <v>0.98514</v>
      </c>
      <c r="AV146" s="67">
        <f t="shared" si="58"/>
        <v>0.02052375</v>
      </c>
      <c r="AW146" s="67">
        <f t="shared" si="59"/>
        <v>0</v>
      </c>
      <c r="AX146" s="67"/>
      <c r="AY146" s="67"/>
      <c r="AZ146" s="75"/>
    </row>
    <row r="147" spans="1:52">
      <c r="A147" s="64">
        <v>142</v>
      </c>
      <c r="B147" s="65" t="s">
        <v>144</v>
      </c>
      <c r="C147" s="65" t="s">
        <v>144</v>
      </c>
      <c r="D147" s="65" t="s">
        <v>80</v>
      </c>
      <c r="E147" s="65" t="s">
        <v>135</v>
      </c>
      <c r="F147" s="66">
        <v>480.07</v>
      </c>
      <c r="G147" s="67">
        <f t="shared" si="40"/>
        <v>25.1183491490824</v>
      </c>
      <c r="H147" s="67">
        <f t="shared" si="41"/>
        <v>12058.565876</v>
      </c>
      <c r="I147" s="75">
        <v>3</v>
      </c>
      <c r="J147" s="75">
        <v>3</v>
      </c>
      <c r="K147" s="76">
        <f t="shared" si="42"/>
        <v>9057.827824</v>
      </c>
      <c r="L147" s="76">
        <f t="shared" si="43"/>
        <v>6177.407824</v>
      </c>
      <c r="M147" s="75">
        <v>2</v>
      </c>
      <c r="N147" s="77">
        <v>0</v>
      </c>
      <c r="O147" s="75">
        <v>0</v>
      </c>
      <c r="P147" s="67">
        <f t="shared" si="44"/>
        <v>960.14</v>
      </c>
      <c r="Q147" s="77">
        <v>5881.158052</v>
      </c>
      <c r="R147" s="67">
        <f t="shared" si="45"/>
        <v>2880.42</v>
      </c>
      <c r="S147" s="67">
        <v>0</v>
      </c>
      <c r="T147" s="76">
        <f t="shared" si="46"/>
        <v>6177.407824</v>
      </c>
      <c r="U147" s="76"/>
      <c r="V147" s="77">
        <v>0</v>
      </c>
      <c r="W147" s="75">
        <v>0</v>
      </c>
      <c r="X147" s="76"/>
      <c r="Y147" s="77">
        <v>0</v>
      </c>
      <c r="Z147" s="77">
        <v>0</v>
      </c>
      <c r="AA147" s="67">
        <f t="shared" si="47"/>
        <v>0</v>
      </c>
      <c r="AB147" s="77">
        <v>0</v>
      </c>
      <c r="AC147" s="67">
        <f t="shared" si="48"/>
        <v>0</v>
      </c>
      <c r="AD147" s="77">
        <v>0</v>
      </c>
      <c r="AE147" s="67">
        <f t="shared" si="49"/>
        <v>0</v>
      </c>
      <c r="AF147" s="82">
        <v>0</v>
      </c>
      <c r="AG147" s="67">
        <f t="shared" si="50"/>
        <v>0</v>
      </c>
      <c r="AH147" s="77">
        <v>0</v>
      </c>
      <c r="AI147" s="67">
        <f t="shared" si="51"/>
        <v>0</v>
      </c>
      <c r="AJ147" s="77">
        <v>146.132633</v>
      </c>
      <c r="AK147" s="77">
        <v>0</v>
      </c>
      <c r="AL147" s="77">
        <v>0</v>
      </c>
      <c r="AM147" s="77">
        <v>0</v>
      </c>
      <c r="AN147" s="77">
        <v>0</v>
      </c>
      <c r="AO147" s="77">
        <v>6031.275191</v>
      </c>
      <c r="AP147" s="67">
        <f t="shared" si="52"/>
        <v>960.14</v>
      </c>
      <c r="AQ147" s="91">
        <f t="shared" si="53"/>
        <v>1.92028</v>
      </c>
      <c r="AR147" s="91">
        <f t="shared" si="54"/>
        <v>0.0320046666666667</v>
      </c>
      <c r="AS147" s="67">
        <f t="shared" si="55"/>
        <v>0</v>
      </c>
      <c r="AT147" s="67">
        <f t="shared" si="56"/>
        <v>0</v>
      </c>
      <c r="AU147" s="67">
        <f t="shared" si="57"/>
        <v>0.96014</v>
      </c>
      <c r="AV147" s="67">
        <f t="shared" si="58"/>
        <v>0.0200029166666667</v>
      </c>
      <c r="AW147" s="67">
        <f t="shared" si="59"/>
        <v>0</v>
      </c>
      <c r="AX147" s="67"/>
      <c r="AY147" s="67"/>
      <c r="AZ147" s="75"/>
    </row>
    <row r="148" spans="1:52">
      <c r="A148" s="64">
        <v>143</v>
      </c>
      <c r="B148" s="65" t="s">
        <v>224</v>
      </c>
      <c r="C148" s="65" t="s">
        <v>224</v>
      </c>
      <c r="D148" s="65" t="s">
        <v>92</v>
      </c>
      <c r="E148" s="65" t="s">
        <v>87</v>
      </c>
      <c r="F148" s="66">
        <v>498.68</v>
      </c>
      <c r="G148" s="67">
        <f t="shared" si="40"/>
        <v>26.9375388345231</v>
      </c>
      <c r="H148" s="67">
        <f t="shared" si="41"/>
        <v>13433.211866</v>
      </c>
      <c r="I148" s="75">
        <v>3</v>
      </c>
      <c r="J148" s="75">
        <v>3</v>
      </c>
      <c r="K148" s="76">
        <f t="shared" si="42"/>
        <v>8908.004793</v>
      </c>
      <c r="L148" s="76">
        <f t="shared" si="43"/>
        <v>5915.924793</v>
      </c>
      <c r="M148" s="75">
        <v>2</v>
      </c>
      <c r="N148" s="77">
        <v>0</v>
      </c>
      <c r="O148" s="75">
        <v>0</v>
      </c>
      <c r="P148" s="67">
        <f t="shared" si="44"/>
        <v>997.36</v>
      </c>
      <c r="Q148" s="77">
        <v>7517.287073</v>
      </c>
      <c r="R148" s="67">
        <f t="shared" si="45"/>
        <v>2992.08</v>
      </c>
      <c r="S148" s="67">
        <v>0</v>
      </c>
      <c r="T148" s="76">
        <f t="shared" si="46"/>
        <v>5915.924793</v>
      </c>
      <c r="U148" s="76"/>
      <c r="V148" s="77">
        <v>0</v>
      </c>
      <c r="W148" s="75">
        <v>0</v>
      </c>
      <c r="X148" s="76"/>
      <c r="Y148" s="77">
        <v>2542.182314</v>
      </c>
      <c r="Z148" s="77">
        <v>40.083814</v>
      </c>
      <c r="AA148" s="67">
        <f t="shared" si="47"/>
        <v>80.167628</v>
      </c>
      <c r="AB148" s="77">
        <v>0</v>
      </c>
      <c r="AC148" s="67">
        <f t="shared" si="48"/>
        <v>0</v>
      </c>
      <c r="AD148" s="77">
        <v>0</v>
      </c>
      <c r="AE148" s="67">
        <f t="shared" si="49"/>
        <v>0</v>
      </c>
      <c r="AF148" s="82">
        <v>0</v>
      </c>
      <c r="AG148" s="67">
        <f t="shared" si="50"/>
        <v>0</v>
      </c>
      <c r="AH148" s="77">
        <v>0</v>
      </c>
      <c r="AI148" s="67">
        <f t="shared" si="51"/>
        <v>0</v>
      </c>
      <c r="AJ148" s="77">
        <v>194.613351</v>
      </c>
      <c r="AK148" s="77">
        <v>0</v>
      </c>
      <c r="AL148" s="77">
        <v>0</v>
      </c>
      <c r="AM148" s="77">
        <v>0</v>
      </c>
      <c r="AN148" s="77">
        <v>0</v>
      </c>
      <c r="AO148" s="77">
        <v>3098.9615</v>
      </c>
      <c r="AP148" s="67">
        <f t="shared" si="52"/>
        <v>997.36</v>
      </c>
      <c r="AQ148" s="91">
        <f t="shared" si="53"/>
        <v>1.99472</v>
      </c>
      <c r="AR148" s="91">
        <f t="shared" si="54"/>
        <v>0.0332453333333333</v>
      </c>
      <c r="AS148" s="67">
        <f t="shared" si="55"/>
        <v>0</v>
      </c>
      <c r="AT148" s="67">
        <f t="shared" si="56"/>
        <v>0</v>
      </c>
      <c r="AU148" s="67">
        <f t="shared" si="57"/>
        <v>0.99736</v>
      </c>
      <c r="AV148" s="67">
        <f t="shared" si="58"/>
        <v>0.0207783333333333</v>
      </c>
      <c r="AW148" s="67">
        <f t="shared" si="59"/>
        <v>0.0020041907</v>
      </c>
      <c r="AX148" s="67"/>
      <c r="AY148" s="67"/>
      <c r="AZ148" s="75"/>
    </row>
    <row r="149" spans="1:52">
      <c r="A149" s="64">
        <v>144</v>
      </c>
      <c r="B149" s="65" t="s">
        <v>225</v>
      </c>
      <c r="C149" s="65" t="s">
        <v>225</v>
      </c>
      <c r="D149" s="65" t="s">
        <v>226</v>
      </c>
      <c r="E149" s="65" t="s">
        <v>227</v>
      </c>
      <c r="F149" s="66">
        <v>51.87</v>
      </c>
      <c r="G149" s="67">
        <f t="shared" si="40"/>
        <v>5.25190618854829</v>
      </c>
      <c r="H149" s="67">
        <f t="shared" si="41"/>
        <v>272.416374</v>
      </c>
      <c r="I149" s="75">
        <v>3</v>
      </c>
      <c r="J149" s="75">
        <v>3</v>
      </c>
      <c r="K149" s="76">
        <f t="shared" si="42"/>
        <v>360.971888</v>
      </c>
      <c r="L149" s="76">
        <f t="shared" si="43"/>
        <v>49.751888</v>
      </c>
      <c r="M149" s="75">
        <v>0</v>
      </c>
      <c r="N149" s="77">
        <v>0</v>
      </c>
      <c r="O149" s="75">
        <v>0</v>
      </c>
      <c r="P149" s="67">
        <f t="shared" si="44"/>
        <v>103.74</v>
      </c>
      <c r="Q149" s="77">
        <v>222.664486</v>
      </c>
      <c r="R149" s="67">
        <f t="shared" si="45"/>
        <v>311.22</v>
      </c>
      <c r="S149" s="67">
        <v>0</v>
      </c>
      <c r="T149" s="76">
        <f t="shared" si="46"/>
        <v>49.751888</v>
      </c>
      <c r="U149" s="76"/>
      <c r="V149" s="77">
        <v>0</v>
      </c>
      <c r="W149" s="75">
        <v>0</v>
      </c>
      <c r="X149" s="76"/>
      <c r="Y149" s="77">
        <v>0</v>
      </c>
      <c r="Z149" s="77">
        <v>0</v>
      </c>
      <c r="AA149" s="67">
        <f t="shared" si="47"/>
        <v>0</v>
      </c>
      <c r="AB149" s="77">
        <v>0</v>
      </c>
      <c r="AC149" s="67">
        <f t="shared" si="48"/>
        <v>0</v>
      </c>
      <c r="AD149" s="77">
        <v>0</v>
      </c>
      <c r="AE149" s="67">
        <f t="shared" si="49"/>
        <v>0</v>
      </c>
      <c r="AF149" s="82">
        <v>0</v>
      </c>
      <c r="AG149" s="67">
        <f t="shared" si="50"/>
        <v>0</v>
      </c>
      <c r="AH149" s="77">
        <v>0</v>
      </c>
      <c r="AI149" s="67">
        <f t="shared" si="51"/>
        <v>0</v>
      </c>
      <c r="AJ149" s="77">
        <v>0</v>
      </c>
      <c r="AK149" s="77">
        <v>0</v>
      </c>
      <c r="AL149" s="77">
        <v>0</v>
      </c>
      <c r="AM149" s="77">
        <v>0</v>
      </c>
      <c r="AN149" s="77">
        <v>0</v>
      </c>
      <c r="AO149" s="77">
        <v>49.751888</v>
      </c>
      <c r="AP149" s="67">
        <f t="shared" si="52"/>
        <v>103.74</v>
      </c>
      <c r="AQ149" s="91">
        <f t="shared" si="53"/>
        <v>0.20748</v>
      </c>
      <c r="AR149" s="91">
        <f t="shared" si="54"/>
        <v>0.003458</v>
      </c>
      <c r="AS149" s="67">
        <f t="shared" si="55"/>
        <v>0</v>
      </c>
      <c r="AT149" s="67">
        <f t="shared" si="56"/>
        <v>0</v>
      </c>
      <c r="AU149" s="67">
        <f t="shared" si="57"/>
        <v>0.10374</v>
      </c>
      <c r="AV149" s="67">
        <f t="shared" si="58"/>
        <v>0.00216125</v>
      </c>
      <c r="AW149" s="67">
        <f t="shared" si="59"/>
        <v>0</v>
      </c>
      <c r="AX149" s="67"/>
      <c r="AY149" s="67"/>
      <c r="AZ149" s="75"/>
    </row>
    <row r="150" spans="1:52">
      <c r="A150" s="64">
        <v>145</v>
      </c>
      <c r="B150" s="65" t="s">
        <v>228</v>
      </c>
      <c r="C150" s="65" t="s">
        <v>228</v>
      </c>
      <c r="D150" s="65" t="s">
        <v>83</v>
      </c>
      <c r="E150" s="65" t="s">
        <v>180</v>
      </c>
      <c r="F150" s="66">
        <v>433.02</v>
      </c>
      <c r="G150" s="67">
        <f t="shared" si="40"/>
        <v>16.8462756477761</v>
      </c>
      <c r="H150" s="67">
        <f t="shared" si="41"/>
        <v>7294.774281</v>
      </c>
      <c r="I150" s="75">
        <v>3</v>
      </c>
      <c r="J150" s="75">
        <v>3</v>
      </c>
      <c r="K150" s="76">
        <f t="shared" si="42"/>
        <v>6672.676361</v>
      </c>
      <c r="L150" s="76">
        <f t="shared" si="43"/>
        <v>4074.556361</v>
      </c>
      <c r="M150" s="75">
        <v>0</v>
      </c>
      <c r="N150" s="77">
        <v>0</v>
      </c>
      <c r="O150" s="75">
        <v>0</v>
      </c>
      <c r="P150" s="67">
        <f t="shared" si="44"/>
        <v>866.04</v>
      </c>
      <c r="Q150" s="77">
        <v>3220.21792</v>
      </c>
      <c r="R150" s="67">
        <f t="shared" si="45"/>
        <v>2598.12</v>
      </c>
      <c r="S150" s="67">
        <v>0</v>
      </c>
      <c r="T150" s="76">
        <f t="shared" si="46"/>
        <v>4074.556361</v>
      </c>
      <c r="U150" s="76"/>
      <c r="V150" s="77">
        <v>0</v>
      </c>
      <c r="W150" s="75">
        <v>0</v>
      </c>
      <c r="X150" s="76"/>
      <c r="Y150" s="77">
        <v>3619.750471</v>
      </c>
      <c r="Z150" s="77">
        <v>0</v>
      </c>
      <c r="AA150" s="67">
        <f t="shared" si="47"/>
        <v>0</v>
      </c>
      <c r="AB150" s="77">
        <v>0</v>
      </c>
      <c r="AC150" s="67">
        <f t="shared" si="48"/>
        <v>0</v>
      </c>
      <c r="AD150" s="77">
        <v>0</v>
      </c>
      <c r="AE150" s="67">
        <f t="shared" si="49"/>
        <v>0</v>
      </c>
      <c r="AF150" s="82">
        <v>0</v>
      </c>
      <c r="AG150" s="67">
        <f t="shared" si="50"/>
        <v>0</v>
      </c>
      <c r="AH150" s="77">
        <v>0</v>
      </c>
      <c r="AI150" s="67">
        <f t="shared" si="51"/>
        <v>0</v>
      </c>
      <c r="AJ150" s="77">
        <v>442.2359</v>
      </c>
      <c r="AK150" s="77">
        <v>0</v>
      </c>
      <c r="AL150" s="77">
        <v>0</v>
      </c>
      <c r="AM150" s="77">
        <v>0</v>
      </c>
      <c r="AN150" s="77">
        <v>0</v>
      </c>
      <c r="AO150" s="77">
        <v>12.56999</v>
      </c>
      <c r="AP150" s="67">
        <f t="shared" si="52"/>
        <v>866.04</v>
      </c>
      <c r="AQ150" s="91">
        <f t="shared" si="53"/>
        <v>1.73208</v>
      </c>
      <c r="AR150" s="91">
        <f t="shared" si="54"/>
        <v>0.028868</v>
      </c>
      <c r="AS150" s="67">
        <f t="shared" si="55"/>
        <v>0</v>
      </c>
      <c r="AT150" s="67">
        <f t="shared" si="56"/>
        <v>0</v>
      </c>
      <c r="AU150" s="67">
        <f t="shared" si="57"/>
        <v>0.86604</v>
      </c>
      <c r="AV150" s="67">
        <f t="shared" si="58"/>
        <v>0.0180425</v>
      </c>
      <c r="AW150" s="67">
        <f t="shared" si="59"/>
        <v>0</v>
      </c>
      <c r="AX150" s="67"/>
      <c r="AY150" s="67"/>
      <c r="AZ150" s="75"/>
    </row>
    <row r="151" spans="1:52">
      <c r="A151" s="64">
        <v>146</v>
      </c>
      <c r="B151" s="65" t="s">
        <v>226</v>
      </c>
      <c r="C151" s="65" t="s">
        <v>226</v>
      </c>
      <c r="D151" s="65" t="s">
        <v>92</v>
      </c>
      <c r="E151" s="65" t="s">
        <v>227</v>
      </c>
      <c r="F151" s="66">
        <v>111.26</v>
      </c>
      <c r="G151" s="67">
        <f t="shared" si="40"/>
        <v>51.390987911199</v>
      </c>
      <c r="H151" s="67">
        <f t="shared" si="41"/>
        <v>5717.761315</v>
      </c>
      <c r="I151" s="75">
        <v>3</v>
      </c>
      <c r="J151" s="75">
        <v>3</v>
      </c>
      <c r="K151" s="76">
        <f t="shared" si="42"/>
        <v>4702.203663</v>
      </c>
      <c r="L151" s="76">
        <f t="shared" si="43"/>
        <v>4034.643663</v>
      </c>
      <c r="M151" s="75">
        <v>2</v>
      </c>
      <c r="N151" s="77">
        <v>0</v>
      </c>
      <c r="O151" s="75">
        <v>0</v>
      </c>
      <c r="P151" s="67">
        <f t="shared" si="44"/>
        <v>222.52</v>
      </c>
      <c r="Q151" s="77">
        <v>1683.117652</v>
      </c>
      <c r="R151" s="67">
        <f t="shared" si="45"/>
        <v>667.56</v>
      </c>
      <c r="S151" s="67">
        <v>0</v>
      </c>
      <c r="T151" s="76">
        <f t="shared" si="46"/>
        <v>4034.643663</v>
      </c>
      <c r="U151" s="76"/>
      <c r="V151" s="77">
        <v>0</v>
      </c>
      <c r="W151" s="75">
        <v>0</v>
      </c>
      <c r="X151" s="76"/>
      <c r="Y151" s="77">
        <v>419.026297</v>
      </c>
      <c r="Z151" s="77">
        <v>0</v>
      </c>
      <c r="AA151" s="67">
        <f t="shared" si="47"/>
        <v>0</v>
      </c>
      <c r="AB151" s="77">
        <v>0</v>
      </c>
      <c r="AC151" s="67">
        <f t="shared" si="48"/>
        <v>0</v>
      </c>
      <c r="AD151" s="77">
        <v>0</v>
      </c>
      <c r="AE151" s="67">
        <f t="shared" si="49"/>
        <v>0</v>
      </c>
      <c r="AF151" s="82">
        <v>0</v>
      </c>
      <c r="AG151" s="67">
        <f t="shared" si="50"/>
        <v>0</v>
      </c>
      <c r="AH151" s="77">
        <v>0</v>
      </c>
      <c r="AI151" s="67">
        <f t="shared" si="51"/>
        <v>0</v>
      </c>
      <c r="AJ151" s="77">
        <v>383.531571</v>
      </c>
      <c r="AK151" s="77">
        <v>176.740145</v>
      </c>
      <c r="AL151" s="77">
        <v>0</v>
      </c>
      <c r="AM151" s="77">
        <v>405.674687</v>
      </c>
      <c r="AN151" s="77">
        <v>0</v>
      </c>
      <c r="AO151" s="77">
        <v>2649.670963</v>
      </c>
      <c r="AP151" s="67">
        <f t="shared" si="52"/>
        <v>222.52</v>
      </c>
      <c r="AQ151" s="91">
        <f t="shared" si="53"/>
        <v>0.44504</v>
      </c>
      <c r="AR151" s="91">
        <f t="shared" si="54"/>
        <v>0.00741733333333333</v>
      </c>
      <c r="AS151" s="67">
        <f t="shared" si="55"/>
        <v>0</v>
      </c>
      <c r="AT151" s="67">
        <f t="shared" si="56"/>
        <v>0</v>
      </c>
      <c r="AU151" s="67">
        <f t="shared" si="57"/>
        <v>0.22252</v>
      </c>
      <c r="AV151" s="67">
        <f t="shared" si="58"/>
        <v>0.00463583333333333</v>
      </c>
      <c r="AW151" s="67">
        <f t="shared" si="59"/>
        <v>0</v>
      </c>
      <c r="AX151" s="67"/>
      <c r="AY151" s="67"/>
      <c r="AZ151" s="75"/>
    </row>
    <row r="152" spans="1:52">
      <c r="A152" s="64">
        <v>147</v>
      </c>
      <c r="B152" s="65" t="s">
        <v>229</v>
      </c>
      <c r="C152" s="65" t="s">
        <v>229</v>
      </c>
      <c r="D152" s="65" t="s">
        <v>137</v>
      </c>
      <c r="E152" s="65" t="s">
        <v>136</v>
      </c>
      <c r="F152" s="66">
        <v>128.12</v>
      </c>
      <c r="G152" s="67">
        <f t="shared" si="40"/>
        <v>7.7047490087418</v>
      </c>
      <c r="H152" s="67">
        <f t="shared" si="41"/>
        <v>987.132443</v>
      </c>
      <c r="I152" s="75">
        <v>3</v>
      </c>
      <c r="J152" s="75">
        <v>3</v>
      </c>
      <c r="K152" s="76">
        <f t="shared" si="42"/>
        <v>1319.680692</v>
      </c>
      <c r="L152" s="76">
        <f t="shared" si="43"/>
        <v>550.960692</v>
      </c>
      <c r="M152" s="75">
        <v>0</v>
      </c>
      <c r="N152" s="77">
        <v>0</v>
      </c>
      <c r="O152" s="75">
        <v>0</v>
      </c>
      <c r="P152" s="67">
        <f t="shared" si="44"/>
        <v>256.24</v>
      </c>
      <c r="Q152" s="77">
        <v>436.171751</v>
      </c>
      <c r="R152" s="67">
        <f t="shared" si="45"/>
        <v>768.72</v>
      </c>
      <c r="S152" s="67">
        <v>0</v>
      </c>
      <c r="T152" s="76">
        <f t="shared" si="46"/>
        <v>550.960692</v>
      </c>
      <c r="U152" s="76"/>
      <c r="V152" s="77">
        <v>0</v>
      </c>
      <c r="W152" s="75">
        <v>0</v>
      </c>
      <c r="X152" s="76"/>
      <c r="Y152" s="77">
        <v>276.874812</v>
      </c>
      <c r="Z152" s="77">
        <v>0</v>
      </c>
      <c r="AA152" s="67">
        <f t="shared" si="47"/>
        <v>0</v>
      </c>
      <c r="AB152" s="77">
        <v>0</v>
      </c>
      <c r="AC152" s="67">
        <f t="shared" si="48"/>
        <v>0</v>
      </c>
      <c r="AD152" s="77">
        <v>0</v>
      </c>
      <c r="AE152" s="67">
        <f t="shared" si="49"/>
        <v>0</v>
      </c>
      <c r="AF152" s="82">
        <v>0</v>
      </c>
      <c r="AG152" s="67">
        <f t="shared" si="50"/>
        <v>0</v>
      </c>
      <c r="AH152" s="77">
        <v>0</v>
      </c>
      <c r="AI152" s="67">
        <f t="shared" si="51"/>
        <v>0</v>
      </c>
      <c r="AJ152" s="77">
        <v>203.990497</v>
      </c>
      <c r="AK152" s="77">
        <v>0</v>
      </c>
      <c r="AL152" s="77">
        <v>0</v>
      </c>
      <c r="AM152" s="77">
        <v>0</v>
      </c>
      <c r="AN152" s="77">
        <v>0</v>
      </c>
      <c r="AO152" s="77">
        <v>70.095383</v>
      </c>
      <c r="AP152" s="67">
        <f t="shared" si="52"/>
        <v>256.24</v>
      </c>
      <c r="AQ152" s="91">
        <f t="shared" si="53"/>
        <v>0.51248</v>
      </c>
      <c r="AR152" s="91">
        <f t="shared" si="54"/>
        <v>0.00854133333333333</v>
      </c>
      <c r="AS152" s="67">
        <f t="shared" si="55"/>
        <v>0</v>
      </c>
      <c r="AT152" s="67">
        <f t="shared" si="56"/>
        <v>0</v>
      </c>
      <c r="AU152" s="67">
        <f t="shared" si="57"/>
        <v>0.25624</v>
      </c>
      <c r="AV152" s="67">
        <f t="shared" si="58"/>
        <v>0.00533833333333333</v>
      </c>
      <c r="AW152" s="67">
        <f t="shared" si="59"/>
        <v>0</v>
      </c>
      <c r="AX152" s="67"/>
      <c r="AY152" s="67"/>
      <c r="AZ152" s="75"/>
    </row>
    <row r="153" spans="1:52">
      <c r="A153" s="64">
        <v>148</v>
      </c>
      <c r="B153" s="65" t="s">
        <v>138</v>
      </c>
      <c r="C153" s="65" t="s">
        <v>138</v>
      </c>
      <c r="D153" s="65" t="s">
        <v>139</v>
      </c>
      <c r="E153" s="65" t="s">
        <v>204</v>
      </c>
      <c r="F153" s="66">
        <v>2078.43</v>
      </c>
      <c r="G153" s="67">
        <f t="shared" si="40"/>
        <v>19.5930250414977</v>
      </c>
      <c r="H153" s="67">
        <f t="shared" si="41"/>
        <v>40722.731037</v>
      </c>
      <c r="I153" s="75">
        <v>3</v>
      </c>
      <c r="J153" s="75">
        <v>3</v>
      </c>
      <c r="K153" s="76">
        <f t="shared" si="42"/>
        <v>38151.897663</v>
      </c>
      <c r="L153" s="76">
        <f t="shared" si="43"/>
        <v>25534.733455</v>
      </c>
      <c r="M153" s="75">
        <v>2</v>
      </c>
      <c r="N153" s="77">
        <v>0</v>
      </c>
      <c r="O153" s="75">
        <v>0</v>
      </c>
      <c r="P153" s="67">
        <f t="shared" si="44"/>
        <v>4156.86</v>
      </c>
      <c r="Q153" s="77">
        <v>15041.413374</v>
      </c>
      <c r="R153" s="67">
        <f t="shared" si="45"/>
        <v>12470.58</v>
      </c>
      <c r="S153" s="67">
        <v>0</v>
      </c>
      <c r="T153" s="76">
        <f t="shared" si="46"/>
        <v>25534.733455</v>
      </c>
      <c r="U153" s="76"/>
      <c r="V153" s="77">
        <v>0</v>
      </c>
      <c r="W153" s="75">
        <v>0</v>
      </c>
      <c r="X153" s="76"/>
      <c r="Y153" s="77">
        <v>5694.77443</v>
      </c>
      <c r="Z153" s="77">
        <v>91.79785</v>
      </c>
      <c r="AA153" s="67">
        <f t="shared" si="47"/>
        <v>183.5957</v>
      </c>
      <c r="AB153" s="77">
        <v>73.292104</v>
      </c>
      <c r="AC153" s="67">
        <f t="shared" si="48"/>
        <v>146.584208</v>
      </c>
      <c r="AD153" s="77">
        <v>0</v>
      </c>
      <c r="AE153" s="67">
        <f t="shared" si="49"/>
        <v>0</v>
      </c>
      <c r="AF153" s="82">
        <v>0</v>
      </c>
      <c r="AG153" s="67">
        <f t="shared" si="50"/>
        <v>0</v>
      </c>
      <c r="AH153" s="77">
        <v>1198.364648</v>
      </c>
      <c r="AI153" s="67">
        <f t="shared" si="51"/>
        <v>2396.729296</v>
      </c>
      <c r="AJ153" s="77">
        <v>5176.336836</v>
      </c>
      <c r="AK153" s="77">
        <v>0</v>
      </c>
      <c r="AL153" s="77">
        <v>0</v>
      </c>
      <c r="AM153" s="77">
        <v>0</v>
      </c>
      <c r="AN153" s="77">
        <v>0</v>
      </c>
      <c r="AO153" s="77">
        <v>12083.297193</v>
      </c>
      <c r="AP153" s="67">
        <f t="shared" si="52"/>
        <v>4156.86</v>
      </c>
      <c r="AQ153" s="91">
        <f t="shared" si="53"/>
        <v>8.31372</v>
      </c>
      <c r="AR153" s="91">
        <f t="shared" si="54"/>
        <v>0.138562</v>
      </c>
      <c r="AS153" s="67">
        <f t="shared" si="55"/>
        <v>0</v>
      </c>
      <c r="AT153" s="67">
        <f t="shared" si="56"/>
        <v>0</v>
      </c>
      <c r="AU153" s="67">
        <f t="shared" si="57"/>
        <v>4.15686</v>
      </c>
      <c r="AV153" s="67">
        <f t="shared" si="58"/>
        <v>0.08660125</v>
      </c>
      <c r="AW153" s="67">
        <f t="shared" si="59"/>
        <v>0.0082544977</v>
      </c>
      <c r="AX153" s="67"/>
      <c r="AY153" s="67"/>
      <c r="AZ153" s="75"/>
    </row>
    <row r="154" spans="1:52">
      <c r="A154" s="64">
        <v>149</v>
      </c>
      <c r="B154" s="65" t="s">
        <v>230</v>
      </c>
      <c r="C154" s="65" t="s">
        <v>230</v>
      </c>
      <c r="D154" s="65" t="s">
        <v>231</v>
      </c>
      <c r="E154" s="65" t="s">
        <v>138</v>
      </c>
      <c r="F154" s="66">
        <v>1048.07</v>
      </c>
      <c r="G154" s="67">
        <f t="shared" si="40"/>
        <v>8.29030248742927</v>
      </c>
      <c r="H154" s="67">
        <f t="shared" si="41"/>
        <v>8688.817328</v>
      </c>
      <c r="I154" s="75">
        <v>3</v>
      </c>
      <c r="J154" s="75">
        <v>3</v>
      </c>
      <c r="K154" s="76">
        <f t="shared" si="42"/>
        <v>9709.193756</v>
      </c>
      <c r="L154" s="76">
        <f t="shared" si="43"/>
        <v>3420.773756</v>
      </c>
      <c r="M154" s="75">
        <v>0</v>
      </c>
      <c r="N154" s="77">
        <v>0</v>
      </c>
      <c r="O154" s="75">
        <v>0</v>
      </c>
      <c r="P154" s="67">
        <f t="shared" si="44"/>
        <v>2096.14</v>
      </c>
      <c r="Q154" s="77">
        <v>5268.043572</v>
      </c>
      <c r="R154" s="67">
        <f t="shared" si="45"/>
        <v>6288.42</v>
      </c>
      <c r="S154" s="67">
        <v>0</v>
      </c>
      <c r="T154" s="76">
        <f t="shared" si="46"/>
        <v>3420.773756</v>
      </c>
      <c r="U154" s="76"/>
      <c r="V154" s="77">
        <v>0</v>
      </c>
      <c r="W154" s="75">
        <v>0</v>
      </c>
      <c r="X154" s="76"/>
      <c r="Y154" s="77">
        <v>138.37418</v>
      </c>
      <c r="Z154" s="77">
        <v>0</v>
      </c>
      <c r="AA154" s="67">
        <f t="shared" si="47"/>
        <v>0</v>
      </c>
      <c r="AB154" s="77">
        <v>0</v>
      </c>
      <c r="AC154" s="67">
        <f t="shared" si="48"/>
        <v>0</v>
      </c>
      <c r="AD154" s="77">
        <v>0</v>
      </c>
      <c r="AE154" s="67">
        <f t="shared" si="49"/>
        <v>0</v>
      </c>
      <c r="AF154" s="82">
        <v>0</v>
      </c>
      <c r="AG154" s="67">
        <f t="shared" si="50"/>
        <v>0</v>
      </c>
      <c r="AH154" s="77">
        <v>198.8422</v>
      </c>
      <c r="AI154" s="67">
        <f t="shared" si="51"/>
        <v>397.6844</v>
      </c>
      <c r="AJ154" s="77">
        <v>351.609305</v>
      </c>
      <c r="AK154" s="77">
        <v>410.925991</v>
      </c>
      <c r="AL154" s="77">
        <v>0</v>
      </c>
      <c r="AM154" s="77">
        <v>0</v>
      </c>
      <c r="AN154" s="77">
        <v>0</v>
      </c>
      <c r="AO154" s="77">
        <v>2122.17988</v>
      </c>
      <c r="AP154" s="67">
        <f t="shared" si="52"/>
        <v>2096.14</v>
      </c>
      <c r="AQ154" s="91">
        <f t="shared" si="53"/>
        <v>4.19228</v>
      </c>
      <c r="AR154" s="91">
        <f t="shared" si="54"/>
        <v>0.0698713333333333</v>
      </c>
      <c r="AS154" s="67">
        <f t="shared" si="55"/>
        <v>0</v>
      </c>
      <c r="AT154" s="67">
        <f t="shared" si="56"/>
        <v>0</v>
      </c>
      <c r="AU154" s="67">
        <f t="shared" si="57"/>
        <v>2.09614</v>
      </c>
      <c r="AV154" s="67">
        <f t="shared" si="58"/>
        <v>0.0436695833333333</v>
      </c>
      <c r="AW154" s="67">
        <f t="shared" si="59"/>
        <v>0</v>
      </c>
      <c r="AX154" s="67"/>
      <c r="AY154" s="67"/>
      <c r="AZ154" s="75"/>
    </row>
    <row r="155" spans="1:52">
      <c r="A155" s="64">
        <v>150</v>
      </c>
      <c r="B155" s="65" t="s">
        <v>232</v>
      </c>
      <c r="C155" s="65" t="s">
        <v>232</v>
      </c>
      <c r="D155" s="65" t="s">
        <v>233</v>
      </c>
      <c r="E155" s="65" t="s">
        <v>234</v>
      </c>
      <c r="F155" s="66">
        <v>949.63</v>
      </c>
      <c r="G155" s="67">
        <f t="shared" si="40"/>
        <v>12.1349545444015</v>
      </c>
      <c r="H155" s="67">
        <f t="shared" si="41"/>
        <v>11523.716884</v>
      </c>
      <c r="I155" s="75">
        <v>3</v>
      </c>
      <c r="J155" s="75">
        <v>3</v>
      </c>
      <c r="K155" s="76">
        <f t="shared" si="42"/>
        <v>13058.101608</v>
      </c>
      <c r="L155" s="76">
        <f t="shared" si="43"/>
        <v>7360.321608</v>
      </c>
      <c r="M155" s="75">
        <v>0</v>
      </c>
      <c r="N155" s="77">
        <v>0</v>
      </c>
      <c r="O155" s="75">
        <v>0</v>
      </c>
      <c r="P155" s="67">
        <f t="shared" si="44"/>
        <v>1899.26</v>
      </c>
      <c r="Q155" s="77">
        <v>4163.395276</v>
      </c>
      <c r="R155" s="67">
        <f t="shared" si="45"/>
        <v>5697.78</v>
      </c>
      <c r="S155" s="67">
        <v>0</v>
      </c>
      <c r="T155" s="76">
        <f t="shared" si="46"/>
        <v>7360.321608</v>
      </c>
      <c r="U155" s="76"/>
      <c r="V155" s="77">
        <v>0</v>
      </c>
      <c r="W155" s="75">
        <v>0</v>
      </c>
      <c r="X155" s="76"/>
      <c r="Y155" s="77">
        <v>794.80154</v>
      </c>
      <c r="Z155" s="77">
        <v>0</v>
      </c>
      <c r="AA155" s="67">
        <f t="shared" si="47"/>
        <v>0</v>
      </c>
      <c r="AB155" s="77">
        <v>0</v>
      </c>
      <c r="AC155" s="67">
        <f t="shared" si="48"/>
        <v>0</v>
      </c>
      <c r="AD155" s="77">
        <v>0</v>
      </c>
      <c r="AE155" s="67">
        <f t="shared" si="49"/>
        <v>0</v>
      </c>
      <c r="AF155" s="82">
        <v>0</v>
      </c>
      <c r="AG155" s="67">
        <f t="shared" si="50"/>
        <v>0</v>
      </c>
      <c r="AH155" s="77">
        <v>31.163694</v>
      </c>
      <c r="AI155" s="67">
        <f t="shared" si="51"/>
        <v>62.327388</v>
      </c>
      <c r="AJ155" s="77">
        <v>3378.227964</v>
      </c>
      <c r="AK155" s="77">
        <v>426.541035</v>
      </c>
      <c r="AL155" s="77">
        <v>0</v>
      </c>
      <c r="AM155" s="77">
        <v>0</v>
      </c>
      <c r="AN155" s="77">
        <v>0</v>
      </c>
      <c r="AO155" s="77">
        <v>2698.423681</v>
      </c>
      <c r="AP155" s="67">
        <f t="shared" si="52"/>
        <v>1899.26</v>
      </c>
      <c r="AQ155" s="91">
        <f t="shared" si="53"/>
        <v>3.79852</v>
      </c>
      <c r="AR155" s="91">
        <f t="shared" si="54"/>
        <v>0.0633086666666667</v>
      </c>
      <c r="AS155" s="67">
        <f t="shared" si="55"/>
        <v>0</v>
      </c>
      <c r="AT155" s="67">
        <f t="shared" si="56"/>
        <v>0</v>
      </c>
      <c r="AU155" s="67">
        <f t="shared" si="57"/>
        <v>1.89926</v>
      </c>
      <c r="AV155" s="67">
        <f t="shared" si="58"/>
        <v>0.0395679166666667</v>
      </c>
      <c r="AW155" s="67">
        <f t="shared" si="59"/>
        <v>0</v>
      </c>
      <c r="AX155" s="67"/>
      <c r="AY155" s="67"/>
      <c r="AZ155" s="75"/>
    </row>
    <row r="156" spans="1:52">
      <c r="A156" s="64">
        <v>151</v>
      </c>
      <c r="B156" s="65" t="s">
        <v>235</v>
      </c>
      <c r="C156" s="65" t="s">
        <v>235</v>
      </c>
      <c r="D156" s="65" t="s">
        <v>232</v>
      </c>
      <c r="E156" s="65" t="s">
        <v>138</v>
      </c>
      <c r="F156" s="66">
        <v>116.3</v>
      </c>
      <c r="G156" s="67">
        <f t="shared" si="40"/>
        <v>8.40334827171109</v>
      </c>
      <c r="H156" s="67">
        <f t="shared" si="41"/>
        <v>977.309404</v>
      </c>
      <c r="I156" s="75">
        <v>3</v>
      </c>
      <c r="J156" s="75">
        <v>3</v>
      </c>
      <c r="K156" s="76">
        <f t="shared" si="42"/>
        <v>697.8</v>
      </c>
      <c r="L156" s="76">
        <f t="shared" si="43"/>
        <v>0</v>
      </c>
      <c r="M156" s="75">
        <v>0</v>
      </c>
      <c r="N156" s="77">
        <v>0</v>
      </c>
      <c r="O156" s="75">
        <v>0</v>
      </c>
      <c r="P156" s="67">
        <f t="shared" si="44"/>
        <v>232.6</v>
      </c>
      <c r="Q156" s="77">
        <v>977.309404</v>
      </c>
      <c r="R156" s="67">
        <f t="shared" si="45"/>
        <v>697.8</v>
      </c>
      <c r="S156" s="67">
        <v>0</v>
      </c>
      <c r="T156" s="76">
        <f t="shared" si="46"/>
        <v>0</v>
      </c>
      <c r="U156" s="76"/>
      <c r="V156" s="77">
        <v>0</v>
      </c>
      <c r="W156" s="75">
        <v>0</v>
      </c>
      <c r="X156" s="76"/>
      <c r="Y156" s="77">
        <v>0</v>
      </c>
      <c r="Z156" s="77">
        <v>0</v>
      </c>
      <c r="AA156" s="67">
        <f t="shared" si="47"/>
        <v>0</v>
      </c>
      <c r="AB156" s="77">
        <v>0</v>
      </c>
      <c r="AC156" s="67">
        <f t="shared" si="48"/>
        <v>0</v>
      </c>
      <c r="AD156" s="77">
        <v>0</v>
      </c>
      <c r="AE156" s="67">
        <f t="shared" si="49"/>
        <v>0</v>
      </c>
      <c r="AF156" s="82">
        <v>0</v>
      </c>
      <c r="AG156" s="67">
        <f t="shared" si="50"/>
        <v>0</v>
      </c>
      <c r="AH156" s="77">
        <v>0</v>
      </c>
      <c r="AI156" s="67">
        <f t="shared" si="51"/>
        <v>0</v>
      </c>
      <c r="AJ156" s="77">
        <v>0</v>
      </c>
      <c r="AK156" s="77">
        <v>0</v>
      </c>
      <c r="AL156" s="77">
        <v>0</v>
      </c>
      <c r="AM156" s="77">
        <v>0</v>
      </c>
      <c r="AN156" s="77">
        <v>0</v>
      </c>
      <c r="AO156" s="77">
        <v>0</v>
      </c>
      <c r="AP156" s="67">
        <f t="shared" si="52"/>
        <v>232.6</v>
      </c>
      <c r="AQ156" s="91">
        <f t="shared" si="53"/>
        <v>0.4652</v>
      </c>
      <c r="AR156" s="91">
        <f t="shared" si="54"/>
        <v>0.00775333333333333</v>
      </c>
      <c r="AS156" s="67">
        <f t="shared" si="55"/>
        <v>0</v>
      </c>
      <c r="AT156" s="67">
        <f t="shared" si="56"/>
        <v>0</v>
      </c>
      <c r="AU156" s="67">
        <f t="shared" si="57"/>
        <v>0.2326</v>
      </c>
      <c r="AV156" s="67">
        <f t="shared" si="58"/>
        <v>0.00484583333333333</v>
      </c>
      <c r="AW156" s="67">
        <f t="shared" si="59"/>
        <v>0</v>
      </c>
      <c r="AX156" s="67"/>
      <c r="AY156" s="67"/>
      <c r="AZ156" s="75"/>
    </row>
    <row r="157" spans="1:52">
      <c r="A157" s="64">
        <v>152</v>
      </c>
      <c r="B157" s="65" t="s">
        <v>236</v>
      </c>
      <c r="C157" s="65" t="s">
        <v>236</v>
      </c>
      <c r="D157" s="65" t="s">
        <v>233</v>
      </c>
      <c r="E157" s="65" t="s">
        <v>138</v>
      </c>
      <c r="F157" s="66">
        <v>406.97</v>
      </c>
      <c r="G157" s="67">
        <f t="shared" si="40"/>
        <v>14.1951863405165</v>
      </c>
      <c r="H157" s="67">
        <f t="shared" si="41"/>
        <v>5777.014985</v>
      </c>
      <c r="I157" s="75">
        <v>3</v>
      </c>
      <c r="J157" s="75">
        <v>3</v>
      </c>
      <c r="K157" s="76">
        <f t="shared" si="42"/>
        <v>5473.731115</v>
      </c>
      <c r="L157" s="76">
        <f t="shared" si="43"/>
        <v>3031.911115</v>
      </c>
      <c r="M157" s="75">
        <v>2</v>
      </c>
      <c r="N157" s="77">
        <v>0</v>
      </c>
      <c r="O157" s="75">
        <v>0</v>
      </c>
      <c r="P157" s="67">
        <f t="shared" si="44"/>
        <v>813.94</v>
      </c>
      <c r="Q157" s="77">
        <v>2745.10387</v>
      </c>
      <c r="R157" s="67">
        <f t="shared" si="45"/>
        <v>2441.82</v>
      </c>
      <c r="S157" s="67">
        <v>0</v>
      </c>
      <c r="T157" s="76">
        <f t="shared" si="46"/>
        <v>3031.911115</v>
      </c>
      <c r="U157" s="76"/>
      <c r="V157" s="77">
        <v>0</v>
      </c>
      <c r="W157" s="75">
        <v>0</v>
      </c>
      <c r="X157" s="76"/>
      <c r="Y157" s="77">
        <v>28.83399</v>
      </c>
      <c r="Z157" s="77">
        <v>0</v>
      </c>
      <c r="AA157" s="67">
        <f t="shared" si="47"/>
        <v>0</v>
      </c>
      <c r="AB157" s="77">
        <v>0</v>
      </c>
      <c r="AC157" s="67">
        <f t="shared" si="48"/>
        <v>0</v>
      </c>
      <c r="AD157" s="77">
        <v>0</v>
      </c>
      <c r="AE157" s="67">
        <f t="shared" si="49"/>
        <v>0</v>
      </c>
      <c r="AF157" s="82">
        <v>0</v>
      </c>
      <c r="AG157" s="67">
        <f t="shared" si="50"/>
        <v>0</v>
      </c>
      <c r="AH157" s="77">
        <v>0</v>
      </c>
      <c r="AI157" s="67">
        <f t="shared" si="51"/>
        <v>0</v>
      </c>
      <c r="AJ157" s="77">
        <v>354.006905</v>
      </c>
      <c r="AK157" s="77">
        <v>409.734821</v>
      </c>
      <c r="AL157" s="77">
        <v>0</v>
      </c>
      <c r="AM157" s="77">
        <v>0</v>
      </c>
      <c r="AN157" s="77">
        <v>0</v>
      </c>
      <c r="AO157" s="77">
        <v>2239.335399</v>
      </c>
      <c r="AP157" s="67">
        <f t="shared" si="52"/>
        <v>813.94</v>
      </c>
      <c r="AQ157" s="91">
        <f t="shared" si="53"/>
        <v>1.62788</v>
      </c>
      <c r="AR157" s="91">
        <f t="shared" si="54"/>
        <v>0.0271313333333333</v>
      </c>
      <c r="AS157" s="67">
        <f t="shared" si="55"/>
        <v>0</v>
      </c>
      <c r="AT157" s="67">
        <f t="shared" si="56"/>
        <v>0</v>
      </c>
      <c r="AU157" s="67">
        <f t="shared" si="57"/>
        <v>0.81394</v>
      </c>
      <c r="AV157" s="67">
        <f t="shared" si="58"/>
        <v>0.0169570833333333</v>
      </c>
      <c r="AW157" s="67">
        <f t="shared" si="59"/>
        <v>0</v>
      </c>
      <c r="AX157" s="67"/>
      <c r="AY157" s="67"/>
      <c r="AZ157" s="75"/>
    </row>
    <row r="158" spans="1:52">
      <c r="A158" s="64">
        <v>153</v>
      </c>
      <c r="B158" s="65" t="s">
        <v>237</v>
      </c>
      <c r="C158" s="65" t="s">
        <v>237</v>
      </c>
      <c r="D158" s="65" t="s">
        <v>238</v>
      </c>
      <c r="E158" s="65" t="s">
        <v>138</v>
      </c>
      <c r="F158" s="66">
        <v>88.64</v>
      </c>
      <c r="G158" s="67">
        <f t="shared" si="40"/>
        <v>54.1172815433213</v>
      </c>
      <c r="H158" s="67">
        <f t="shared" si="41"/>
        <v>4796.955836</v>
      </c>
      <c r="I158" s="75">
        <v>3</v>
      </c>
      <c r="J158" s="75">
        <v>3</v>
      </c>
      <c r="K158" s="76">
        <f t="shared" si="42"/>
        <v>4209.103853</v>
      </c>
      <c r="L158" s="76">
        <f t="shared" si="43"/>
        <v>3677.263853</v>
      </c>
      <c r="M158" s="75">
        <v>2</v>
      </c>
      <c r="N158" s="77">
        <v>0</v>
      </c>
      <c r="O158" s="75">
        <v>0</v>
      </c>
      <c r="P158" s="67">
        <f t="shared" si="44"/>
        <v>177.28</v>
      </c>
      <c r="Q158" s="77">
        <v>1119.691983</v>
      </c>
      <c r="R158" s="67">
        <f t="shared" si="45"/>
        <v>531.84</v>
      </c>
      <c r="S158" s="67">
        <v>0</v>
      </c>
      <c r="T158" s="76">
        <f t="shared" si="46"/>
        <v>3677.263853</v>
      </c>
      <c r="U158" s="76"/>
      <c r="V158" s="77">
        <v>0</v>
      </c>
      <c r="W158" s="75">
        <v>0</v>
      </c>
      <c r="X158" s="76"/>
      <c r="Y158" s="77">
        <v>0</v>
      </c>
      <c r="Z158" s="77">
        <v>0</v>
      </c>
      <c r="AA158" s="67">
        <f t="shared" si="47"/>
        <v>0</v>
      </c>
      <c r="AB158" s="77">
        <v>0</v>
      </c>
      <c r="AC158" s="67">
        <f t="shared" si="48"/>
        <v>0</v>
      </c>
      <c r="AD158" s="77">
        <v>0</v>
      </c>
      <c r="AE158" s="67">
        <f t="shared" si="49"/>
        <v>0</v>
      </c>
      <c r="AF158" s="82">
        <v>0</v>
      </c>
      <c r="AG158" s="67">
        <f t="shared" si="50"/>
        <v>0</v>
      </c>
      <c r="AH158" s="77">
        <v>0</v>
      </c>
      <c r="AI158" s="67">
        <f t="shared" si="51"/>
        <v>0</v>
      </c>
      <c r="AJ158" s="77">
        <v>522.326705</v>
      </c>
      <c r="AK158" s="77">
        <v>0</v>
      </c>
      <c r="AL158" s="77">
        <v>0</v>
      </c>
      <c r="AM158" s="77">
        <v>0</v>
      </c>
      <c r="AN158" s="77">
        <v>0</v>
      </c>
      <c r="AO158" s="77">
        <v>3154.937148</v>
      </c>
      <c r="AP158" s="67">
        <f t="shared" si="52"/>
        <v>177.28</v>
      </c>
      <c r="AQ158" s="91">
        <f t="shared" si="53"/>
        <v>0.35456</v>
      </c>
      <c r="AR158" s="91">
        <f t="shared" si="54"/>
        <v>0.00590933333333333</v>
      </c>
      <c r="AS158" s="67">
        <f t="shared" si="55"/>
        <v>0</v>
      </c>
      <c r="AT158" s="67">
        <f t="shared" si="56"/>
        <v>0</v>
      </c>
      <c r="AU158" s="67">
        <f t="shared" si="57"/>
        <v>0.17728</v>
      </c>
      <c r="AV158" s="67">
        <f t="shared" si="58"/>
        <v>0.00369333333333333</v>
      </c>
      <c r="AW158" s="67">
        <f t="shared" si="59"/>
        <v>0</v>
      </c>
      <c r="AX158" s="67"/>
      <c r="AY158" s="67"/>
      <c r="AZ158" s="75"/>
    </row>
    <row r="159" ht="27" customHeight="1" spans="1:52">
      <c r="A159" s="64">
        <v>154</v>
      </c>
      <c r="B159" s="65" t="s">
        <v>239</v>
      </c>
      <c r="C159" s="65" t="s">
        <v>239</v>
      </c>
      <c r="D159" s="65" t="s">
        <v>138</v>
      </c>
      <c r="E159" s="65" t="s">
        <v>240</v>
      </c>
      <c r="F159" s="66">
        <v>242.24</v>
      </c>
      <c r="G159" s="67">
        <f t="shared" si="40"/>
        <v>9.425491165786</v>
      </c>
      <c r="H159" s="67">
        <f t="shared" si="41"/>
        <v>2283.23098</v>
      </c>
      <c r="I159" s="75">
        <v>3</v>
      </c>
      <c r="J159" s="75">
        <v>3</v>
      </c>
      <c r="K159" s="76">
        <f t="shared" si="42"/>
        <v>2171.940508</v>
      </c>
      <c r="L159" s="76">
        <f t="shared" si="43"/>
        <v>519.76538</v>
      </c>
      <c r="M159" s="75">
        <v>0</v>
      </c>
      <c r="N159" s="77">
        <v>0</v>
      </c>
      <c r="O159" s="75">
        <v>0</v>
      </c>
      <c r="P159" s="67">
        <f t="shared" si="44"/>
        <v>484.48</v>
      </c>
      <c r="Q159" s="77">
        <v>1564.730472</v>
      </c>
      <c r="R159" s="67">
        <f t="shared" si="45"/>
        <v>1453.44</v>
      </c>
      <c r="S159" s="67">
        <v>0</v>
      </c>
      <c r="T159" s="76">
        <f t="shared" si="46"/>
        <v>519.76538</v>
      </c>
      <c r="U159" s="76"/>
      <c r="V159" s="77">
        <v>0</v>
      </c>
      <c r="W159" s="75">
        <v>0</v>
      </c>
      <c r="X159" s="76"/>
      <c r="Y159" s="77">
        <v>0</v>
      </c>
      <c r="Z159" s="77">
        <v>0</v>
      </c>
      <c r="AA159" s="67">
        <f t="shared" si="47"/>
        <v>0</v>
      </c>
      <c r="AB159" s="77">
        <v>99.367564</v>
      </c>
      <c r="AC159" s="67">
        <f t="shared" si="48"/>
        <v>198.735128</v>
      </c>
      <c r="AD159" s="77">
        <v>0</v>
      </c>
      <c r="AE159" s="67">
        <f t="shared" si="49"/>
        <v>0</v>
      </c>
      <c r="AF159" s="82">
        <v>0</v>
      </c>
      <c r="AG159" s="67">
        <f t="shared" si="50"/>
        <v>0</v>
      </c>
      <c r="AH159" s="77">
        <v>133.678716</v>
      </c>
      <c r="AI159" s="67">
        <f t="shared" si="51"/>
        <v>267.357432</v>
      </c>
      <c r="AJ159" s="77">
        <v>0</v>
      </c>
      <c r="AK159" s="77">
        <v>0</v>
      </c>
      <c r="AL159" s="77">
        <v>0</v>
      </c>
      <c r="AM159" s="77">
        <v>0</v>
      </c>
      <c r="AN159" s="77">
        <v>0</v>
      </c>
      <c r="AO159" s="77">
        <v>252.407948</v>
      </c>
      <c r="AP159" s="67">
        <f t="shared" si="52"/>
        <v>484.48</v>
      </c>
      <c r="AQ159" s="91">
        <f t="shared" si="53"/>
        <v>0.96896</v>
      </c>
      <c r="AR159" s="91">
        <f t="shared" si="54"/>
        <v>0.0161493333333333</v>
      </c>
      <c r="AS159" s="67">
        <f t="shared" si="55"/>
        <v>0</v>
      </c>
      <c r="AT159" s="67">
        <f t="shared" si="56"/>
        <v>0</v>
      </c>
      <c r="AU159" s="67">
        <f t="shared" si="57"/>
        <v>0.48448</v>
      </c>
      <c r="AV159" s="67">
        <f t="shared" si="58"/>
        <v>0.0100933333333333</v>
      </c>
      <c r="AW159" s="67">
        <f t="shared" si="59"/>
        <v>0.0049683782</v>
      </c>
      <c r="AX159" s="67"/>
      <c r="AY159" s="67"/>
      <c r="AZ159" s="75"/>
    </row>
    <row r="160" spans="1:52">
      <c r="A160" s="64">
        <v>155</v>
      </c>
      <c r="B160" s="65" t="s">
        <v>223</v>
      </c>
      <c r="C160" s="65" t="s">
        <v>241</v>
      </c>
      <c r="D160" s="65"/>
      <c r="E160" s="65"/>
      <c r="F160" s="66">
        <v>33.63</v>
      </c>
      <c r="G160" s="67">
        <f t="shared" si="40"/>
        <v>22.252927534939</v>
      </c>
      <c r="H160" s="67">
        <f t="shared" si="41"/>
        <v>748.365953</v>
      </c>
      <c r="I160" s="75">
        <v>2</v>
      </c>
      <c r="J160" s="75">
        <v>2</v>
      </c>
      <c r="K160" s="76">
        <f t="shared" si="42"/>
        <v>201.78</v>
      </c>
      <c r="L160" s="76">
        <f t="shared" si="43"/>
        <v>0</v>
      </c>
      <c r="M160" s="75">
        <v>0</v>
      </c>
      <c r="N160" s="77">
        <v>0</v>
      </c>
      <c r="O160" s="75">
        <v>0</v>
      </c>
      <c r="P160" s="67">
        <f t="shared" si="44"/>
        <v>67.26</v>
      </c>
      <c r="Q160" s="77">
        <v>748.365953</v>
      </c>
      <c r="R160" s="67">
        <f t="shared" si="45"/>
        <v>201.78</v>
      </c>
      <c r="S160" s="67">
        <v>0</v>
      </c>
      <c r="T160" s="76">
        <f t="shared" si="46"/>
        <v>0</v>
      </c>
      <c r="U160" s="76"/>
      <c r="V160" s="77">
        <v>0</v>
      </c>
      <c r="W160" s="75">
        <v>0</v>
      </c>
      <c r="X160" s="76"/>
      <c r="Y160" s="77">
        <v>0</v>
      </c>
      <c r="Z160" s="77">
        <v>0</v>
      </c>
      <c r="AA160" s="67">
        <f t="shared" si="47"/>
        <v>0</v>
      </c>
      <c r="AB160" s="77">
        <v>0</v>
      </c>
      <c r="AC160" s="67">
        <f t="shared" si="48"/>
        <v>0</v>
      </c>
      <c r="AD160" s="77">
        <v>0</v>
      </c>
      <c r="AE160" s="67">
        <f t="shared" si="49"/>
        <v>0</v>
      </c>
      <c r="AF160" s="82">
        <v>0</v>
      </c>
      <c r="AG160" s="67">
        <f t="shared" si="50"/>
        <v>0</v>
      </c>
      <c r="AH160" s="77">
        <v>0</v>
      </c>
      <c r="AI160" s="67">
        <f t="shared" si="51"/>
        <v>0</v>
      </c>
      <c r="AJ160" s="77">
        <v>0</v>
      </c>
      <c r="AK160" s="77">
        <v>0</v>
      </c>
      <c r="AL160" s="77">
        <v>0</v>
      </c>
      <c r="AM160" s="77">
        <v>0</v>
      </c>
      <c r="AN160" s="77">
        <v>0</v>
      </c>
      <c r="AO160" s="77">
        <v>0</v>
      </c>
      <c r="AP160" s="67">
        <f t="shared" si="52"/>
        <v>67.26</v>
      </c>
      <c r="AQ160" s="91">
        <f t="shared" si="53"/>
        <v>0</v>
      </c>
      <c r="AR160" s="91">
        <f t="shared" si="54"/>
        <v>0</v>
      </c>
      <c r="AS160" s="67">
        <f t="shared" si="55"/>
        <v>0.13452</v>
      </c>
      <c r="AT160" s="67">
        <f t="shared" si="56"/>
        <v>0.00420375</v>
      </c>
      <c r="AU160" s="67">
        <f t="shared" si="57"/>
        <v>0.10089</v>
      </c>
      <c r="AV160" s="67">
        <f t="shared" si="58"/>
        <v>0.002101875</v>
      </c>
      <c r="AW160" s="67">
        <f t="shared" si="59"/>
        <v>0</v>
      </c>
      <c r="AX160" s="67"/>
      <c r="AY160" s="67"/>
      <c r="AZ160" s="75"/>
    </row>
    <row r="161" spans="1:52">
      <c r="A161" s="64">
        <v>156</v>
      </c>
      <c r="B161" s="65" t="s">
        <v>223</v>
      </c>
      <c r="C161" s="65" t="s">
        <v>223</v>
      </c>
      <c r="D161" s="65" t="s">
        <v>114</v>
      </c>
      <c r="E161" s="65" t="s">
        <v>102</v>
      </c>
      <c r="F161" s="66">
        <v>214.76</v>
      </c>
      <c r="G161" s="67">
        <f t="shared" si="40"/>
        <v>23.1583680340846</v>
      </c>
      <c r="H161" s="67">
        <f t="shared" si="41"/>
        <v>4973.491119</v>
      </c>
      <c r="I161" s="75">
        <v>2</v>
      </c>
      <c r="J161" s="75">
        <v>2</v>
      </c>
      <c r="K161" s="76">
        <f t="shared" si="42"/>
        <v>2996.405161</v>
      </c>
      <c r="L161" s="76">
        <f t="shared" si="43"/>
        <v>1707.845161</v>
      </c>
      <c r="M161" s="75">
        <v>2</v>
      </c>
      <c r="N161" s="77">
        <v>0</v>
      </c>
      <c r="O161" s="75">
        <v>0</v>
      </c>
      <c r="P161" s="67">
        <f t="shared" si="44"/>
        <v>429.52</v>
      </c>
      <c r="Q161" s="77">
        <v>3265.645958</v>
      </c>
      <c r="R161" s="67">
        <f t="shared" si="45"/>
        <v>1288.56</v>
      </c>
      <c r="S161" s="67">
        <v>0</v>
      </c>
      <c r="T161" s="76">
        <f t="shared" si="46"/>
        <v>1707.845161</v>
      </c>
      <c r="U161" s="76"/>
      <c r="V161" s="77">
        <v>0</v>
      </c>
      <c r="W161" s="75">
        <v>0</v>
      </c>
      <c r="X161" s="76"/>
      <c r="Y161" s="77">
        <v>1155.003248</v>
      </c>
      <c r="Z161" s="77">
        <v>0</v>
      </c>
      <c r="AA161" s="67">
        <f t="shared" si="47"/>
        <v>0</v>
      </c>
      <c r="AB161" s="77">
        <v>0</v>
      </c>
      <c r="AC161" s="67">
        <f t="shared" si="48"/>
        <v>0</v>
      </c>
      <c r="AD161" s="77">
        <v>0</v>
      </c>
      <c r="AE161" s="67">
        <f t="shared" si="49"/>
        <v>0</v>
      </c>
      <c r="AF161" s="82">
        <v>0</v>
      </c>
      <c r="AG161" s="67">
        <f t="shared" si="50"/>
        <v>0</v>
      </c>
      <c r="AH161" s="77">
        <v>0</v>
      </c>
      <c r="AI161" s="67">
        <f t="shared" si="51"/>
        <v>0</v>
      </c>
      <c r="AJ161" s="77">
        <v>40.583731</v>
      </c>
      <c r="AK161" s="77">
        <v>0</v>
      </c>
      <c r="AL161" s="77">
        <v>0</v>
      </c>
      <c r="AM161" s="77">
        <v>0</v>
      </c>
      <c r="AN161" s="77">
        <v>0</v>
      </c>
      <c r="AO161" s="77">
        <v>512.258182</v>
      </c>
      <c r="AP161" s="67">
        <f t="shared" si="52"/>
        <v>429.52</v>
      </c>
      <c r="AQ161" s="91">
        <f t="shared" si="53"/>
        <v>0</v>
      </c>
      <c r="AR161" s="91">
        <f t="shared" si="54"/>
        <v>0</v>
      </c>
      <c r="AS161" s="67">
        <f t="shared" si="55"/>
        <v>0.85904</v>
      </c>
      <c r="AT161" s="67">
        <f t="shared" si="56"/>
        <v>0.026845</v>
      </c>
      <c r="AU161" s="67">
        <f t="shared" si="57"/>
        <v>0.64428</v>
      </c>
      <c r="AV161" s="67">
        <f t="shared" si="58"/>
        <v>0.0134225</v>
      </c>
      <c r="AW161" s="67">
        <f t="shared" si="59"/>
        <v>0</v>
      </c>
      <c r="AX161" s="67"/>
      <c r="AY161" s="67"/>
      <c r="AZ161" s="75"/>
    </row>
    <row r="162" spans="1:52">
      <c r="A162" s="64">
        <v>157</v>
      </c>
      <c r="B162" s="65" t="s">
        <v>223</v>
      </c>
      <c r="C162" s="65" t="s">
        <v>223</v>
      </c>
      <c r="D162" s="65" t="s">
        <v>112</v>
      </c>
      <c r="E162" s="65" t="s">
        <v>114</v>
      </c>
      <c r="F162" s="66">
        <v>306.51</v>
      </c>
      <c r="G162" s="67">
        <f t="shared" si="40"/>
        <v>34.2840207986689</v>
      </c>
      <c r="H162" s="67">
        <f t="shared" si="41"/>
        <v>10508.395215</v>
      </c>
      <c r="I162" s="75">
        <v>2</v>
      </c>
      <c r="J162" s="75">
        <v>2</v>
      </c>
      <c r="K162" s="76">
        <f t="shared" si="42"/>
        <v>7158.36486</v>
      </c>
      <c r="L162" s="76">
        <f t="shared" si="43"/>
        <v>5319.30486</v>
      </c>
      <c r="M162" s="75">
        <v>2</v>
      </c>
      <c r="N162" s="77">
        <v>0</v>
      </c>
      <c r="O162" s="75">
        <v>0</v>
      </c>
      <c r="P162" s="67">
        <f t="shared" si="44"/>
        <v>613.02</v>
      </c>
      <c r="Q162" s="77">
        <v>5189.090355</v>
      </c>
      <c r="R162" s="67">
        <f t="shared" si="45"/>
        <v>1839.06</v>
      </c>
      <c r="S162" s="67">
        <v>0</v>
      </c>
      <c r="T162" s="76">
        <f t="shared" si="46"/>
        <v>5319.30486</v>
      </c>
      <c r="U162" s="76"/>
      <c r="V162" s="77">
        <v>368.544558</v>
      </c>
      <c r="W162" s="75">
        <v>1</v>
      </c>
      <c r="X162" s="76"/>
      <c r="Y162" s="77">
        <v>1264.99573</v>
      </c>
      <c r="Z162" s="77">
        <v>0</v>
      </c>
      <c r="AA162" s="67">
        <f t="shared" si="47"/>
        <v>0</v>
      </c>
      <c r="AB162" s="77">
        <v>0</v>
      </c>
      <c r="AC162" s="67">
        <f t="shared" si="48"/>
        <v>0</v>
      </c>
      <c r="AD162" s="77">
        <v>132.008985</v>
      </c>
      <c r="AE162" s="67">
        <f t="shared" si="49"/>
        <v>264.01797</v>
      </c>
      <c r="AF162" s="82">
        <v>0</v>
      </c>
      <c r="AG162" s="67">
        <f t="shared" si="50"/>
        <v>0</v>
      </c>
      <c r="AH162" s="77">
        <v>0</v>
      </c>
      <c r="AI162" s="67">
        <f t="shared" si="51"/>
        <v>0</v>
      </c>
      <c r="AJ162" s="77">
        <v>1722.476076</v>
      </c>
      <c r="AK162" s="77">
        <v>0</v>
      </c>
      <c r="AL162" s="77">
        <v>0</v>
      </c>
      <c r="AM162" s="77">
        <v>0</v>
      </c>
      <c r="AN162" s="77">
        <v>0</v>
      </c>
      <c r="AO162" s="77">
        <v>1699.270526</v>
      </c>
      <c r="AP162" s="67">
        <f t="shared" si="52"/>
        <v>613.02</v>
      </c>
      <c r="AQ162" s="91">
        <f t="shared" si="53"/>
        <v>0</v>
      </c>
      <c r="AR162" s="91">
        <f t="shared" si="54"/>
        <v>0</v>
      </c>
      <c r="AS162" s="67">
        <f t="shared" si="55"/>
        <v>1.22604</v>
      </c>
      <c r="AT162" s="67">
        <f t="shared" si="56"/>
        <v>0.03831375</v>
      </c>
      <c r="AU162" s="67">
        <f t="shared" si="57"/>
        <v>0.91953</v>
      </c>
      <c r="AV162" s="67">
        <f t="shared" si="58"/>
        <v>0.019156875</v>
      </c>
      <c r="AW162" s="67">
        <f t="shared" si="59"/>
        <v>0.00660044925</v>
      </c>
      <c r="AX162" s="67"/>
      <c r="AY162" s="67"/>
      <c r="AZ162" s="75"/>
    </row>
    <row r="163" spans="1:52">
      <c r="A163" s="64">
        <v>158</v>
      </c>
      <c r="B163" s="65" t="s">
        <v>223</v>
      </c>
      <c r="C163" s="65" t="s">
        <v>223</v>
      </c>
      <c r="D163" s="65" t="s">
        <v>102</v>
      </c>
      <c r="E163" s="65" t="s">
        <v>86</v>
      </c>
      <c r="F163" s="66">
        <v>436.42</v>
      </c>
      <c r="G163" s="67">
        <f t="shared" si="40"/>
        <v>23.8194543352734</v>
      </c>
      <c r="H163" s="67">
        <f t="shared" si="41"/>
        <v>10395.286261</v>
      </c>
      <c r="I163" s="75">
        <v>2</v>
      </c>
      <c r="J163" s="75">
        <v>2</v>
      </c>
      <c r="K163" s="76">
        <f t="shared" si="42"/>
        <v>6460.655741</v>
      </c>
      <c r="L163" s="76">
        <f t="shared" si="43"/>
        <v>3842.135741</v>
      </c>
      <c r="M163" s="75">
        <v>2</v>
      </c>
      <c r="N163" s="77">
        <v>0</v>
      </c>
      <c r="O163" s="75">
        <v>0</v>
      </c>
      <c r="P163" s="67">
        <f t="shared" si="44"/>
        <v>872.84</v>
      </c>
      <c r="Q163" s="77">
        <v>6553.15052</v>
      </c>
      <c r="R163" s="67">
        <f t="shared" si="45"/>
        <v>2618.52</v>
      </c>
      <c r="S163" s="67">
        <v>0</v>
      </c>
      <c r="T163" s="76">
        <f t="shared" si="46"/>
        <v>3842.135741</v>
      </c>
      <c r="U163" s="76"/>
      <c r="V163" s="77">
        <v>0</v>
      </c>
      <c r="W163" s="75">
        <v>0</v>
      </c>
      <c r="X163" s="76"/>
      <c r="Y163" s="77">
        <v>2213.568756</v>
      </c>
      <c r="Z163" s="77">
        <v>0</v>
      </c>
      <c r="AA163" s="67">
        <f t="shared" si="47"/>
        <v>0</v>
      </c>
      <c r="AB163" s="77">
        <v>0</v>
      </c>
      <c r="AC163" s="67">
        <f t="shared" si="48"/>
        <v>0</v>
      </c>
      <c r="AD163" s="77">
        <v>0</v>
      </c>
      <c r="AE163" s="67">
        <f t="shared" si="49"/>
        <v>0</v>
      </c>
      <c r="AF163" s="82">
        <v>0</v>
      </c>
      <c r="AG163" s="67">
        <f t="shared" si="50"/>
        <v>0</v>
      </c>
      <c r="AH163" s="77">
        <v>0</v>
      </c>
      <c r="AI163" s="67">
        <f t="shared" si="51"/>
        <v>0</v>
      </c>
      <c r="AJ163" s="77">
        <v>279.562754</v>
      </c>
      <c r="AK163" s="77">
        <v>0</v>
      </c>
      <c r="AL163" s="77">
        <v>0</v>
      </c>
      <c r="AM163" s="77">
        <v>0</v>
      </c>
      <c r="AN163" s="77">
        <v>0</v>
      </c>
      <c r="AO163" s="77">
        <v>1349.004231</v>
      </c>
      <c r="AP163" s="67">
        <f t="shared" si="52"/>
        <v>872.84</v>
      </c>
      <c r="AQ163" s="91">
        <f t="shared" si="53"/>
        <v>0</v>
      </c>
      <c r="AR163" s="91">
        <f t="shared" si="54"/>
        <v>0</v>
      </c>
      <c r="AS163" s="67">
        <f t="shared" si="55"/>
        <v>1.74568</v>
      </c>
      <c r="AT163" s="67">
        <f t="shared" si="56"/>
        <v>0.0545525</v>
      </c>
      <c r="AU163" s="67">
        <f t="shared" si="57"/>
        <v>1.30926</v>
      </c>
      <c r="AV163" s="67">
        <f t="shared" si="58"/>
        <v>0.02727625</v>
      </c>
      <c r="AW163" s="67">
        <f t="shared" si="59"/>
        <v>0</v>
      </c>
      <c r="AX163" s="67"/>
      <c r="AY163" s="67"/>
      <c r="AZ163" s="75"/>
    </row>
    <row r="164" spans="1:52">
      <c r="A164" s="64">
        <v>159</v>
      </c>
      <c r="B164" s="65" t="s">
        <v>242</v>
      </c>
      <c r="C164" s="65" t="s">
        <v>242</v>
      </c>
      <c r="D164" s="65" t="s">
        <v>243</v>
      </c>
      <c r="E164" s="65" t="s">
        <v>171</v>
      </c>
      <c r="F164" s="66">
        <v>735.19</v>
      </c>
      <c r="G164" s="67">
        <f t="shared" si="40"/>
        <v>20.1204402712224</v>
      </c>
      <c r="H164" s="67">
        <f t="shared" si="41"/>
        <v>14792.346483</v>
      </c>
      <c r="I164" s="75">
        <v>3</v>
      </c>
      <c r="J164" s="75">
        <v>3</v>
      </c>
      <c r="K164" s="76">
        <f t="shared" si="42"/>
        <v>14488.598802</v>
      </c>
      <c r="L164" s="76">
        <f t="shared" si="43"/>
        <v>10077.458802</v>
      </c>
      <c r="M164" s="75">
        <v>2</v>
      </c>
      <c r="N164" s="77">
        <v>0</v>
      </c>
      <c r="O164" s="75">
        <v>0</v>
      </c>
      <c r="P164" s="67">
        <f t="shared" si="44"/>
        <v>1470.38</v>
      </c>
      <c r="Q164" s="77">
        <v>4714.887681</v>
      </c>
      <c r="R164" s="67">
        <f t="shared" si="45"/>
        <v>4411.14</v>
      </c>
      <c r="S164" s="67">
        <v>0</v>
      </c>
      <c r="T164" s="76">
        <f t="shared" si="46"/>
        <v>10077.458802</v>
      </c>
      <c r="U164" s="76"/>
      <c r="V164" s="77">
        <v>0</v>
      </c>
      <c r="W164" s="75">
        <v>0</v>
      </c>
      <c r="X164" s="76"/>
      <c r="Y164" s="77">
        <v>284.86527</v>
      </c>
      <c r="Z164" s="77">
        <v>0</v>
      </c>
      <c r="AA164" s="67">
        <f t="shared" si="47"/>
        <v>0</v>
      </c>
      <c r="AB164" s="77">
        <v>0</v>
      </c>
      <c r="AC164" s="67">
        <f t="shared" si="48"/>
        <v>0</v>
      </c>
      <c r="AD164" s="77">
        <v>0</v>
      </c>
      <c r="AE164" s="67">
        <f t="shared" si="49"/>
        <v>0</v>
      </c>
      <c r="AF164" s="82">
        <v>0</v>
      </c>
      <c r="AG164" s="67">
        <f t="shared" si="50"/>
        <v>0</v>
      </c>
      <c r="AH164" s="77">
        <v>190.464538</v>
      </c>
      <c r="AI164" s="67">
        <f t="shared" si="51"/>
        <v>380.929076</v>
      </c>
      <c r="AJ164" s="77">
        <v>8.858757</v>
      </c>
      <c r="AK164" s="77">
        <v>0</v>
      </c>
      <c r="AL164" s="77">
        <v>0</v>
      </c>
      <c r="AM164" s="77">
        <v>2913.945116</v>
      </c>
      <c r="AN164" s="77">
        <v>0</v>
      </c>
      <c r="AO164" s="77">
        <v>6488.860583</v>
      </c>
      <c r="AP164" s="67">
        <f t="shared" si="52"/>
        <v>1470.38</v>
      </c>
      <c r="AQ164" s="91">
        <f t="shared" si="53"/>
        <v>2.94076</v>
      </c>
      <c r="AR164" s="91">
        <f t="shared" si="54"/>
        <v>0.0490126666666667</v>
      </c>
      <c r="AS164" s="67">
        <f t="shared" si="55"/>
        <v>0</v>
      </c>
      <c r="AT164" s="67">
        <f t="shared" si="56"/>
        <v>0</v>
      </c>
      <c r="AU164" s="67">
        <f t="shared" si="57"/>
        <v>1.47038</v>
      </c>
      <c r="AV164" s="67">
        <f t="shared" si="58"/>
        <v>0.0306329166666667</v>
      </c>
      <c r="AW164" s="67">
        <f t="shared" si="59"/>
        <v>0</v>
      </c>
      <c r="AX164" s="67"/>
      <c r="AY164" s="67"/>
      <c r="AZ164" s="75"/>
    </row>
    <row r="165" spans="1:52">
      <c r="A165" s="64">
        <v>160</v>
      </c>
      <c r="B165" s="65" t="s">
        <v>244</v>
      </c>
      <c r="C165" s="65" t="s">
        <v>244</v>
      </c>
      <c r="D165" s="65" t="s">
        <v>245</v>
      </c>
      <c r="E165" s="65" t="s">
        <v>242</v>
      </c>
      <c r="F165" s="66">
        <v>93.19</v>
      </c>
      <c r="G165" s="67">
        <f t="shared" si="40"/>
        <v>15.6641382122545</v>
      </c>
      <c r="H165" s="67">
        <f t="shared" si="41"/>
        <v>1459.74104</v>
      </c>
      <c r="I165" s="75">
        <v>3</v>
      </c>
      <c r="J165" s="75">
        <v>3</v>
      </c>
      <c r="K165" s="76">
        <f t="shared" si="42"/>
        <v>1394.092504</v>
      </c>
      <c r="L165" s="76">
        <f t="shared" si="43"/>
        <v>834.952504</v>
      </c>
      <c r="M165" s="75">
        <v>2</v>
      </c>
      <c r="N165" s="77">
        <v>0</v>
      </c>
      <c r="O165" s="75">
        <v>0</v>
      </c>
      <c r="P165" s="67">
        <f t="shared" si="44"/>
        <v>186.38</v>
      </c>
      <c r="Q165" s="77">
        <v>624.788536</v>
      </c>
      <c r="R165" s="67">
        <f t="shared" si="45"/>
        <v>559.14</v>
      </c>
      <c r="S165" s="67">
        <v>0</v>
      </c>
      <c r="T165" s="76">
        <f t="shared" si="46"/>
        <v>834.952504</v>
      </c>
      <c r="U165" s="76"/>
      <c r="V165" s="77">
        <v>0</v>
      </c>
      <c r="W165" s="75">
        <v>0</v>
      </c>
      <c r="X165" s="76"/>
      <c r="Y165" s="77">
        <v>0</v>
      </c>
      <c r="Z165" s="77">
        <v>0</v>
      </c>
      <c r="AA165" s="67">
        <f t="shared" si="47"/>
        <v>0</v>
      </c>
      <c r="AB165" s="77">
        <v>0</v>
      </c>
      <c r="AC165" s="67">
        <f t="shared" si="48"/>
        <v>0</v>
      </c>
      <c r="AD165" s="77">
        <v>0</v>
      </c>
      <c r="AE165" s="67">
        <f t="shared" si="49"/>
        <v>0</v>
      </c>
      <c r="AF165" s="82">
        <v>0</v>
      </c>
      <c r="AG165" s="67">
        <f t="shared" si="50"/>
        <v>0</v>
      </c>
      <c r="AH165" s="77">
        <v>0</v>
      </c>
      <c r="AI165" s="67">
        <f t="shared" si="51"/>
        <v>0</v>
      </c>
      <c r="AJ165" s="77">
        <v>97.556557</v>
      </c>
      <c r="AK165" s="77">
        <v>0</v>
      </c>
      <c r="AL165" s="77">
        <v>0</v>
      </c>
      <c r="AM165" s="77">
        <v>0</v>
      </c>
      <c r="AN165" s="77">
        <v>0</v>
      </c>
      <c r="AO165" s="77">
        <v>737.395947</v>
      </c>
      <c r="AP165" s="67">
        <f t="shared" si="52"/>
        <v>186.38</v>
      </c>
      <c r="AQ165" s="91">
        <f t="shared" si="53"/>
        <v>0.37276</v>
      </c>
      <c r="AR165" s="91">
        <f t="shared" si="54"/>
        <v>0.00621266666666667</v>
      </c>
      <c r="AS165" s="67">
        <f t="shared" si="55"/>
        <v>0</v>
      </c>
      <c r="AT165" s="67">
        <f t="shared" si="56"/>
        <v>0</v>
      </c>
      <c r="AU165" s="67">
        <f t="shared" si="57"/>
        <v>0.18638</v>
      </c>
      <c r="AV165" s="67">
        <f t="shared" si="58"/>
        <v>0.00388291666666667</v>
      </c>
      <c r="AW165" s="67">
        <f t="shared" si="59"/>
        <v>0</v>
      </c>
      <c r="AX165" s="67"/>
      <c r="AY165" s="67"/>
      <c r="AZ165" s="75"/>
    </row>
    <row r="166" spans="1:52">
      <c r="A166" s="64">
        <v>161</v>
      </c>
      <c r="B166" s="65" t="s">
        <v>246</v>
      </c>
      <c r="C166" s="65" t="s">
        <v>246</v>
      </c>
      <c r="D166" s="65" t="s">
        <v>244</v>
      </c>
      <c r="E166" s="65" t="s">
        <v>137</v>
      </c>
      <c r="F166" s="66">
        <v>52.92</v>
      </c>
      <c r="G166" s="67">
        <f t="shared" si="40"/>
        <v>5.02877080498866</v>
      </c>
      <c r="H166" s="67">
        <f t="shared" si="41"/>
        <v>266.122551</v>
      </c>
      <c r="I166" s="75">
        <v>3</v>
      </c>
      <c r="J166" s="75">
        <v>3</v>
      </c>
      <c r="K166" s="76">
        <f t="shared" si="42"/>
        <v>317.52</v>
      </c>
      <c r="L166" s="76">
        <f t="shared" si="43"/>
        <v>0</v>
      </c>
      <c r="M166" s="75">
        <v>0</v>
      </c>
      <c r="N166" s="77">
        <v>0</v>
      </c>
      <c r="O166" s="75">
        <v>0</v>
      </c>
      <c r="P166" s="67">
        <f t="shared" si="44"/>
        <v>105.84</v>
      </c>
      <c r="Q166" s="77">
        <v>266.122551</v>
      </c>
      <c r="R166" s="67">
        <f t="shared" si="45"/>
        <v>317.52</v>
      </c>
      <c r="S166" s="67">
        <v>0</v>
      </c>
      <c r="T166" s="76">
        <f t="shared" si="46"/>
        <v>0</v>
      </c>
      <c r="U166" s="76"/>
      <c r="V166" s="77">
        <v>0</v>
      </c>
      <c r="W166" s="75">
        <v>0</v>
      </c>
      <c r="X166" s="76"/>
      <c r="Y166" s="77">
        <v>0</v>
      </c>
      <c r="Z166" s="77">
        <v>0</v>
      </c>
      <c r="AA166" s="67">
        <f t="shared" si="47"/>
        <v>0</v>
      </c>
      <c r="AB166" s="77">
        <v>0</v>
      </c>
      <c r="AC166" s="67">
        <f t="shared" si="48"/>
        <v>0</v>
      </c>
      <c r="AD166" s="77">
        <v>0</v>
      </c>
      <c r="AE166" s="67">
        <f t="shared" si="49"/>
        <v>0</v>
      </c>
      <c r="AF166" s="82">
        <v>0</v>
      </c>
      <c r="AG166" s="67">
        <f t="shared" si="50"/>
        <v>0</v>
      </c>
      <c r="AH166" s="77">
        <v>0</v>
      </c>
      <c r="AI166" s="67">
        <f t="shared" si="51"/>
        <v>0</v>
      </c>
      <c r="AJ166" s="77">
        <v>0</v>
      </c>
      <c r="AK166" s="77">
        <v>0</v>
      </c>
      <c r="AL166" s="77">
        <v>0</v>
      </c>
      <c r="AM166" s="77">
        <v>0</v>
      </c>
      <c r="AN166" s="77">
        <v>0</v>
      </c>
      <c r="AO166" s="77">
        <v>0</v>
      </c>
      <c r="AP166" s="67">
        <f t="shared" si="52"/>
        <v>105.84</v>
      </c>
      <c r="AQ166" s="91">
        <f t="shared" si="53"/>
        <v>0.21168</v>
      </c>
      <c r="AR166" s="91">
        <f t="shared" si="54"/>
        <v>0.003528</v>
      </c>
      <c r="AS166" s="67">
        <f t="shared" si="55"/>
        <v>0</v>
      </c>
      <c r="AT166" s="67">
        <f t="shared" si="56"/>
        <v>0</v>
      </c>
      <c r="AU166" s="67">
        <f t="shared" si="57"/>
        <v>0.10584</v>
      </c>
      <c r="AV166" s="67">
        <f t="shared" si="58"/>
        <v>0.002205</v>
      </c>
      <c r="AW166" s="67">
        <f t="shared" si="59"/>
        <v>0</v>
      </c>
      <c r="AX166" s="67"/>
      <c r="AY166" s="67"/>
      <c r="AZ166" s="75"/>
    </row>
    <row r="167" spans="1:52">
      <c r="A167" s="64">
        <v>162</v>
      </c>
      <c r="B167" s="65" t="s">
        <v>137</v>
      </c>
      <c r="C167" s="65" t="s">
        <v>137</v>
      </c>
      <c r="D167" s="65" t="s">
        <v>242</v>
      </c>
      <c r="E167" s="65" t="s">
        <v>136</v>
      </c>
      <c r="F167" s="66">
        <v>610.04</v>
      </c>
      <c r="G167" s="67">
        <f t="shared" si="40"/>
        <v>40.0204028424366</v>
      </c>
      <c r="H167" s="67">
        <f t="shared" si="41"/>
        <v>24414.04655</v>
      </c>
      <c r="I167" s="75">
        <v>3</v>
      </c>
      <c r="J167" s="75">
        <v>3</v>
      </c>
      <c r="K167" s="76">
        <f t="shared" si="42"/>
        <v>23532.894638</v>
      </c>
      <c r="L167" s="76">
        <f t="shared" si="43"/>
        <v>19872.654638</v>
      </c>
      <c r="M167" s="75">
        <v>2</v>
      </c>
      <c r="N167" s="77">
        <v>0</v>
      </c>
      <c r="O167" s="75">
        <v>0</v>
      </c>
      <c r="P167" s="67">
        <f t="shared" si="44"/>
        <v>1220.08</v>
      </c>
      <c r="Q167" s="77">
        <v>4541.391912</v>
      </c>
      <c r="R167" s="67">
        <f t="shared" si="45"/>
        <v>3660.24</v>
      </c>
      <c r="S167" s="67">
        <v>0</v>
      </c>
      <c r="T167" s="76">
        <f t="shared" si="46"/>
        <v>19872.654638</v>
      </c>
      <c r="U167" s="76"/>
      <c r="V167" s="77">
        <v>0</v>
      </c>
      <c r="W167" s="75">
        <v>0</v>
      </c>
      <c r="X167" s="76"/>
      <c r="Y167" s="77">
        <v>307.20001</v>
      </c>
      <c r="Z167" s="77">
        <v>0</v>
      </c>
      <c r="AA167" s="67">
        <f t="shared" si="47"/>
        <v>0</v>
      </c>
      <c r="AB167" s="77">
        <v>0</v>
      </c>
      <c r="AC167" s="67">
        <f t="shared" si="48"/>
        <v>0</v>
      </c>
      <c r="AD167" s="77">
        <v>0</v>
      </c>
      <c r="AE167" s="67">
        <f t="shared" si="49"/>
        <v>0</v>
      </c>
      <c r="AF167" s="82">
        <v>0</v>
      </c>
      <c r="AG167" s="67">
        <f t="shared" si="50"/>
        <v>0</v>
      </c>
      <c r="AH167" s="77">
        <v>30.183217</v>
      </c>
      <c r="AI167" s="67">
        <f t="shared" si="51"/>
        <v>60.366434</v>
      </c>
      <c r="AJ167" s="77">
        <v>0</v>
      </c>
      <c r="AK167" s="77">
        <v>0</v>
      </c>
      <c r="AL167" s="77">
        <v>0</v>
      </c>
      <c r="AM167" s="77">
        <v>3933.337625</v>
      </c>
      <c r="AN167" s="77">
        <v>0</v>
      </c>
      <c r="AO167" s="77">
        <v>15571.750569</v>
      </c>
      <c r="AP167" s="67">
        <f t="shared" si="52"/>
        <v>1220.08</v>
      </c>
      <c r="AQ167" s="91">
        <f t="shared" si="53"/>
        <v>2.44016</v>
      </c>
      <c r="AR167" s="91">
        <f t="shared" si="54"/>
        <v>0.0406693333333333</v>
      </c>
      <c r="AS167" s="67">
        <f t="shared" si="55"/>
        <v>0</v>
      </c>
      <c r="AT167" s="67">
        <f t="shared" si="56"/>
        <v>0</v>
      </c>
      <c r="AU167" s="67">
        <f t="shared" si="57"/>
        <v>1.22008</v>
      </c>
      <c r="AV167" s="67">
        <f t="shared" si="58"/>
        <v>0.0254183333333333</v>
      </c>
      <c r="AW167" s="67">
        <f t="shared" si="59"/>
        <v>0</v>
      </c>
      <c r="AX167" s="67"/>
      <c r="AY167" s="67"/>
      <c r="AZ167" s="75"/>
    </row>
    <row r="168" spans="1:52">
      <c r="A168" s="64">
        <v>163</v>
      </c>
      <c r="B168" s="65" t="s">
        <v>170</v>
      </c>
      <c r="C168" s="65" t="s">
        <v>170</v>
      </c>
      <c r="D168" s="65" t="s">
        <v>247</v>
      </c>
      <c r="E168" s="65" t="s">
        <v>248</v>
      </c>
      <c r="F168" s="66">
        <v>992.24</v>
      </c>
      <c r="G168" s="67">
        <f t="shared" si="40"/>
        <v>141.359514194147</v>
      </c>
      <c r="H168" s="67">
        <f t="shared" si="41"/>
        <v>140262.564364</v>
      </c>
      <c r="I168" s="75">
        <v>1</v>
      </c>
      <c r="J168" s="75">
        <v>1</v>
      </c>
      <c r="K168" s="76">
        <f t="shared" si="42"/>
        <v>126154.250186</v>
      </c>
      <c r="L168" s="76">
        <f t="shared" si="43"/>
        <v>119651.76037</v>
      </c>
      <c r="M168" s="75">
        <v>2</v>
      </c>
      <c r="N168" s="77">
        <v>0</v>
      </c>
      <c r="O168" s="75">
        <v>0</v>
      </c>
      <c r="P168" s="67">
        <f t="shared" si="44"/>
        <v>1984.48</v>
      </c>
      <c r="Q168" s="77">
        <v>20061.754178</v>
      </c>
      <c r="R168" s="67">
        <f t="shared" si="45"/>
        <v>5953.44</v>
      </c>
      <c r="S168" s="67">
        <v>0</v>
      </c>
      <c r="T168" s="76">
        <f t="shared" si="46"/>
        <v>119651.76037</v>
      </c>
      <c r="U168" s="76"/>
      <c r="V168" s="77">
        <v>0</v>
      </c>
      <c r="W168" s="75">
        <v>0</v>
      </c>
      <c r="X168" s="76"/>
      <c r="Y168" s="77">
        <v>4871.00534</v>
      </c>
      <c r="Z168" s="77">
        <v>4.913773</v>
      </c>
      <c r="AA168" s="67">
        <f t="shared" si="47"/>
        <v>9.827546</v>
      </c>
      <c r="AB168" s="77">
        <v>274.524908</v>
      </c>
      <c r="AC168" s="67">
        <f t="shared" si="48"/>
        <v>549.049816</v>
      </c>
      <c r="AD168" s="77">
        <v>0</v>
      </c>
      <c r="AE168" s="67">
        <f t="shared" si="49"/>
        <v>0</v>
      </c>
      <c r="AF168" s="82">
        <v>0</v>
      </c>
      <c r="AG168" s="67">
        <f t="shared" si="50"/>
        <v>0</v>
      </c>
      <c r="AH168" s="77">
        <v>277.350375</v>
      </c>
      <c r="AI168" s="67">
        <f t="shared" si="51"/>
        <v>554.70075</v>
      </c>
      <c r="AJ168" s="77">
        <v>1160.091396</v>
      </c>
      <c r="AK168" s="77">
        <v>0</v>
      </c>
      <c r="AL168" s="77">
        <v>0</v>
      </c>
      <c r="AM168" s="77">
        <v>81789.485323</v>
      </c>
      <c r="AN168" s="77">
        <v>0</v>
      </c>
      <c r="AO168" s="77">
        <v>31266.650015</v>
      </c>
      <c r="AP168" s="67">
        <f t="shared" si="52"/>
        <v>1984.48</v>
      </c>
      <c r="AQ168" s="91">
        <f t="shared" si="53"/>
        <v>0</v>
      </c>
      <c r="AR168" s="91">
        <f t="shared" si="54"/>
        <v>0</v>
      </c>
      <c r="AS168" s="67">
        <f t="shared" si="55"/>
        <v>5.95344</v>
      </c>
      <c r="AT168" s="67">
        <f t="shared" si="56"/>
        <v>0.186045</v>
      </c>
      <c r="AU168" s="67">
        <f t="shared" si="57"/>
        <v>3.96896</v>
      </c>
      <c r="AV168" s="67">
        <f t="shared" si="58"/>
        <v>0.0826866666666667</v>
      </c>
      <c r="AW168" s="67">
        <f t="shared" si="59"/>
        <v>0.01397193405</v>
      </c>
      <c r="AX168" s="67"/>
      <c r="AY168" s="67"/>
      <c r="AZ168" s="75"/>
    </row>
    <row r="169" spans="1:52">
      <c r="A169" s="64">
        <v>164</v>
      </c>
      <c r="B169" s="65" t="s">
        <v>249</v>
      </c>
      <c r="C169" s="65" t="s">
        <v>249</v>
      </c>
      <c r="D169" s="65" t="s">
        <v>148</v>
      </c>
      <c r="E169" s="65" t="s">
        <v>250</v>
      </c>
      <c r="F169" s="66">
        <v>718.78</v>
      </c>
      <c r="G169" s="67">
        <f t="shared" si="40"/>
        <v>12.6335751217341</v>
      </c>
      <c r="H169" s="67">
        <f t="shared" si="41"/>
        <v>9080.761126</v>
      </c>
      <c r="I169" s="75">
        <v>3</v>
      </c>
      <c r="J169" s="75">
        <v>3</v>
      </c>
      <c r="K169" s="76">
        <f t="shared" si="42"/>
        <v>7943.000016</v>
      </c>
      <c r="L169" s="76">
        <f t="shared" si="43"/>
        <v>3488.060306</v>
      </c>
      <c r="M169" s="75">
        <v>2</v>
      </c>
      <c r="N169" s="77">
        <v>0</v>
      </c>
      <c r="O169" s="75">
        <v>0</v>
      </c>
      <c r="P169" s="67">
        <f t="shared" si="44"/>
        <v>1437.56</v>
      </c>
      <c r="Q169" s="77">
        <v>5450.44111</v>
      </c>
      <c r="R169" s="67">
        <f t="shared" si="45"/>
        <v>4312.68</v>
      </c>
      <c r="S169" s="67">
        <v>0</v>
      </c>
      <c r="T169" s="76">
        <f t="shared" si="46"/>
        <v>3488.060306</v>
      </c>
      <c r="U169" s="76"/>
      <c r="V169" s="77">
        <v>0</v>
      </c>
      <c r="W169" s="75">
        <v>0</v>
      </c>
      <c r="X169" s="76"/>
      <c r="Y169" s="77">
        <v>456.599769</v>
      </c>
      <c r="Z169" s="77">
        <v>0</v>
      </c>
      <c r="AA169" s="67">
        <f t="shared" si="47"/>
        <v>0</v>
      </c>
      <c r="AB169" s="77">
        <v>71.129855</v>
      </c>
      <c r="AC169" s="67">
        <f t="shared" si="48"/>
        <v>142.25971</v>
      </c>
      <c r="AD169" s="77">
        <v>0</v>
      </c>
      <c r="AE169" s="67">
        <f t="shared" si="49"/>
        <v>0</v>
      </c>
      <c r="AF169" s="82">
        <v>0</v>
      </c>
      <c r="AG169" s="67">
        <f t="shared" si="50"/>
        <v>0</v>
      </c>
      <c r="AH169" s="77">
        <v>120.169396</v>
      </c>
      <c r="AI169" s="67">
        <f t="shared" si="51"/>
        <v>240.338792</v>
      </c>
      <c r="AJ169" s="77">
        <v>515.657101</v>
      </c>
      <c r="AK169" s="77">
        <v>0</v>
      </c>
      <c r="AL169" s="77">
        <v>0</v>
      </c>
      <c r="AM169" s="77">
        <v>0</v>
      </c>
      <c r="AN169" s="77">
        <v>0</v>
      </c>
      <c r="AO169" s="77">
        <v>2275.464644</v>
      </c>
      <c r="AP169" s="67">
        <f t="shared" si="52"/>
        <v>1437.56</v>
      </c>
      <c r="AQ169" s="91">
        <f t="shared" si="53"/>
        <v>2.87512</v>
      </c>
      <c r="AR169" s="91">
        <f t="shared" si="54"/>
        <v>0.0479186666666667</v>
      </c>
      <c r="AS169" s="67">
        <f t="shared" si="55"/>
        <v>0</v>
      </c>
      <c r="AT169" s="67">
        <f t="shared" si="56"/>
        <v>0</v>
      </c>
      <c r="AU169" s="67">
        <f t="shared" si="57"/>
        <v>1.43756</v>
      </c>
      <c r="AV169" s="67">
        <f t="shared" si="58"/>
        <v>0.0299491666666667</v>
      </c>
      <c r="AW169" s="67">
        <f t="shared" si="59"/>
        <v>0.00355649275</v>
      </c>
      <c r="AX169" s="67"/>
      <c r="AY169" s="67"/>
      <c r="AZ169" s="75"/>
    </row>
    <row r="170" spans="1:52">
      <c r="A170" s="64">
        <v>165</v>
      </c>
      <c r="B170" s="65" t="s">
        <v>251</v>
      </c>
      <c r="C170" s="65" t="s">
        <v>252</v>
      </c>
      <c r="D170" s="65" t="s">
        <v>113</v>
      </c>
      <c r="E170" s="65" t="s">
        <v>253</v>
      </c>
      <c r="F170" s="66">
        <v>1157.13</v>
      </c>
      <c r="G170" s="67">
        <f t="shared" si="40"/>
        <v>22.1589362958354</v>
      </c>
      <c r="H170" s="67">
        <f t="shared" si="41"/>
        <v>25640.769956</v>
      </c>
      <c r="I170" s="75">
        <v>3</v>
      </c>
      <c r="J170" s="75">
        <v>3</v>
      </c>
      <c r="K170" s="76">
        <f t="shared" si="42"/>
        <v>23624.121309</v>
      </c>
      <c r="L170" s="76">
        <f t="shared" si="43"/>
        <v>16681.341309</v>
      </c>
      <c r="M170" s="75">
        <v>2</v>
      </c>
      <c r="N170" s="77">
        <v>0</v>
      </c>
      <c r="O170" s="75">
        <v>0</v>
      </c>
      <c r="P170" s="67">
        <f t="shared" si="44"/>
        <v>2314.26</v>
      </c>
      <c r="Q170" s="77">
        <v>8959.428647</v>
      </c>
      <c r="R170" s="67">
        <f t="shared" si="45"/>
        <v>6942.78</v>
      </c>
      <c r="S170" s="67">
        <v>0</v>
      </c>
      <c r="T170" s="76">
        <f t="shared" si="46"/>
        <v>16681.341309</v>
      </c>
      <c r="U170" s="76"/>
      <c r="V170" s="77">
        <v>5226.230813</v>
      </c>
      <c r="W170" s="75">
        <v>1</v>
      </c>
      <c r="X170" s="76"/>
      <c r="Y170" s="77">
        <v>3613.802012</v>
      </c>
      <c r="Z170" s="77">
        <v>12.762497</v>
      </c>
      <c r="AA170" s="67">
        <f t="shared" si="47"/>
        <v>25.524994</v>
      </c>
      <c r="AB170" s="77">
        <v>0</v>
      </c>
      <c r="AC170" s="67">
        <f t="shared" si="48"/>
        <v>0</v>
      </c>
      <c r="AD170" s="77">
        <v>2168.792234</v>
      </c>
      <c r="AE170" s="67">
        <f t="shared" si="49"/>
        <v>4337.584468</v>
      </c>
      <c r="AF170" s="82">
        <v>0</v>
      </c>
      <c r="AG170" s="67">
        <f t="shared" si="50"/>
        <v>0</v>
      </c>
      <c r="AH170" s="77">
        <v>4.700105</v>
      </c>
      <c r="AI170" s="67">
        <f t="shared" si="51"/>
        <v>9.40021</v>
      </c>
      <c r="AJ170" s="77">
        <v>231.815739</v>
      </c>
      <c r="AK170" s="77">
        <v>392.583692</v>
      </c>
      <c r="AL170" s="77">
        <v>0</v>
      </c>
      <c r="AM170" s="77">
        <v>35.556823</v>
      </c>
      <c r="AN170" s="77">
        <v>0</v>
      </c>
      <c r="AO170" s="77">
        <v>2808.842558</v>
      </c>
      <c r="AP170" s="67">
        <f t="shared" si="52"/>
        <v>2314.26</v>
      </c>
      <c r="AQ170" s="91">
        <f t="shared" si="53"/>
        <v>4.62852</v>
      </c>
      <c r="AR170" s="91">
        <f t="shared" si="54"/>
        <v>0.077142</v>
      </c>
      <c r="AS170" s="67">
        <f t="shared" si="55"/>
        <v>0</v>
      </c>
      <c r="AT170" s="67">
        <f t="shared" si="56"/>
        <v>0</v>
      </c>
      <c r="AU170" s="67">
        <f t="shared" si="57"/>
        <v>2.31426</v>
      </c>
      <c r="AV170" s="67">
        <f t="shared" si="58"/>
        <v>0.04821375</v>
      </c>
      <c r="AW170" s="67">
        <f t="shared" si="59"/>
        <v>0.10907773655</v>
      </c>
      <c r="AX170" s="67"/>
      <c r="AY170" s="67"/>
      <c r="AZ170" s="75"/>
    </row>
    <row r="171" spans="1:52">
      <c r="A171" s="64">
        <v>166</v>
      </c>
      <c r="B171" s="65" t="s">
        <v>254</v>
      </c>
      <c r="C171" s="65" t="s">
        <v>254</v>
      </c>
      <c r="D171" s="65" t="s">
        <v>255</v>
      </c>
      <c r="E171" s="65" t="s">
        <v>80</v>
      </c>
      <c r="F171" s="66">
        <v>177.59</v>
      </c>
      <c r="G171" s="67">
        <f t="shared" si="40"/>
        <v>22.1532211554705</v>
      </c>
      <c r="H171" s="67">
        <f t="shared" si="41"/>
        <v>3934.190545</v>
      </c>
      <c r="I171" s="75">
        <v>3</v>
      </c>
      <c r="J171" s="75">
        <v>3</v>
      </c>
      <c r="K171" s="76">
        <f t="shared" si="42"/>
        <v>2867.927024</v>
      </c>
      <c r="L171" s="76">
        <f t="shared" si="43"/>
        <v>1802.387024</v>
      </c>
      <c r="M171" s="75">
        <v>2</v>
      </c>
      <c r="N171" s="77">
        <v>0</v>
      </c>
      <c r="O171" s="75">
        <v>0</v>
      </c>
      <c r="P171" s="67">
        <f t="shared" si="44"/>
        <v>355.18</v>
      </c>
      <c r="Q171" s="77">
        <v>2131.803521</v>
      </c>
      <c r="R171" s="67">
        <f t="shared" si="45"/>
        <v>1065.54</v>
      </c>
      <c r="S171" s="67">
        <v>0</v>
      </c>
      <c r="T171" s="76">
        <f t="shared" si="46"/>
        <v>1802.387024</v>
      </c>
      <c r="U171" s="76"/>
      <c r="V171" s="77">
        <v>0</v>
      </c>
      <c r="W171" s="75">
        <v>0</v>
      </c>
      <c r="X171" s="76"/>
      <c r="Y171" s="77">
        <v>398.531311</v>
      </c>
      <c r="Z171" s="77">
        <v>0</v>
      </c>
      <c r="AA171" s="67">
        <f t="shared" si="47"/>
        <v>0</v>
      </c>
      <c r="AB171" s="77">
        <v>0</v>
      </c>
      <c r="AC171" s="67">
        <f t="shared" si="48"/>
        <v>0</v>
      </c>
      <c r="AD171" s="77">
        <v>0</v>
      </c>
      <c r="AE171" s="67">
        <f t="shared" si="49"/>
        <v>0</v>
      </c>
      <c r="AF171" s="82">
        <v>0</v>
      </c>
      <c r="AG171" s="67">
        <f t="shared" si="50"/>
        <v>0</v>
      </c>
      <c r="AH171" s="77">
        <v>0</v>
      </c>
      <c r="AI171" s="67">
        <f t="shared" si="51"/>
        <v>0</v>
      </c>
      <c r="AJ171" s="77">
        <v>33.244891</v>
      </c>
      <c r="AK171" s="77">
        <v>0</v>
      </c>
      <c r="AL171" s="77">
        <v>0</v>
      </c>
      <c r="AM171" s="77">
        <v>0</v>
      </c>
      <c r="AN171" s="77">
        <v>0</v>
      </c>
      <c r="AO171" s="77">
        <v>1370.610822</v>
      </c>
      <c r="AP171" s="67">
        <f t="shared" si="52"/>
        <v>355.18</v>
      </c>
      <c r="AQ171" s="91">
        <f t="shared" si="53"/>
        <v>0.71036</v>
      </c>
      <c r="AR171" s="91">
        <f t="shared" si="54"/>
        <v>0.0118393333333333</v>
      </c>
      <c r="AS171" s="67">
        <f t="shared" si="55"/>
        <v>0</v>
      </c>
      <c r="AT171" s="67">
        <f t="shared" si="56"/>
        <v>0</v>
      </c>
      <c r="AU171" s="67">
        <f t="shared" si="57"/>
        <v>0.35518</v>
      </c>
      <c r="AV171" s="67">
        <f t="shared" si="58"/>
        <v>0.00739958333333333</v>
      </c>
      <c r="AW171" s="67">
        <f t="shared" si="59"/>
        <v>0</v>
      </c>
      <c r="AX171" s="67"/>
      <c r="AY171" s="67"/>
      <c r="AZ171" s="75"/>
    </row>
    <row r="172" spans="1:52">
      <c r="A172" s="64">
        <v>167</v>
      </c>
      <c r="B172" s="65" t="s">
        <v>83</v>
      </c>
      <c r="C172" s="65" t="s">
        <v>83</v>
      </c>
      <c r="D172" s="65" t="s">
        <v>85</v>
      </c>
      <c r="E172" s="65" t="s">
        <v>256</v>
      </c>
      <c r="F172" s="66">
        <v>2785.13</v>
      </c>
      <c r="G172" s="67">
        <f t="shared" si="40"/>
        <v>58.0690651869033</v>
      </c>
      <c r="H172" s="67">
        <f t="shared" si="41"/>
        <v>161729.895524</v>
      </c>
      <c r="I172" s="75">
        <v>2</v>
      </c>
      <c r="J172" s="75">
        <v>2</v>
      </c>
      <c r="K172" s="76">
        <f t="shared" si="42"/>
        <v>104781.312489</v>
      </c>
      <c r="L172" s="76">
        <f t="shared" si="43"/>
        <v>88070.532489</v>
      </c>
      <c r="M172" s="75">
        <v>2</v>
      </c>
      <c r="N172" s="77">
        <v>2485.924416</v>
      </c>
      <c r="O172" s="75">
        <v>2</v>
      </c>
      <c r="P172" s="67">
        <f t="shared" si="44"/>
        <v>5570.26</v>
      </c>
      <c r="Q172" s="77">
        <v>73659.363035</v>
      </c>
      <c r="R172" s="67">
        <f t="shared" si="45"/>
        <v>16710.78</v>
      </c>
      <c r="S172" s="67">
        <v>0</v>
      </c>
      <c r="T172" s="76">
        <f t="shared" si="46"/>
        <v>88070.532489</v>
      </c>
      <c r="U172" s="76"/>
      <c r="V172" s="77">
        <v>13502.701552</v>
      </c>
      <c r="W172" s="75">
        <v>1</v>
      </c>
      <c r="X172" s="76"/>
      <c r="Y172" s="77">
        <v>0</v>
      </c>
      <c r="Z172" s="77">
        <v>0</v>
      </c>
      <c r="AA172" s="67">
        <f t="shared" si="47"/>
        <v>0</v>
      </c>
      <c r="AB172" s="77">
        <v>0</v>
      </c>
      <c r="AC172" s="67">
        <f t="shared" si="48"/>
        <v>0</v>
      </c>
      <c r="AD172" s="77">
        <v>3533.799488</v>
      </c>
      <c r="AE172" s="67">
        <f t="shared" si="49"/>
        <v>7067.598976</v>
      </c>
      <c r="AF172" s="82">
        <v>0</v>
      </c>
      <c r="AG172" s="67">
        <f t="shared" si="50"/>
        <v>0</v>
      </c>
      <c r="AH172" s="77">
        <v>4648.261156</v>
      </c>
      <c r="AI172" s="67">
        <f t="shared" si="51"/>
        <v>9296.522312</v>
      </c>
      <c r="AJ172" s="77">
        <v>11323.898099</v>
      </c>
      <c r="AK172" s="77">
        <v>0</v>
      </c>
      <c r="AL172" s="77">
        <v>0</v>
      </c>
      <c r="AM172" s="77">
        <v>4348.301681</v>
      </c>
      <c r="AN172" s="77">
        <v>1147.765093</v>
      </c>
      <c r="AO172" s="77">
        <v>41383.744776</v>
      </c>
      <c r="AP172" s="67">
        <f t="shared" si="52"/>
        <v>5570.26</v>
      </c>
      <c r="AQ172" s="91">
        <f t="shared" si="53"/>
        <v>0</v>
      </c>
      <c r="AR172" s="91">
        <f t="shared" si="54"/>
        <v>0</v>
      </c>
      <c r="AS172" s="67">
        <f t="shared" si="55"/>
        <v>11.14052</v>
      </c>
      <c r="AT172" s="67">
        <f t="shared" si="56"/>
        <v>0.34814125</v>
      </c>
      <c r="AU172" s="67">
        <f t="shared" si="57"/>
        <v>8.35539</v>
      </c>
      <c r="AV172" s="67">
        <f t="shared" si="58"/>
        <v>0.174070625</v>
      </c>
      <c r="AW172" s="67">
        <f t="shared" si="59"/>
        <v>0.1766899744</v>
      </c>
      <c r="AX172" s="67"/>
      <c r="AY172" s="67"/>
      <c r="AZ172" s="75"/>
    </row>
    <row r="173" spans="1:52">
      <c r="A173" s="64">
        <v>168</v>
      </c>
      <c r="B173" s="65" t="s">
        <v>83</v>
      </c>
      <c r="C173" s="65" t="s">
        <v>257</v>
      </c>
      <c r="D173" s="65"/>
      <c r="E173" s="65"/>
      <c r="F173" s="66">
        <v>31.95</v>
      </c>
      <c r="G173" s="67">
        <f t="shared" si="40"/>
        <v>36.2379697026604</v>
      </c>
      <c r="H173" s="67">
        <f t="shared" si="41"/>
        <v>1157.803132</v>
      </c>
      <c r="I173" s="75">
        <v>2</v>
      </c>
      <c r="J173" s="75">
        <v>2</v>
      </c>
      <c r="K173" s="76">
        <f t="shared" si="42"/>
        <v>191.7</v>
      </c>
      <c r="L173" s="76">
        <f t="shared" si="43"/>
        <v>0</v>
      </c>
      <c r="M173" s="75">
        <v>0</v>
      </c>
      <c r="N173" s="77">
        <v>0</v>
      </c>
      <c r="O173" s="75">
        <v>0</v>
      </c>
      <c r="P173" s="67">
        <f t="shared" si="44"/>
        <v>63.9</v>
      </c>
      <c r="Q173" s="77">
        <v>1157.803132</v>
      </c>
      <c r="R173" s="67">
        <f t="shared" si="45"/>
        <v>191.7</v>
      </c>
      <c r="S173" s="67">
        <v>0</v>
      </c>
      <c r="T173" s="76">
        <f t="shared" si="46"/>
        <v>0</v>
      </c>
      <c r="U173" s="76"/>
      <c r="V173" s="77">
        <v>0</v>
      </c>
      <c r="W173" s="75">
        <v>0</v>
      </c>
      <c r="X173" s="76"/>
      <c r="Y173" s="77">
        <v>0</v>
      </c>
      <c r="Z173" s="77">
        <v>0</v>
      </c>
      <c r="AA173" s="67">
        <f t="shared" si="47"/>
        <v>0</v>
      </c>
      <c r="AB173" s="77">
        <v>0</v>
      </c>
      <c r="AC173" s="67">
        <f t="shared" si="48"/>
        <v>0</v>
      </c>
      <c r="AD173" s="77">
        <v>0</v>
      </c>
      <c r="AE173" s="67">
        <f t="shared" si="49"/>
        <v>0</v>
      </c>
      <c r="AF173" s="82">
        <v>0</v>
      </c>
      <c r="AG173" s="67">
        <f t="shared" si="50"/>
        <v>0</v>
      </c>
      <c r="AH173" s="77">
        <v>0</v>
      </c>
      <c r="AI173" s="67">
        <f t="shared" si="51"/>
        <v>0</v>
      </c>
      <c r="AJ173" s="77">
        <v>0</v>
      </c>
      <c r="AK173" s="77">
        <v>0</v>
      </c>
      <c r="AL173" s="77">
        <v>0</v>
      </c>
      <c r="AM173" s="77">
        <v>0</v>
      </c>
      <c r="AN173" s="77">
        <v>0</v>
      </c>
      <c r="AO173" s="77">
        <v>0</v>
      </c>
      <c r="AP173" s="67">
        <f t="shared" si="52"/>
        <v>63.9</v>
      </c>
      <c r="AQ173" s="91">
        <f t="shared" si="53"/>
        <v>0</v>
      </c>
      <c r="AR173" s="91">
        <f t="shared" si="54"/>
        <v>0</v>
      </c>
      <c r="AS173" s="67">
        <f t="shared" si="55"/>
        <v>0.1278</v>
      </c>
      <c r="AT173" s="67">
        <f t="shared" si="56"/>
        <v>0.00399375</v>
      </c>
      <c r="AU173" s="67">
        <f t="shared" si="57"/>
        <v>0.09585</v>
      </c>
      <c r="AV173" s="67">
        <f t="shared" si="58"/>
        <v>0.001996875</v>
      </c>
      <c r="AW173" s="67">
        <f t="shared" si="59"/>
        <v>0</v>
      </c>
      <c r="AX173" s="67"/>
      <c r="AY173" s="67"/>
      <c r="AZ173" s="75"/>
    </row>
    <row r="174" spans="1:52">
      <c r="A174" s="64">
        <v>169</v>
      </c>
      <c r="B174" s="65" t="s">
        <v>83</v>
      </c>
      <c r="C174" s="65" t="s">
        <v>83</v>
      </c>
      <c r="D174" s="65" t="s">
        <v>170</v>
      </c>
      <c r="E174" s="65" t="s">
        <v>85</v>
      </c>
      <c r="F174" s="66">
        <v>595.64</v>
      </c>
      <c r="G174" s="67">
        <f t="shared" si="40"/>
        <v>68.7394221862199</v>
      </c>
      <c r="H174" s="67">
        <f t="shared" si="41"/>
        <v>40943.949431</v>
      </c>
      <c r="I174" s="75">
        <v>2</v>
      </c>
      <c r="J174" s="75">
        <v>2</v>
      </c>
      <c r="K174" s="76">
        <f t="shared" si="42"/>
        <v>32013.851173</v>
      </c>
      <c r="L174" s="76">
        <f t="shared" si="43"/>
        <v>28440.011173</v>
      </c>
      <c r="M174" s="75">
        <v>2</v>
      </c>
      <c r="N174" s="77">
        <v>0</v>
      </c>
      <c r="O174" s="75">
        <v>0</v>
      </c>
      <c r="P174" s="67">
        <f t="shared" si="44"/>
        <v>1191.28</v>
      </c>
      <c r="Q174" s="77">
        <v>12503.938258</v>
      </c>
      <c r="R174" s="67">
        <f t="shared" si="45"/>
        <v>3573.84</v>
      </c>
      <c r="S174" s="67">
        <v>0</v>
      </c>
      <c r="T174" s="76">
        <f t="shared" si="46"/>
        <v>28440.011173</v>
      </c>
      <c r="U174" s="76"/>
      <c r="V174" s="77">
        <v>1364.75961</v>
      </c>
      <c r="W174" s="75">
        <v>1</v>
      </c>
      <c r="X174" s="76"/>
      <c r="Y174" s="77">
        <v>121.311442</v>
      </c>
      <c r="Z174" s="77">
        <v>20.436837</v>
      </c>
      <c r="AA174" s="67">
        <f t="shared" si="47"/>
        <v>40.873674</v>
      </c>
      <c r="AB174" s="77">
        <v>0</v>
      </c>
      <c r="AC174" s="67">
        <f t="shared" si="48"/>
        <v>0</v>
      </c>
      <c r="AD174" s="77">
        <v>609.579346</v>
      </c>
      <c r="AE174" s="67">
        <f t="shared" si="49"/>
        <v>1219.158692</v>
      </c>
      <c r="AF174" s="82">
        <v>0</v>
      </c>
      <c r="AG174" s="67">
        <f t="shared" si="50"/>
        <v>0</v>
      </c>
      <c r="AH174" s="77">
        <v>389.024655</v>
      </c>
      <c r="AI174" s="67">
        <f t="shared" si="51"/>
        <v>778.04931</v>
      </c>
      <c r="AJ174" s="77">
        <v>5866.912308</v>
      </c>
      <c r="AK174" s="77">
        <v>0</v>
      </c>
      <c r="AL174" s="77">
        <v>0</v>
      </c>
      <c r="AM174" s="77">
        <v>7744.248889</v>
      </c>
      <c r="AN174" s="77">
        <v>0</v>
      </c>
      <c r="AO174" s="77">
        <v>11304.697248</v>
      </c>
      <c r="AP174" s="67">
        <f t="shared" si="52"/>
        <v>1191.28</v>
      </c>
      <c r="AQ174" s="91">
        <f t="shared" si="53"/>
        <v>0</v>
      </c>
      <c r="AR174" s="91">
        <f t="shared" si="54"/>
        <v>0</v>
      </c>
      <c r="AS174" s="67">
        <f t="shared" si="55"/>
        <v>2.38256</v>
      </c>
      <c r="AT174" s="67">
        <f t="shared" si="56"/>
        <v>0.074455</v>
      </c>
      <c r="AU174" s="67">
        <f t="shared" si="57"/>
        <v>1.78692</v>
      </c>
      <c r="AV174" s="67">
        <f t="shared" si="58"/>
        <v>0.0372275</v>
      </c>
      <c r="AW174" s="67">
        <f t="shared" si="59"/>
        <v>0.03150080915</v>
      </c>
      <c r="AX174" s="67"/>
      <c r="AY174" s="67"/>
      <c r="AZ174" s="75"/>
    </row>
    <row r="175" spans="1:52">
      <c r="A175" s="64">
        <v>170</v>
      </c>
      <c r="B175" s="65" t="s">
        <v>83</v>
      </c>
      <c r="C175" s="65" t="s">
        <v>83</v>
      </c>
      <c r="D175" s="65" t="s">
        <v>170</v>
      </c>
      <c r="E175" s="65" t="s">
        <v>258</v>
      </c>
      <c r="F175" s="66">
        <v>207.64</v>
      </c>
      <c r="G175" s="67">
        <f t="shared" si="40"/>
        <v>63.4697882970526</v>
      </c>
      <c r="H175" s="67">
        <f t="shared" si="41"/>
        <v>13178.866842</v>
      </c>
      <c r="I175" s="75">
        <v>2</v>
      </c>
      <c r="J175" s="75">
        <v>2</v>
      </c>
      <c r="K175" s="76">
        <f t="shared" si="42"/>
        <v>10440.607942</v>
      </c>
      <c r="L175" s="76">
        <f t="shared" si="43"/>
        <v>9194.767942</v>
      </c>
      <c r="M175" s="75">
        <v>2</v>
      </c>
      <c r="N175" s="77">
        <v>0</v>
      </c>
      <c r="O175" s="75">
        <v>0</v>
      </c>
      <c r="P175" s="67">
        <f t="shared" si="44"/>
        <v>415.28</v>
      </c>
      <c r="Q175" s="77">
        <v>3984.0989</v>
      </c>
      <c r="R175" s="67">
        <f t="shared" si="45"/>
        <v>1245.84</v>
      </c>
      <c r="S175" s="67">
        <v>0</v>
      </c>
      <c r="T175" s="76">
        <f t="shared" si="46"/>
        <v>9194.767942</v>
      </c>
      <c r="U175" s="76"/>
      <c r="V175" s="77">
        <v>0</v>
      </c>
      <c r="W175" s="75">
        <v>0</v>
      </c>
      <c r="X175" s="76"/>
      <c r="Y175" s="77">
        <v>201.960679</v>
      </c>
      <c r="Z175" s="77">
        <v>0</v>
      </c>
      <c r="AA175" s="67">
        <f t="shared" si="47"/>
        <v>0</v>
      </c>
      <c r="AB175" s="77">
        <v>0</v>
      </c>
      <c r="AC175" s="67">
        <f t="shared" si="48"/>
        <v>0</v>
      </c>
      <c r="AD175" s="77">
        <v>0</v>
      </c>
      <c r="AE175" s="67">
        <f t="shared" si="49"/>
        <v>0</v>
      </c>
      <c r="AF175" s="82">
        <v>0</v>
      </c>
      <c r="AG175" s="67">
        <f t="shared" si="50"/>
        <v>0</v>
      </c>
      <c r="AH175" s="77">
        <v>105.148635</v>
      </c>
      <c r="AI175" s="67">
        <f t="shared" si="51"/>
        <v>210.29727</v>
      </c>
      <c r="AJ175" s="77">
        <v>2089.583234</v>
      </c>
      <c r="AK175" s="77">
        <v>0</v>
      </c>
      <c r="AL175" s="77">
        <v>0</v>
      </c>
      <c r="AM175" s="77">
        <v>3639.381759</v>
      </c>
      <c r="AN175" s="77">
        <v>0</v>
      </c>
      <c r="AO175" s="77">
        <v>3053.545</v>
      </c>
      <c r="AP175" s="67">
        <f t="shared" si="52"/>
        <v>415.28</v>
      </c>
      <c r="AQ175" s="91">
        <f t="shared" si="53"/>
        <v>0</v>
      </c>
      <c r="AR175" s="91">
        <f t="shared" si="54"/>
        <v>0</v>
      </c>
      <c r="AS175" s="67">
        <f t="shared" si="55"/>
        <v>0.83056</v>
      </c>
      <c r="AT175" s="67">
        <f t="shared" si="56"/>
        <v>0.025955</v>
      </c>
      <c r="AU175" s="67">
        <f t="shared" si="57"/>
        <v>0.62292</v>
      </c>
      <c r="AV175" s="67">
        <f t="shared" si="58"/>
        <v>0.0129775</v>
      </c>
      <c r="AW175" s="67">
        <f t="shared" si="59"/>
        <v>0</v>
      </c>
      <c r="AX175" s="67"/>
      <c r="AY175" s="67"/>
      <c r="AZ175" s="75"/>
    </row>
    <row r="176" spans="1:52">
      <c r="A176" s="64">
        <v>171</v>
      </c>
      <c r="B176" s="65" t="s">
        <v>259</v>
      </c>
      <c r="C176" s="65" t="s">
        <v>259</v>
      </c>
      <c r="D176" s="65" t="s">
        <v>83</v>
      </c>
      <c r="E176" s="65" t="s">
        <v>180</v>
      </c>
      <c r="F176" s="66">
        <v>306.82</v>
      </c>
      <c r="G176" s="67">
        <f t="shared" si="40"/>
        <v>25.0910136627339</v>
      </c>
      <c r="H176" s="67">
        <f t="shared" si="41"/>
        <v>7698.424812</v>
      </c>
      <c r="I176" s="75">
        <v>2</v>
      </c>
      <c r="J176" s="75">
        <v>2</v>
      </c>
      <c r="K176" s="76">
        <f t="shared" si="42"/>
        <v>6088.236233</v>
      </c>
      <c r="L176" s="76">
        <f t="shared" si="43"/>
        <v>4247.316233</v>
      </c>
      <c r="M176" s="75">
        <v>0</v>
      </c>
      <c r="N176" s="77">
        <v>0</v>
      </c>
      <c r="O176" s="75">
        <v>0</v>
      </c>
      <c r="P176" s="67">
        <f t="shared" si="44"/>
        <v>613.64</v>
      </c>
      <c r="Q176" s="77">
        <v>3451.108579</v>
      </c>
      <c r="R176" s="67">
        <f t="shared" si="45"/>
        <v>1840.92</v>
      </c>
      <c r="S176" s="67">
        <v>0</v>
      </c>
      <c r="T176" s="76">
        <f t="shared" si="46"/>
        <v>4247.316233</v>
      </c>
      <c r="U176" s="76"/>
      <c r="V176" s="77">
        <v>1405.124843</v>
      </c>
      <c r="W176" s="75">
        <v>0</v>
      </c>
      <c r="X176" s="76"/>
      <c r="Y176" s="77">
        <v>0</v>
      </c>
      <c r="Z176" s="77">
        <v>0</v>
      </c>
      <c r="AA176" s="67">
        <f t="shared" si="47"/>
        <v>0</v>
      </c>
      <c r="AB176" s="77">
        <v>0</v>
      </c>
      <c r="AC176" s="67">
        <f t="shared" si="48"/>
        <v>0</v>
      </c>
      <c r="AD176" s="77">
        <v>312.609919</v>
      </c>
      <c r="AE176" s="67">
        <f t="shared" si="49"/>
        <v>625.219838</v>
      </c>
      <c r="AF176" s="82">
        <v>0</v>
      </c>
      <c r="AG176" s="67">
        <f t="shared" si="50"/>
        <v>0</v>
      </c>
      <c r="AH176" s="77">
        <v>467.769463</v>
      </c>
      <c r="AI176" s="67">
        <f t="shared" si="51"/>
        <v>935.538926</v>
      </c>
      <c r="AJ176" s="77">
        <v>0</v>
      </c>
      <c r="AK176" s="77">
        <v>0</v>
      </c>
      <c r="AL176" s="77">
        <v>0</v>
      </c>
      <c r="AM176" s="77">
        <v>34.106119</v>
      </c>
      <c r="AN176" s="77">
        <v>0</v>
      </c>
      <c r="AO176" s="77">
        <v>1247.326507</v>
      </c>
      <c r="AP176" s="67">
        <f t="shared" si="52"/>
        <v>613.64</v>
      </c>
      <c r="AQ176" s="91">
        <f t="shared" si="53"/>
        <v>0</v>
      </c>
      <c r="AR176" s="91">
        <f t="shared" si="54"/>
        <v>0</v>
      </c>
      <c r="AS176" s="67">
        <f t="shared" si="55"/>
        <v>1.22728</v>
      </c>
      <c r="AT176" s="67">
        <f t="shared" si="56"/>
        <v>0.0383525</v>
      </c>
      <c r="AU176" s="67">
        <f t="shared" si="57"/>
        <v>0.92046</v>
      </c>
      <c r="AV176" s="67">
        <f t="shared" si="58"/>
        <v>0.01917625</v>
      </c>
      <c r="AW176" s="67">
        <f t="shared" si="59"/>
        <v>0.01563049595</v>
      </c>
      <c r="AX176" s="67"/>
      <c r="AY176" s="67"/>
      <c r="AZ176" s="75"/>
    </row>
    <row r="177" spans="1:52">
      <c r="A177" s="64">
        <v>172</v>
      </c>
      <c r="B177" s="65" t="s">
        <v>260</v>
      </c>
      <c r="C177" s="65" t="s">
        <v>260</v>
      </c>
      <c r="D177" s="65" t="s">
        <v>261</v>
      </c>
      <c r="E177" s="65" t="s">
        <v>85</v>
      </c>
      <c r="F177" s="66">
        <v>840.09</v>
      </c>
      <c r="G177" s="67">
        <f t="shared" si="40"/>
        <v>21.7024043900058</v>
      </c>
      <c r="H177" s="67">
        <f t="shared" si="41"/>
        <v>18231.972904</v>
      </c>
      <c r="I177" s="75">
        <v>2</v>
      </c>
      <c r="J177" s="75">
        <v>2</v>
      </c>
      <c r="K177" s="76">
        <f t="shared" si="42"/>
        <v>5040.54</v>
      </c>
      <c r="L177" s="76">
        <f t="shared" si="43"/>
        <v>0</v>
      </c>
      <c r="M177" s="75">
        <v>4</v>
      </c>
      <c r="N177" s="77">
        <v>0</v>
      </c>
      <c r="O177" s="75">
        <v>0</v>
      </c>
      <c r="P177" s="67">
        <f t="shared" si="44"/>
        <v>1680.18</v>
      </c>
      <c r="Q177" s="77">
        <f>10305.184845+7926.788059</f>
        <v>18231.972904</v>
      </c>
      <c r="R177" s="67">
        <f t="shared" si="45"/>
        <v>5040.54</v>
      </c>
      <c r="S177" s="67">
        <v>0</v>
      </c>
      <c r="T177" s="76">
        <f t="shared" si="46"/>
        <v>0</v>
      </c>
      <c r="U177" s="76"/>
      <c r="V177" s="77">
        <v>0</v>
      </c>
      <c r="W177" s="75">
        <v>0</v>
      </c>
      <c r="X177" s="76"/>
      <c r="Y177" s="77">
        <v>0</v>
      </c>
      <c r="Z177" s="77">
        <v>0</v>
      </c>
      <c r="AA177" s="67">
        <f t="shared" si="47"/>
        <v>0</v>
      </c>
      <c r="AB177" s="77">
        <v>0</v>
      </c>
      <c r="AC177" s="67">
        <f t="shared" si="48"/>
        <v>0</v>
      </c>
      <c r="AD177" s="77">
        <v>0</v>
      </c>
      <c r="AE177" s="67">
        <f t="shared" si="49"/>
        <v>0</v>
      </c>
      <c r="AF177" s="82">
        <v>0</v>
      </c>
      <c r="AG177" s="67">
        <f t="shared" si="50"/>
        <v>0</v>
      </c>
      <c r="AH177" s="77">
        <v>0</v>
      </c>
      <c r="AI177" s="67">
        <f t="shared" si="51"/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  <c r="AO177" s="77">
        <v>0</v>
      </c>
      <c r="AP177" s="67">
        <f t="shared" si="52"/>
        <v>1680.18</v>
      </c>
      <c r="AQ177" s="91">
        <f t="shared" si="53"/>
        <v>0</v>
      </c>
      <c r="AR177" s="91">
        <f t="shared" si="54"/>
        <v>0</v>
      </c>
      <c r="AS177" s="67">
        <f t="shared" si="55"/>
        <v>3.36036</v>
      </c>
      <c r="AT177" s="67">
        <f t="shared" si="56"/>
        <v>0.10501125</v>
      </c>
      <c r="AU177" s="67">
        <f t="shared" si="57"/>
        <v>2.52027</v>
      </c>
      <c r="AV177" s="67">
        <f t="shared" si="58"/>
        <v>0.052505625</v>
      </c>
      <c r="AW177" s="67">
        <f t="shared" si="59"/>
        <v>0</v>
      </c>
      <c r="AX177" s="67"/>
      <c r="AY177" s="67"/>
      <c r="AZ177" s="75"/>
    </row>
    <row r="178" spans="1:52">
      <c r="A178" s="64">
        <v>173</v>
      </c>
      <c r="B178" s="65" t="s">
        <v>117</v>
      </c>
      <c r="C178" s="65" t="s">
        <v>117</v>
      </c>
      <c r="D178" s="65" t="s">
        <v>139</v>
      </c>
      <c r="E178" s="65" t="s">
        <v>179</v>
      </c>
      <c r="F178" s="66">
        <v>496.69</v>
      </c>
      <c r="G178" s="67">
        <f t="shared" si="40"/>
        <v>49.2456668747106</v>
      </c>
      <c r="H178" s="67">
        <f t="shared" si="41"/>
        <v>24459.83028</v>
      </c>
      <c r="I178" s="75">
        <v>1</v>
      </c>
      <c r="J178" s="75">
        <v>2</v>
      </c>
      <c r="K178" s="76">
        <f t="shared" si="42"/>
        <v>14998.835987</v>
      </c>
      <c r="L178" s="76">
        <f t="shared" si="43"/>
        <v>12018.695987</v>
      </c>
      <c r="M178" s="75">
        <v>2</v>
      </c>
      <c r="N178" s="77">
        <v>2776.269783</v>
      </c>
      <c r="O178" s="75">
        <v>2</v>
      </c>
      <c r="P178" s="67">
        <f t="shared" si="44"/>
        <v>993.38</v>
      </c>
      <c r="Q178" s="77">
        <v>12441.134293</v>
      </c>
      <c r="R178" s="67">
        <f t="shared" si="45"/>
        <v>2980.14</v>
      </c>
      <c r="S178" s="67">
        <v>0</v>
      </c>
      <c r="T178" s="76">
        <f t="shared" si="46"/>
        <v>12018.695987</v>
      </c>
      <c r="U178" s="76"/>
      <c r="V178" s="77">
        <v>626.33665</v>
      </c>
      <c r="W178" s="75">
        <v>2</v>
      </c>
      <c r="X178" s="76"/>
      <c r="Y178" s="77">
        <v>2533.639341</v>
      </c>
      <c r="Z178" s="77">
        <v>0</v>
      </c>
      <c r="AA178" s="67">
        <f t="shared" si="47"/>
        <v>0</v>
      </c>
      <c r="AB178" s="77">
        <v>0</v>
      </c>
      <c r="AC178" s="67">
        <f t="shared" si="48"/>
        <v>0</v>
      </c>
      <c r="AD178" s="77">
        <v>0</v>
      </c>
      <c r="AE178" s="67">
        <f t="shared" si="49"/>
        <v>0</v>
      </c>
      <c r="AF178" s="82">
        <v>0</v>
      </c>
      <c r="AG178" s="67">
        <f t="shared" si="50"/>
        <v>0</v>
      </c>
      <c r="AH178" s="77">
        <v>0</v>
      </c>
      <c r="AI178" s="67">
        <f t="shared" si="51"/>
        <v>0</v>
      </c>
      <c r="AJ178" s="77">
        <v>1266.267673</v>
      </c>
      <c r="AK178" s="77">
        <v>0</v>
      </c>
      <c r="AL178" s="77">
        <v>0</v>
      </c>
      <c r="AM178" s="77">
        <v>843.573824</v>
      </c>
      <c r="AN178" s="77">
        <v>254.166813</v>
      </c>
      <c r="AO178" s="77">
        <v>6494.711686</v>
      </c>
      <c r="AP178" s="67">
        <f t="shared" si="52"/>
        <v>993.38</v>
      </c>
      <c r="AQ178" s="91">
        <f t="shared" si="53"/>
        <v>0</v>
      </c>
      <c r="AR178" s="91">
        <f t="shared" si="54"/>
        <v>0</v>
      </c>
      <c r="AS178" s="67">
        <f t="shared" si="55"/>
        <v>1.98676</v>
      </c>
      <c r="AT178" s="67">
        <f t="shared" si="56"/>
        <v>0.06208625</v>
      </c>
      <c r="AU178" s="67">
        <f t="shared" si="57"/>
        <v>1.49007</v>
      </c>
      <c r="AV178" s="67">
        <f t="shared" si="58"/>
        <v>0.031043125</v>
      </c>
      <c r="AW178" s="67">
        <f t="shared" si="59"/>
        <v>0</v>
      </c>
      <c r="AX178" s="67"/>
      <c r="AY178" s="67"/>
      <c r="AZ178" s="75"/>
    </row>
    <row r="179" spans="1:52">
      <c r="A179" s="64">
        <v>174</v>
      </c>
      <c r="B179" s="65" t="s">
        <v>92</v>
      </c>
      <c r="C179" s="65" t="s">
        <v>92</v>
      </c>
      <c r="D179" s="65" t="s">
        <v>114</v>
      </c>
      <c r="E179" s="65" t="s">
        <v>112</v>
      </c>
      <c r="F179" s="66">
        <v>931.87</v>
      </c>
      <c r="G179" s="67">
        <f t="shared" si="40"/>
        <v>45.0699974867739</v>
      </c>
      <c r="H179" s="67">
        <f t="shared" si="41"/>
        <v>41999.378558</v>
      </c>
      <c r="I179" s="75">
        <v>1</v>
      </c>
      <c r="J179" s="75">
        <v>1</v>
      </c>
      <c r="K179" s="76">
        <f t="shared" si="42"/>
        <v>23399.265843</v>
      </c>
      <c r="L179" s="76">
        <f t="shared" si="43"/>
        <v>17808.045843</v>
      </c>
      <c r="M179" s="75">
        <v>2</v>
      </c>
      <c r="N179" s="77">
        <v>0</v>
      </c>
      <c r="O179" s="75">
        <v>0</v>
      </c>
      <c r="P179" s="67">
        <f t="shared" si="44"/>
        <v>1863.74</v>
      </c>
      <c r="Q179" s="77">
        <v>24191.332715</v>
      </c>
      <c r="R179" s="67">
        <f t="shared" si="45"/>
        <v>5591.22</v>
      </c>
      <c r="S179" s="67">
        <v>0</v>
      </c>
      <c r="T179" s="76">
        <f t="shared" si="46"/>
        <v>17808.045843</v>
      </c>
      <c r="U179" s="76"/>
      <c r="V179" s="77">
        <v>5166.172456</v>
      </c>
      <c r="W179" s="75">
        <v>2</v>
      </c>
      <c r="X179" s="76"/>
      <c r="Y179" s="77">
        <v>6289.801552</v>
      </c>
      <c r="Z179" s="77">
        <v>201.492632</v>
      </c>
      <c r="AA179" s="67">
        <f t="shared" si="47"/>
        <v>402.985264</v>
      </c>
      <c r="AB179" s="77">
        <v>0</v>
      </c>
      <c r="AC179" s="67">
        <f t="shared" si="48"/>
        <v>0</v>
      </c>
      <c r="AD179" s="77">
        <v>40.082778</v>
      </c>
      <c r="AE179" s="67">
        <f t="shared" si="49"/>
        <v>80.165556</v>
      </c>
      <c r="AF179" s="82">
        <v>0</v>
      </c>
      <c r="AG179" s="67">
        <f t="shared" si="50"/>
        <v>0</v>
      </c>
      <c r="AH179" s="77">
        <v>0</v>
      </c>
      <c r="AI179" s="67">
        <f t="shared" si="51"/>
        <v>0</v>
      </c>
      <c r="AJ179" s="77">
        <v>2928.918085</v>
      </c>
      <c r="AK179" s="77">
        <v>0</v>
      </c>
      <c r="AL179" s="77">
        <v>0</v>
      </c>
      <c r="AM179" s="77">
        <v>0</v>
      </c>
      <c r="AN179" s="77">
        <v>2013.649545</v>
      </c>
      <c r="AO179" s="77">
        <v>926.353385</v>
      </c>
      <c r="AP179" s="67">
        <f t="shared" si="52"/>
        <v>1863.74</v>
      </c>
      <c r="AQ179" s="91">
        <f t="shared" si="53"/>
        <v>0</v>
      </c>
      <c r="AR179" s="91">
        <f t="shared" si="54"/>
        <v>0</v>
      </c>
      <c r="AS179" s="67">
        <f t="shared" si="55"/>
        <v>5.59122</v>
      </c>
      <c r="AT179" s="67">
        <f t="shared" si="56"/>
        <v>0.174725625</v>
      </c>
      <c r="AU179" s="67">
        <f t="shared" si="57"/>
        <v>3.72748</v>
      </c>
      <c r="AV179" s="67">
        <f t="shared" si="58"/>
        <v>0.0776558333333333</v>
      </c>
      <c r="AW179" s="67">
        <f t="shared" si="59"/>
        <v>0.0120787705</v>
      </c>
      <c r="AX179" s="67"/>
      <c r="AY179" s="67"/>
      <c r="AZ179" s="75"/>
    </row>
    <row r="180" spans="1:52">
      <c r="A180" s="64">
        <v>175</v>
      </c>
      <c r="B180" s="65" t="s">
        <v>92</v>
      </c>
      <c r="C180" s="65" t="s">
        <v>92</v>
      </c>
      <c r="D180" s="65" t="s">
        <v>112</v>
      </c>
      <c r="E180" s="65" t="s">
        <v>139</v>
      </c>
      <c r="F180" s="66">
        <v>814.84</v>
      </c>
      <c r="G180" s="67">
        <f t="shared" si="40"/>
        <v>49.3687820099651</v>
      </c>
      <c r="H180" s="67">
        <f t="shared" si="41"/>
        <v>40227.658333</v>
      </c>
      <c r="I180" s="75">
        <v>1</v>
      </c>
      <c r="J180" s="75">
        <v>2</v>
      </c>
      <c r="K180" s="76">
        <f t="shared" si="42"/>
        <v>21794.594096</v>
      </c>
      <c r="L180" s="76">
        <f t="shared" si="43"/>
        <v>16905.554096</v>
      </c>
      <c r="M180" s="75">
        <v>2</v>
      </c>
      <c r="N180" s="77">
        <v>3384.400577</v>
      </c>
      <c r="O180" s="75">
        <v>2</v>
      </c>
      <c r="P180" s="67">
        <f t="shared" si="44"/>
        <v>1629.68</v>
      </c>
      <c r="Q180" s="77">
        <v>23322.104237</v>
      </c>
      <c r="R180" s="67">
        <f t="shared" si="45"/>
        <v>4889.04</v>
      </c>
      <c r="S180" s="67">
        <v>0</v>
      </c>
      <c r="T180" s="76">
        <f t="shared" si="46"/>
        <v>16905.554096</v>
      </c>
      <c r="U180" s="76"/>
      <c r="V180" s="77">
        <v>873.692599</v>
      </c>
      <c r="W180" s="75">
        <v>2</v>
      </c>
      <c r="X180" s="76"/>
      <c r="Y180" s="77">
        <v>4782.214381</v>
      </c>
      <c r="Z180" s="77">
        <v>0</v>
      </c>
      <c r="AA180" s="67">
        <f t="shared" si="47"/>
        <v>0</v>
      </c>
      <c r="AB180" s="77">
        <v>0</v>
      </c>
      <c r="AC180" s="67">
        <f t="shared" si="48"/>
        <v>0</v>
      </c>
      <c r="AD180" s="77">
        <v>102.385642</v>
      </c>
      <c r="AE180" s="67">
        <f t="shared" si="49"/>
        <v>204.771284</v>
      </c>
      <c r="AF180" s="82">
        <v>0</v>
      </c>
      <c r="AG180" s="67">
        <f t="shared" si="50"/>
        <v>0</v>
      </c>
      <c r="AH180" s="77">
        <v>0</v>
      </c>
      <c r="AI180" s="67">
        <f t="shared" si="51"/>
        <v>0</v>
      </c>
      <c r="AJ180" s="77">
        <v>1654.383348</v>
      </c>
      <c r="AK180" s="77">
        <v>0</v>
      </c>
      <c r="AL180" s="77">
        <v>0</v>
      </c>
      <c r="AM180" s="77">
        <v>1353.603219</v>
      </c>
      <c r="AN180" s="77">
        <v>66.995819</v>
      </c>
      <c r="AO180" s="77">
        <v>7969.893446</v>
      </c>
      <c r="AP180" s="67">
        <f t="shared" si="52"/>
        <v>1629.68</v>
      </c>
      <c r="AQ180" s="91">
        <f t="shared" si="53"/>
        <v>0</v>
      </c>
      <c r="AR180" s="91">
        <f t="shared" si="54"/>
        <v>0</v>
      </c>
      <c r="AS180" s="67">
        <f t="shared" si="55"/>
        <v>3.25936</v>
      </c>
      <c r="AT180" s="67">
        <f t="shared" si="56"/>
        <v>0.101855</v>
      </c>
      <c r="AU180" s="67">
        <f t="shared" si="57"/>
        <v>2.44452</v>
      </c>
      <c r="AV180" s="67">
        <f t="shared" si="58"/>
        <v>0.0509275</v>
      </c>
      <c r="AW180" s="67">
        <f t="shared" si="59"/>
        <v>0.0051192821</v>
      </c>
      <c r="AX180" s="67"/>
      <c r="AY180" s="67"/>
      <c r="AZ180" s="75"/>
    </row>
    <row r="181" spans="1:52">
      <c r="A181" s="64">
        <v>176</v>
      </c>
      <c r="B181" s="65" t="s">
        <v>92</v>
      </c>
      <c r="C181" s="65" t="s">
        <v>92</v>
      </c>
      <c r="D181" s="65" t="s">
        <v>86</v>
      </c>
      <c r="E181" s="65" t="s">
        <v>148</v>
      </c>
      <c r="F181" s="66">
        <v>910.94</v>
      </c>
      <c r="G181" s="67">
        <f t="shared" si="40"/>
        <v>47.5927822008036</v>
      </c>
      <c r="H181" s="67">
        <f t="shared" si="41"/>
        <v>43354.169018</v>
      </c>
      <c r="I181" s="75">
        <v>1</v>
      </c>
      <c r="J181" s="78">
        <v>3</v>
      </c>
      <c r="K181" s="76">
        <f t="shared" si="42"/>
        <v>24420.288898</v>
      </c>
      <c r="L181" s="76">
        <f t="shared" si="43"/>
        <v>18954.648898</v>
      </c>
      <c r="M181" s="75">
        <v>2</v>
      </c>
      <c r="N181" s="77">
        <v>0</v>
      </c>
      <c r="O181" s="75">
        <v>0</v>
      </c>
      <c r="P181" s="67">
        <f t="shared" si="44"/>
        <v>1821.88</v>
      </c>
      <c r="Q181" s="77">
        <v>24399.52012</v>
      </c>
      <c r="R181" s="67">
        <f t="shared" si="45"/>
        <v>5465.64</v>
      </c>
      <c r="S181" s="67">
        <v>0</v>
      </c>
      <c r="T181" s="76">
        <f t="shared" si="46"/>
        <v>18954.648898</v>
      </c>
      <c r="U181" s="76"/>
      <c r="V181" s="77">
        <v>5299.66176</v>
      </c>
      <c r="W181" s="75">
        <v>2</v>
      </c>
      <c r="X181" s="76"/>
      <c r="Y181" s="77">
        <v>5224.039119</v>
      </c>
      <c r="Z181" s="77">
        <v>13.117363</v>
      </c>
      <c r="AA181" s="67">
        <f t="shared" si="47"/>
        <v>26.234726</v>
      </c>
      <c r="AB181" s="77">
        <v>0</v>
      </c>
      <c r="AC181" s="67">
        <f t="shared" si="48"/>
        <v>0</v>
      </c>
      <c r="AD181" s="77">
        <v>125.328266</v>
      </c>
      <c r="AE181" s="67">
        <f t="shared" si="49"/>
        <v>250.656532</v>
      </c>
      <c r="AF181" s="82">
        <v>0</v>
      </c>
      <c r="AG181" s="67">
        <f t="shared" si="50"/>
        <v>0</v>
      </c>
      <c r="AH181" s="77">
        <v>0</v>
      </c>
      <c r="AI181" s="67">
        <f t="shared" si="51"/>
        <v>0</v>
      </c>
      <c r="AJ181" s="77">
        <v>1659.466811</v>
      </c>
      <c r="AK181" s="77">
        <v>0</v>
      </c>
      <c r="AL181" s="77">
        <v>0</v>
      </c>
      <c r="AM181" s="77">
        <v>0</v>
      </c>
      <c r="AN181" s="77">
        <v>1611.666631</v>
      </c>
      <c r="AO181" s="77">
        <v>4882.923319</v>
      </c>
      <c r="AP181" s="67">
        <f t="shared" si="52"/>
        <v>1821.88</v>
      </c>
      <c r="AQ181" s="91">
        <f t="shared" si="53"/>
        <v>3.64376</v>
      </c>
      <c r="AR181" s="91">
        <f t="shared" si="54"/>
        <v>0.0607293333333333</v>
      </c>
      <c r="AS181" s="67">
        <f t="shared" si="55"/>
        <v>0</v>
      </c>
      <c r="AT181" s="67">
        <f t="shared" si="56"/>
        <v>0</v>
      </c>
      <c r="AU181" s="67">
        <f t="shared" si="57"/>
        <v>1.82188</v>
      </c>
      <c r="AV181" s="67">
        <f t="shared" si="58"/>
        <v>0.0379558333333333</v>
      </c>
      <c r="AW181" s="67">
        <f t="shared" si="59"/>
        <v>0.00692228145</v>
      </c>
      <c r="AX181" s="67"/>
      <c r="AY181" s="67"/>
      <c r="AZ181" s="75"/>
    </row>
    <row r="182" spans="1:52">
      <c r="A182" s="64">
        <v>177</v>
      </c>
      <c r="B182" s="65" t="s">
        <v>92</v>
      </c>
      <c r="C182" s="65" t="s">
        <v>92</v>
      </c>
      <c r="D182" s="65" t="s">
        <v>114</v>
      </c>
      <c r="E182" s="65" t="s">
        <v>102</v>
      </c>
      <c r="F182" s="66">
        <v>346.47</v>
      </c>
      <c r="G182" s="67">
        <f t="shared" si="40"/>
        <v>46.9266562848154</v>
      </c>
      <c r="H182" s="67">
        <f t="shared" si="41"/>
        <v>16258.678603</v>
      </c>
      <c r="I182" s="75">
        <v>1</v>
      </c>
      <c r="J182" s="75">
        <v>1</v>
      </c>
      <c r="K182" s="76">
        <f t="shared" si="42"/>
        <v>9508.633954</v>
      </c>
      <c r="L182" s="76">
        <f t="shared" si="43"/>
        <v>6745.533684</v>
      </c>
      <c r="M182" s="75">
        <v>2</v>
      </c>
      <c r="N182" s="77">
        <v>0</v>
      </c>
      <c r="O182" s="75">
        <v>0</v>
      </c>
      <c r="P182" s="67">
        <f t="shared" si="44"/>
        <v>692.94</v>
      </c>
      <c r="Q182" s="77">
        <v>8828.864649</v>
      </c>
      <c r="R182" s="67">
        <f t="shared" si="45"/>
        <v>2078.82</v>
      </c>
      <c r="S182" s="67">
        <v>0</v>
      </c>
      <c r="T182" s="76">
        <f t="shared" si="46"/>
        <v>6745.533684</v>
      </c>
      <c r="U182" s="76"/>
      <c r="V182" s="77">
        <v>2280.213056</v>
      </c>
      <c r="W182" s="75">
        <v>1</v>
      </c>
      <c r="X182" s="76"/>
      <c r="Y182" s="77">
        <v>2336.672943</v>
      </c>
      <c r="Z182" s="77">
        <v>0</v>
      </c>
      <c r="AA182" s="67">
        <f t="shared" si="47"/>
        <v>0</v>
      </c>
      <c r="AB182" s="77">
        <v>342.140135</v>
      </c>
      <c r="AC182" s="67">
        <f t="shared" si="48"/>
        <v>684.28027</v>
      </c>
      <c r="AD182" s="77">
        <v>0</v>
      </c>
      <c r="AE182" s="67">
        <f t="shared" si="49"/>
        <v>0</v>
      </c>
      <c r="AF182" s="82">
        <v>0</v>
      </c>
      <c r="AG182" s="67">
        <f t="shared" si="50"/>
        <v>0</v>
      </c>
      <c r="AH182" s="77">
        <v>0</v>
      </c>
      <c r="AI182" s="67">
        <f t="shared" si="51"/>
        <v>0</v>
      </c>
      <c r="AJ182" s="77">
        <v>1350.695708</v>
      </c>
      <c r="AK182" s="77">
        <v>0</v>
      </c>
      <c r="AL182" s="77">
        <v>0</v>
      </c>
      <c r="AM182" s="77">
        <v>0</v>
      </c>
      <c r="AN182" s="77">
        <v>747.079624</v>
      </c>
      <c r="AO182" s="77">
        <v>30.872353</v>
      </c>
      <c r="AP182" s="67">
        <f t="shared" si="52"/>
        <v>692.94</v>
      </c>
      <c r="AQ182" s="91">
        <f t="shared" si="53"/>
        <v>0</v>
      </c>
      <c r="AR182" s="91">
        <f t="shared" si="54"/>
        <v>0</v>
      </c>
      <c r="AS182" s="67">
        <f t="shared" si="55"/>
        <v>2.07882</v>
      </c>
      <c r="AT182" s="67">
        <f t="shared" si="56"/>
        <v>0.064963125</v>
      </c>
      <c r="AU182" s="67">
        <f t="shared" si="57"/>
        <v>1.38588</v>
      </c>
      <c r="AV182" s="67">
        <f t="shared" si="58"/>
        <v>0.0288725</v>
      </c>
      <c r="AW182" s="67">
        <f t="shared" si="59"/>
        <v>0.01710700675</v>
      </c>
      <c r="AX182" s="67"/>
      <c r="AY182" s="67"/>
      <c r="AZ182" s="75"/>
    </row>
    <row r="183" spans="1:52">
      <c r="A183" s="64">
        <v>178</v>
      </c>
      <c r="B183" s="65" t="s">
        <v>92</v>
      </c>
      <c r="C183" s="65" t="s">
        <v>92</v>
      </c>
      <c r="D183" s="65" t="s">
        <v>102</v>
      </c>
      <c r="E183" s="65" t="s">
        <v>86</v>
      </c>
      <c r="F183" s="66">
        <v>268.71</v>
      </c>
      <c r="G183" s="67">
        <f t="shared" si="40"/>
        <v>47.394616657363</v>
      </c>
      <c r="H183" s="67">
        <f t="shared" si="41"/>
        <v>12735.407442</v>
      </c>
      <c r="I183" s="75">
        <v>1</v>
      </c>
      <c r="J183" s="78">
        <v>3</v>
      </c>
      <c r="K183" s="76">
        <f t="shared" si="42"/>
        <v>7186.035876</v>
      </c>
      <c r="L183" s="76">
        <f t="shared" si="43"/>
        <v>5040.178836</v>
      </c>
      <c r="M183" s="75">
        <v>2</v>
      </c>
      <c r="N183" s="77">
        <v>0</v>
      </c>
      <c r="O183" s="75">
        <v>0</v>
      </c>
      <c r="P183" s="67">
        <f t="shared" si="44"/>
        <v>537.42</v>
      </c>
      <c r="Q183" s="77">
        <v>7161.631566</v>
      </c>
      <c r="R183" s="67">
        <f t="shared" si="45"/>
        <v>1612.26</v>
      </c>
      <c r="S183" s="67">
        <v>0</v>
      </c>
      <c r="T183" s="76">
        <f t="shared" si="46"/>
        <v>5040.178836</v>
      </c>
      <c r="U183" s="76"/>
      <c r="V183" s="77">
        <v>1905.141319</v>
      </c>
      <c r="W183" s="75">
        <v>2</v>
      </c>
      <c r="X183" s="76"/>
      <c r="Y183" s="77">
        <v>1597.718037</v>
      </c>
      <c r="Z183" s="77">
        <v>0</v>
      </c>
      <c r="AA183" s="67">
        <f t="shared" si="47"/>
        <v>0</v>
      </c>
      <c r="AB183" s="77">
        <v>266.79852</v>
      </c>
      <c r="AC183" s="67">
        <f t="shared" si="48"/>
        <v>533.59704</v>
      </c>
      <c r="AD183" s="77">
        <v>0</v>
      </c>
      <c r="AE183" s="67">
        <f t="shared" si="49"/>
        <v>0</v>
      </c>
      <c r="AF183" s="82">
        <v>0</v>
      </c>
      <c r="AG183" s="67">
        <f t="shared" si="50"/>
        <v>0</v>
      </c>
      <c r="AH183" s="77">
        <v>0</v>
      </c>
      <c r="AI183" s="67">
        <f t="shared" si="51"/>
        <v>0</v>
      </c>
      <c r="AJ183" s="77">
        <v>131.927154</v>
      </c>
      <c r="AK183" s="77">
        <v>0</v>
      </c>
      <c r="AL183" s="77">
        <v>0</v>
      </c>
      <c r="AM183" s="77">
        <v>0</v>
      </c>
      <c r="AN183" s="77">
        <v>569.455643</v>
      </c>
      <c r="AO183" s="77">
        <v>835.936683</v>
      </c>
      <c r="AP183" s="67">
        <f t="shared" si="52"/>
        <v>537.42</v>
      </c>
      <c r="AQ183" s="91">
        <f t="shared" si="53"/>
        <v>1.07484</v>
      </c>
      <c r="AR183" s="91">
        <f t="shared" si="54"/>
        <v>0.017914</v>
      </c>
      <c r="AS183" s="67">
        <f t="shared" si="55"/>
        <v>0</v>
      </c>
      <c r="AT183" s="67">
        <f t="shared" si="56"/>
        <v>0</v>
      </c>
      <c r="AU183" s="67">
        <f t="shared" si="57"/>
        <v>0.53742</v>
      </c>
      <c r="AV183" s="67">
        <f t="shared" si="58"/>
        <v>0.01119625</v>
      </c>
      <c r="AW183" s="67">
        <f t="shared" si="59"/>
        <v>0.013339926</v>
      </c>
      <c r="AX183" s="67"/>
      <c r="AY183" s="67"/>
      <c r="AZ183" s="75"/>
    </row>
    <row r="184" spans="1:52">
      <c r="A184" s="64">
        <v>179</v>
      </c>
      <c r="B184" s="65" t="s">
        <v>92</v>
      </c>
      <c r="C184" s="65" t="s">
        <v>262</v>
      </c>
      <c r="D184" s="65" t="s">
        <v>148</v>
      </c>
      <c r="E184" s="65" t="s">
        <v>263</v>
      </c>
      <c r="F184" s="66">
        <v>35.13</v>
      </c>
      <c r="G184" s="67">
        <f t="shared" si="40"/>
        <v>40.7073058354683</v>
      </c>
      <c r="H184" s="67">
        <f t="shared" si="41"/>
        <v>1430.047654</v>
      </c>
      <c r="I184" s="75">
        <v>1</v>
      </c>
      <c r="J184" s="78">
        <v>3</v>
      </c>
      <c r="K184" s="76">
        <f t="shared" si="42"/>
        <v>210.78</v>
      </c>
      <c r="L184" s="76">
        <f t="shared" si="43"/>
        <v>0</v>
      </c>
      <c r="M184" s="75">
        <v>0</v>
      </c>
      <c r="N184" s="77">
        <v>0</v>
      </c>
      <c r="O184" s="75">
        <v>0</v>
      </c>
      <c r="P184" s="67">
        <f t="shared" si="44"/>
        <v>70.26</v>
      </c>
      <c r="Q184" s="77">
        <v>1430.047654</v>
      </c>
      <c r="R184" s="67">
        <f t="shared" si="45"/>
        <v>210.78</v>
      </c>
      <c r="S184" s="67">
        <v>0</v>
      </c>
      <c r="T184" s="76">
        <f t="shared" si="46"/>
        <v>0</v>
      </c>
      <c r="U184" s="76"/>
      <c r="V184" s="77">
        <v>0</v>
      </c>
      <c r="W184" s="75">
        <v>0</v>
      </c>
      <c r="X184" s="76"/>
      <c r="Y184" s="77">
        <v>0</v>
      </c>
      <c r="Z184" s="77">
        <v>0</v>
      </c>
      <c r="AA184" s="67">
        <f t="shared" si="47"/>
        <v>0</v>
      </c>
      <c r="AB184" s="77">
        <v>0</v>
      </c>
      <c r="AC184" s="67">
        <f t="shared" si="48"/>
        <v>0</v>
      </c>
      <c r="AD184" s="77">
        <v>0</v>
      </c>
      <c r="AE184" s="67">
        <f t="shared" si="49"/>
        <v>0</v>
      </c>
      <c r="AF184" s="82">
        <v>0</v>
      </c>
      <c r="AG184" s="67">
        <f t="shared" si="50"/>
        <v>0</v>
      </c>
      <c r="AH184" s="77">
        <v>0</v>
      </c>
      <c r="AI184" s="67">
        <f t="shared" si="51"/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  <c r="AO184" s="77">
        <v>0</v>
      </c>
      <c r="AP184" s="67">
        <f t="shared" si="52"/>
        <v>70.26</v>
      </c>
      <c r="AQ184" s="91">
        <f t="shared" si="53"/>
        <v>0.14052</v>
      </c>
      <c r="AR184" s="91">
        <f t="shared" si="54"/>
        <v>0.002342</v>
      </c>
      <c r="AS184" s="67">
        <f t="shared" si="55"/>
        <v>0</v>
      </c>
      <c r="AT184" s="67">
        <f t="shared" si="56"/>
        <v>0</v>
      </c>
      <c r="AU184" s="67">
        <f t="shared" si="57"/>
        <v>0.07026</v>
      </c>
      <c r="AV184" s="67">
        <f t="shared" si="58"/>
        <v>0.00146375</v>
      </c>
      <c r="AW184" s="67">
        <f t="shared" si="59"/>
        <v>0</v>
      </c>
      <c r="AX184" s="67"/>
      <c r="AY184" s="67"/>
      <c r="AZ184" s="75"/>
    </row>
    <row r="185" spans="1:52">
      <c r="A185" s="64">
        <v>180</v>
      </c>
      <c r="B185" s="65" t="s">
        <v>92</v>
      </c>
      <c r="C185" s="65" t="s">
        <v>92</v>
      </c>
      <c r="D185" s="65" t="s">
        <v>148</v>
      </c>
      <c r="E185" s="65" t="s">
        <v>650</v>
      </c>
      <c r="F185" s="66">
        <v>1078.49</v>
      </c>
      <c r="G185" s="67">
        <f t="shared" si="40"/>
        <v>61.248871885692</v>
      </c>
      <c r="H185" s="67">
        <f t="shared" si="41"/>
        <v>66056.29584</v>
      </c>
      <c r="I185" s="75">
        <v>1</v>
      </c>
      <c r="J185" s="78">
        <v>3</v>
      </c>
      <c r="K185" s="76">
        <f t="shared" si="42"/>
        <v>42525.225311</v>
      </c>
      <c r="L185" s="76">
        <f t="shared" si="43"/>
        <v>35695.017859</v>
      </c>
      <c r="M185" s="75">
        <v>2</v>
      </c>
      <c r="N185" s="77">
        <v>0</v>
      </c>
      <c r="O185" s="75">
        <v>0</v>
      </c>
      <c r="P185" s="67">
        <f t="shared" si="44"/>
        <v>2156.98</v>
      </c>
      <c r="Q185" s="77">
        <v>30002.010529</v>
      </c>
      <c r="R185" s="67">
        <f t="shared" si="45"/>
        <v>6470.94</v>
      </c>
      <c r="S185" s="67">
        <v>0</v>
      </c>
      <c r="T185" s="76">
        <f t="shared" si="46"/>
        <v>35695.017859</v>
      </c>
      <c r="U185" s="76"/>
      <c r="V185" s="77">
        <v>5413.0711</v>
      </c>
      <c r="W185" s="75">
        <v>2</v>
      </c>
      <c r="X185" s="76"/>
      <c r="Y185" s="77">
        <v>6849.790408</v>
      </c>
      <c r="Z185" s="77">
        <v>88.288409</v>
      </c>
      <c r="AA185" s="67">
        <f t="shared" si="47"/>
        <v>176.576818</v>
      </c>
      <c r="AB185" s="77">
        <v>179.633726</v>
      </c>
      <c r="AC185" s="67">
        <f t="shared" si="48"/>
        <v>359.267452</v>
      </c>
      <c r="AD185" s="77">
        <v>0</v>
      </c>
      <c r="AE185" s="67">
        <f t="shared" si="49"/>
        <v>0</v>
      </c>
      <c r="AF185" s="82">
        <v>0</v>
      </c>
      <c r="AG185" s="67">
        <f t="shared" si="50"/>
        <v>0</v>
      </c>
      <c r="AH185" s="77">
        <v>0</v>
      </c>
      <c r="AI185" s="67">
        <f t="shared" si="51"/>
        <v>0</v>
      </c>
      <c r="AJ185" s="77">
        <v>2035.013676</v>
      </c>
      <c r="AK185" s="77">
        <v>1473.611759</v>
      </c>
      <c r="AL185" s="77">
        <v>0</v>
      </c>
      <c r="AM185" s="77">
        <v>0</v>
      </c>
      <c r="AN185" s="77">
        <v>2212.432102</v>
      </c>
      <c r="AO185" s="77">
        <v>17534.521996</v>
      </c>
      <c r="AP185" s="67">
        <f t="shared" si="52"/>
        <v>2156.98</v>
      </c>
      <c r="AQ185" s="91">
        <f t="shared" si="53"/>
        <v>4.31396</v>
      </c>
      <c r="AR185" s="91">
        <f t="shared" si="54"/>
        <v>0.0718993333333333</v>
      </c>
      <c r="AS185" s="67">
        <f t="shared" si="55"/>
        <v>0</v>
      </c>
      <c r="AT185" s="67">
        <f t="shared" si="56"/>
        <v>0</v>
      </c>
      <c r="AU185" s="67">
        <f t="shared" si="57"/>
        <v>2.15698</v>
      </c>
      <c r="AV185" s="67">
        <f t="shared" si="58"/>
        <v>0.0449370833333333</v>
      </c>
      <c r="AW185" s="67">
        <f t="shared" si="59"/>
        <v>0.01339610675</v>
      </c>
      <c r="AX185" s="67"/>
      <c r="AY185" s="67"/>
      <c r="AZ185" s="75"/>
    </row>
    <row r="186" spans="1:52">
      <c r="A186" s="64">
        <v>181</v>
      </c>
      <c r="B186" s="65" t="s">
        <v>162</v>
      </c>
      <c r="C186" s="65" t="s">
        <v>162</v>
      </c>
      <c r="D186" s="65" t="s">
        <v>170</v>
      </c>
      <c r="E186" s="65" t="s">
        <v>85</v>
      </c>
      <c r="F186" s="66">
        <v>455.74</v>
      </c>
      <c r="G186" s="67">
        <f t="shared" si="40"/>
        <v>25.6509142691008</v>
      </c>
      <c r="H186" s="67">
        <f t="shared" si="41"/>
        <v>11690.147669</v>
      </c>
      <c r="I186" s="75">
        <v>3</v>
      </c>
      <c r="J186" s="75">
        <v>3</v>
      </c>
      <c r="K186" s="76">
        <f t="shared" si="42"/>
        <v>7319.382979</v>
      </c>
      <c r="L186" s="76">
        <f t="shared" si="43"/>
        <v>4584.942979</v>
      </c>
      <c r="M186" s="75">
        <v>2</v>
      </c>
      <c r="N186" s="77">
        <v>0</v>
      </c>
      <c r="O186" s="75">
        <v>0</v>
      </c>
      <c r="P186" s="67">
        <f t="shared" si="44"/>
        <v>911.48</v>
      </c>
      <c r="Q186" s="77">
        <v>7105.20469</v>
      </c>
      <c r="R186" s="67">
        <f t="shared" si="45"/>
        <v>2734.44</v>
      </c>
      <c r="S186" s="67">
        <v>0</v>
      </c>
      <c r="T186" s="76">
        <f t="shared" si="46"/>
        <v>4584.942979</v>
      </c>
      <c r="U186" s="76"/>
      <c r="V186" s="77">
        <v>0</v>
      </c>
      <c r="W186" s="75">
        <v>0</v>
      </c>
      <c r="X186" s="76"/>
      <c r="Y186" s="77">
        <v>1906.962051</v>
      </c>
      <c r="Z186" s="77">
        <v>0</v>
      </c>
      <c r="AA186" s="67">
        <f t="shared" si="47"/>
        <v>0</v>
      </c>
      <c r="AB186" s="77">
        <v>0</v>
      </c>
      <c r="AC186" s="67">
        <f t="shared" si="48"/>
        <v>0</v>
      </c>
      <c r="AD186" s="77">
        <v>0</v>
      </c>
      <c r="AE186" s="67">
        <f t="shared" si="49"/>
        <v>0</v>
      </c>
      <c r="AF186" s="82">
        <v>0</v>
      </c>
      <c r="AG186" s="67">
        <f t="shared" si="50"/>
        <v>0</v>
      </c>
      <c r="AH186" s="77">
        <v>0</v>
      </c>
      <c r="AI186" s="67">
        <f t="shared" si="51"/>
        <v>0</v>
      </c>
      <c r="AJ186" s="77">
        <v>1683.822179</v>
      </c>
      <c r="AK186" s="77">
        <v>0</v>
      </c>
      <c r="AL186" s="77">
        <v>0</v>
      </c>
      <c r="AM186" s="77">
        <v>0</v>
      </c>
      <c r="AN186" s="77">
        <v>0</v>
      </c>
      <c r="AO186" s="77">
        <v>994.158749</v>
      </c>
      <c r="AP186" s="67">
        <f t="shared" si="52"/>
        <v>911.48</v>
      </c>
      <c r="AQ186" s="91">
        <f t="shared" si="53"/>
        <v>1.82296</v>
      </c>
      <c r="AR186" s="91">
        <f t="shared" si="54"/>
        <v>0.0303826666666667</v>
      </c>
      <c r="AS186" s="67">
        <f t="shared" si="55"/>
        <v>0</v>
      </c>
      <c r="AT186" s="67">
        <f t="shared" si="56"/>
        <v>0</v>
      </c>
      <c r="AU186" s="67">
        <f t="shared" si="57"/>
        <v>0.91148</v>
      </c>
      <c r="AV186" s="67">
        <f t="shared" si="58"/>
        <v>0.0189891666666667</v>
      </c>
      <c r="AW186" s="67">
        <f t="shared" si="59"/>
        <v>0</v>
      </c>
      <c r="AX186" s="67"/>
      <c r="AY186" s="67"/>
      <c r="AZ186" s="75" t="s">
        <v>651</v>
      </c>
    </row>
    <row r="187" spans="1:52">
      <c r="A187" s="64">
        <v>182</v>
      </c>
      <c r="B187" s="65" t="s">
        <v>162</v>
      </c>
      <c r="C187" s="65" t="s">
        <v>162</v>
      </c>
      <c r="D187" s="65" t="s">
        <v>85</v>
      </c>
      <c r="E187" s="65" t="s">
        <v>265</v>
      </c>
      <c r="F187" s="66">
        <v>522.74</v>
      </c>
      <c r="G187" s="67">
        <f t="shared" si="40"/>
        <v>17.2359566438382</v>
      </c>
      <c r="H187" s="67">
        <f t="shared" si="41"/>
        <v>9009.923976</v>
      </c>
      <c r="I187" s="75">
        <v>3</v>
      </c>
      <c r="J187" s="75">
        <v>3</v>
      </c>
      <c r="K187" s="76">
        <f t="shared" si="42"/>
        <v>6616.787385</v>
      </c>
      <c r="L187" s="76">
        <f t="shared" si="43"/>
        <v>3480.347385</v>
      </c>
      <c r="M187" s="75">
        <v>2</v>
      </c>
      <c r="N187" s="77">
        <v>0</v>
      </c>
      <c r="O187" s="75">
        <v>0</v>
      </c>
      <c r="P187" s="67">
        <f t="shared" si="44"/>
        <v>1045.48</v>
      </c>
      <c r="Q187" s="77">
        <v>5529.576591</v>
      </c>
      <c r="R187" s="67">
        <f t="shared" si="45"/>
        <v>3136.44</v>
      </c>
      <c r="S187" s="67">
        <v>0</v>
      </c>
      <c r="T187" s="76">
        <f t="shared" si="46"/>
        <v>3480.347385</v>
      </c>
      <c r="U187" s="76"/>
      <c r="V187" s="77">
        <v>0</v>
      </c>
      <c r="W187" s="75">
        <v>0</v>
      </c>
      <c r="X187" s="76"/>
      <c r="Y187" s="77">
        <v>1436.194876</v>
      </c>
      <c r="Z187" s="77">
        <v>0</v>
      </c>
      <c r="AA187" s="67">
        <f t="shared" si="47"/>
        <v>0</v>
      </c>
      <c r="AB187" s="77">
        <v>0</v>
      </c>
      <c r="AC187" s="67">
        <f t="shared" si="48"/>
        <v>0</v>
      </c>
      <c r="AD187" s="77">
        <v>0</v>
      </c>
      <c r="AE187" s="67">
        <f t="shared" si="49"/>
        <v>0</v>
      </c>
      <c r="AF187" s="82">
        <v>0</v>
      </c>
      <c r="AG187" s="67">
        <f t="shared" si="50"/>
        <v>0</v>
      </c>
      <c r="AH187" s="77">
        <v>0</v>
      </c>
      <c r="AI187" s="67">
        <f t="shared" si="51"/>
        <v>0</v>
      </c>
      <c r="AJ187" s="77">
        <v>1196.029984</v>
      </c>
      <c r="AK187" s="77">
        <v>0</v>
      </c>
      <c r="AL187" s="77">
        <v>0</v>
      </c>
      <c r="AM187" s="77">
        <v>0</v>
      </c>
      <c r="AN187" s="77">
        <v>0</v>
      </c>
      <c r="AO187" s="77">
        <v>848.122525</v>
      </c>
      <c r="AP187" s="67">
        <f t="shared" si="52"/>
        <v>1045.48</v>
      </c>
      <c r="AQ187" s="91">
        <f t="shared" si="53"/>
        <v>2.09096</v>
      </c>
      <c r="AR187" s="91">
        <f t="shared" si="54"/>
        <v>0.0348493333333333</v>
      </c>
      <c r="AS187" s="67">
        <f t="shared" si="55"/>
        <v>0</v>
      </c>
      <c r="AT187" s="67">
        <f t="shared" si="56"/>
        <v>0</v>
      </c>
      <c r="AU187" s="67">
        <f t="shared" si="57"/>
        <v>1.04548</v>
      </c>
      <c r="AV187" s="67">
        <f t="shared" si="58"/>
        <v>0.0217808333333333</v>
      </c>
      <c r="AW187" s="67">
        <f t="shared" si="59"/>
        <v>0</v>
      </c>
      <c r="AX187" s="67"/>
      <c r="AY187" s="67"/>
      <c r="AZ187" s="75"/>
    </row>
    <row r="188" spans="1:52">
      <c r="A188" s="64">
        <v>183</v>
      </c>
      <c r="B188" s="65" t="s">
        <v>266</v>
      </c>
      <c r="C188" s="65" t="s">
        <v>266</v>
      </c>
      <c r="D188" s="65" t="s">
        <v>162</v>
      </c>
      <c r="E188" s="65" t="s">
        <v>140</v>
      </c>
      <c r="F188" s="66">
        <v>388.7</v>
      </c>
      <c r="G188" s="67">
        <f t="shared" si="40"/>
        <v>16.6635229560072</v>
      </c>
      <c r="H188" s="67">
        <f t="shared" si="41"/>
        <v>6477.111373</v>
      </c>
      <c r="I188" s="75">
        <v>3</v>
      </c>
      <c r="J188" s="75">
        <v>3</v>
      </c>
      <c r="K188" s="76">
        <f t="shared" si="42"/>
        <v>5193.3323</v>
      </c>
      <c r="L188" s="76">
        <f t="shared" si="43"/>
        <v>2861.1323</v>
      </c>
      <c r="M188" s="75">
        <v>2</v>
      </c>
      <c r="N188" s="77">
        <v>0</v>
      </c>
      <c r="O188" s="75">
        <v>0</v>
      </c>
      <c r="P188" s="67">
        <f t="shared" si="44"/>
        <v>777.4</v>
      </c>
      <c r="Q188" s="77">
        <v>3615.979073</v>
      </c>
      <c r="R188" s="67">
        <f t="shared" si="45"/>
        <v>2332.2</v>
      </c>
      <c r="S188" s="67">
        <v>0</v>
      </c>
      <c r="T188" s="76">
        <f t="shared" si="46"/>
        <v>2861.1323</v>
      </c>
      <c r="U188" s="76"/>
      <c r="V188" s="77">
        <v>0</v>
      </c>
      <c r="W188" s="75">
        <v>0</v>
      </c>
      <c r="X188" s="76"/>
      <c r="Y188" s="77">
        <v>1838.428379</v>
      </c>
      <c r="Z188" s="77">
        <v>0</v>
      </c>
      <c r="AA188" s="67">
        <f t="shared" si="47"/>
        <v>0</v>
      </c>
      <c r="AB188" s="77">
        <v>0</v>
      </c>
      <c r="AC188" s="67">
        <f t="shared" si="48"/>
        <v>0</v>
      </c>
      <c r="AD188" s="77">
        <v>0</v>
      </c>
      <c r="AE188" s="67">
        <f t="shared" si="49"/>
        <v>0</v>
      </c>
      <c r="AF188" s="82">
        <v>0</v>
      </c>
      <c r="AG188" s="67">
        <f t="shared" si="50"/>
        <v>0</v>
      </c>
      <c r="AH188" s="77">
        <v>0</v>
      </c>
      <c r="AI188" s="67">
        <f t="shared" si="51"/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  <c r="AO188" s="77">
        <v>1022.703921</v>
      </c>
      <c r="AP188" s="67">
        <f t="shared" si="52"/>
        <v>777.4</v>
      </c>
      <c r="AQ188" s="91">
        <f t="shared" si="53"/>
        <v>1.5548</v>
      </c>
      <c r="AR188" s="91">
        <f t="shared" si="54"/>
        <v>0.0259133333333333</v>
      </c>
      <c r="AS188" s="67">
        <f t="shared" si="55"/>
        <v>0</v>
      </c>
      <c r="AT188" s="67">
        <f t="shared" si="56"/>
        <v>0</v>
      </c>
      <c r="AU188" s="67">
        <f t="shared" si="57"/>
        <v>0.7774</v>
      </c>
      <c r="AV188" s="67">
        <f t="shared" si="58"/>
        <v>0.0161958333333333</v>
      </c>
      <c r="AW188" s="67">
        <f t="shared" si="59"/>
        <v>0</v>
      </c>
      <c r="AX188" s="67"/>
      <c r="AY188" s="67"/>
      <c r="AZ188" s="75" t="s">
        <v>652</v>
      </c>
    </row>
    <row r="189" spans="1:52">
      <c r="A189" s="64">
        <v>184</v>
      </c>
      <c r="B189" s="65" t="s">
        <v>267</v>
      </c>
      <c r="C189" s="65" t="s">
        <v>267</v>
      </c>
      <c r="D189" s="65" t="s">
        <v>266</v>
      </c>
      <c r="E189" s="65" t="s">
        <v>85</v>
      </c>
      <c r="F189" s="66">
        <v>228.28</v>
      </c>
      <c r="G189" s="67">
        <f t="shared" si="40"/>
        <v>31.7631594927282</v>
      </c>
      <c r="H189" s="67">
        <f t="shared" si="41"/>
        <v>7250.894049</v>
      </c>
      <c r="I189" s="75">
        <v>3</v>
      </c>
      <c r="J189" s="75">
        <v>3</v>
      </c>
      <c r="K189" s="76">
        <f t="shared" si="42"/>
        <v>6488.343977</v>
      </c>
      <c r="L189" s="76">
        <f t="shared" si="43"/>
        <v>5118.663977</v>
      </c>
      <c r="M189" s="75">
        <v>0</v>
      </c>
      <c r="N189" s="77">
        <v>0</v>
      </c>
      <c r="O189" s="75">
        <v>0</v>
      </c>
      <c r="P189" s="67">
        <f t="shared" si="44"/>
        <v>456.56</v>
      </c>
      <c r="Q189" s="77">
        <v>2132.230072</v>
      </c>
      <c r="R189" s="67">
        <f t="shared" si="45"/>
        <v>1369.68</v>
      </c>
      <c r="S189" s="67">
        <v>0</v>
      </c>
      <c r="T189" s="76">
        <f t="shared" si="46"/>
        <v>5118.663977</v>
      </c>
      <c r="U189" s="76"/>
      <c r="V189" s="77">
        <v>0</v>
      </c>
      <c r="W189" s="75">
        <v>0</v>
      </c>
      <c r="X189" s="76"/>
      <c r="Y189" s="77">
        <v>0</v>
      </c>
      <c r="Z189" s="77">
        <v>0</v>
      </c>
      <c r="AA189" s="67">
        <f t="shared" si="47"/>
        <v>0</v>
      </c>
      <c r="AB189" s="77">
        <v>0</v>
      </c>
      <c r="AC189" s="67">
        <f t="shared" si="48"/>
        <v>0</v>
      </c>
      <c r="AD189" s="77">
        <v>0</v>
      </c>
      <c r="AE189" s="67">
        <f t="shared" si="49"/>
        <v>0</v>
      </c>
      <c r="AF189" s="82">
        <v>0</v>
      </c>
      <c r="AG189" s="67">
        <f t="shared" si="50"/>
        <v>0</v>
      </c>
      <c r="AH189" s="77">
        <v>0</v>
      </c>
      <c r="AI189" s="67">
        <f t="shared" si="51"/>
        <v>0</v>
      </c>
      <c r="AJ189" s="77">
        <v>3348.017028</v>
      </c>
      <c r="AK189" s="77">
        <v>0</v>
      </c>
      <c r="AL189" s="77">
        <v>0</v>
      </c>
      <c r="AM189" s="77">
        <v>0</v>
      </c>
      <c r="AN189" s="77">
        <v>0</v>
      </c>
      <c r="AO189" s="77">
        <v>1770.646949</v>
      </c>
      <c r="AP189" s="67">
        <f t="shared" si="52"/>
        <v>456.56</v>
      </c>
      <c r="AQ189" s="91">
        <f t="shared" si="53"/>
        <v>0.91312</v>
      </c>
      <c r="AR189" s="91">
        <f t="shared" si="54"/>
        <v>0.0152186666666667</v>
      </c>
      <c r="AS189" s="67">
        <f t="shared" si="55"/>
        <v>0</v>
      </c>
      <c r="AT189" s="67">
        <f t="shared" si="56"/>
        <v>0</v>
      </c>
      <c r="AU189" s="67">
        <f t="shared" si="57"/>
        <v>0.45656</v>
      </c>
      <c r="AV189" s="67">
        <f t="shared" si="58"/>
        <v>0.00951166666666667</v>
      </c>
      <c r="AW189" s="67">
        <f t="shared" si="59"/>
        <v>0</v>
      </c>
      <c r="AX189" s="67"/>
      <c r="AY189" s="67"/>
      <c r="AZ189" s="75" t="s">
        <v>653</v>
      </c>
    </row>
    <row r="190" spans="1:52">
      <c r="A190" s="64">
        <v>185</v>
      </c>
      <c r="B190" s="65" t="s">
        <v>112</v>
      </c>
      <c r="C190" s="65" t="s">
        <v>112</v>
      </c>
      <c r="D190" s="65" t="s">
        <v>92</v>
      </c>
      <c r="E190" s="65" t="s">
        <v>111</v>
      </c>
      <c r="F190" s="66">
        <v>192.11</v>
      </c>
      <c r="G190" s="67">
        <f t="shared" si="40"/>
        <v>22.193241007756</v>
      </c>
      <c r="H190" s="67">
        <f t="shared" si="41"/>
        <v>4263.54353</v>
      </c>
      <c r="I190" s="75">
        <v>2</v>
      </c>
      <c r="J190" s="75">
        <v>2</v>
      </c>
      <c r="K190" s="76">
        <f t="shared" si="42"/>
        <v>2536.519086</v>
      </c>
      <c r="L190" s="76">
        <f t="shared" si="43"/>
        <v>1383.859086</v>
      </c>
      <c r="M190" s="75">
        <v>2</v>
      </c>
      <c r="N190" s="77">
        <v>0</v>
      </c>
      <c r="O190" s="75">
        <v>0</v>
      </c>
      <c r="P190" s="67">
        <f t="shared" si="44"/>
        <v>384.22</v>
      </c>
      <c r="Q190" s="77">
        <v>2879.684444</v>
      </c>
      <c r="R190" s="67">
        <f t="shared" si="45"/>
        <v>1152.66</v>
      </c>
      <c r="S190" s="67">
        <v>0</v>
      </c>
      <c r="T190" s="76">
        <f t="shared" si="46"/>
        <v>1383.859086</v>
      </c>
      <c r="U190" s="76"/>
      <c r="V190" s="77">
        <v>0</v>
      </c>
      <c r="W190" s="75">
        <v>0</v>
      </c>
      <c r="X190" s="76"/>
      <c r="Y190" s="77">
        <v>438.991132</v>
      </c>
      <c r="Z190" s="77">
        <v>0</v>
      </c>
      <c r="AA190" s="67">
        <f t="shared" si="47"/>
        <v>0</v>
      </c>
      <c r="AB190" s="77">
        <v>0</v>
      </c>
      <c r="AC190" s="67">
        <f t="shared" si="48"/>
        <v>0</v>
      </c>
      <c r="AD190" s="77">
        <v>0</v>
      </c>
      <c r="AE190" s="67">
        <f t="shared" si="49"/>
        <v>0</v>
      </c>
      <c r="AF190" s="82">
        <v>0</v>
      </c>
      <c r="AG190" s="67">
        <f t="shared" si="50"/>
        <v>0</v>
      </c>
      <c r="AH190" s="77">
        <v>0</v>
      </c>
      <c r="AI190" s="67">
        <f t="shared" si="51"/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  <c r="AO190" s="77">
        <v>944.867954</v>
      </c>
      <c r="AP190" s="67">
        <f t="shared" si="52"/>
        <v>384.22</v>
      </c>
      <c r="AQ190" s="91">
        <f t="shared" si="53"/>
        <v>0</v>
      </c>
      <c r="AR190" s="91">
        <f t="shared" si="54"/>
        <v>0</v>
      </c>
      <c r="AS190" s="67">
        <f t="shared" si="55"/>
        <v>0.76844</v>
      </c>
      <c r="AT190" s="67">
        <f t="shared" si="56"/>
        <v>0.02401375</v>
      </c>
      <c r="AU190" s="67">
        <f t="shared" si="57"/>
        <v>0.57633</v>
      </c>
      <c r="AV190" s="67">
        <f t="shared" si="58"/>
        <v>0.012006875</v>
      </c>
      <c r="AW190" s="67">
        <f t="shared" si="59"/>
        <v>0</v>
      </c>
      <c r="AX190" s="67"/>
      <c r="AY190" s="67"/>
      <c r="AZ190" s="75"/>
    </row>
    <row r="191" spans="1:52">
      <c r="A191" s="64">
        <v>186</v>
      </c>
      <c r="B191" s="65" t="s">
        <v>112</v>
      </c>
      <c r="C191" s="65" t="s">
        <v>112</v>
      </c>
      <c r="D191" s="65" t="s">
        <v>111</v>
      </c>
      <c r="E191" s="65" t="s">
        <v>88</v>
      </c>
      <c r="F191" s="66">
        <v>461.22</v>
      </c>
      <c r="G191" s="67">
        <f t="shared" si="40"/>
        <v>35.686148814015</v>
      </c>
      <c r="H191" s="67">
        <f t="shared" si="41"/>
        <v>16459.165556</v>
      </c>
      <c r="I191" s="75">
        <v>2</v>
      </c>
      <c r="J191" s="75">
        <v>2</v>
      </c>
      <c r="K191" s="76">
        <f t="shared" si="42"/>
        <v>10004.68383</v>
      </c>
      <c r="L191" s="76">
        <f t="shared" si="43"/>
        <v>7237.36383</v>
      </c>
      <c r="M191" s="75">
        <v>2</v>
      </c>
      <c r="N191" s="77">
        <v>0</v>
      </c>
      <c r="O191" s="75">
        <v>0</v>
      </c>
      <c r="P191" s="67">
        <f t="shared" si="44"/>
        <v>922.44</v>
      </c>
      <c r="Q191" s="77">
        <v>9221.801726</v>
      </c>
      <c r="R191" s="67">
        <f t="shared" si="45"/>
        <v>2767.32</v>
      </c>
      <c r="S191" s="67">
        <v>0</v>
      </c>
      <c r="T191" s="76">
        <f t="shared" si="46"/>
        <v>7237.36383</v>
      </c>
      <c r="U191" s="76"/>
      <c r="V191" s="77">
        <v>0</v>
      </c>
      <c r="W191" s="75">
        <v>0</v>
      </c>
      <c r="X191" s="76"/>
      <c r="Y191" s="77">
        <v>1945.625791</v>
      </c>
      <c r="Z191" s="77">
        <v>21.377402</v>
      </c>
      <c r="AA191" s="67">
        <f t="shared" si="47"/>
        <v>42.754804</v>
      </c>
      <c r="AB191" s="77">
        <v>0</v>
      </c>
      <c r="AC191" s="67">
        <f t="shared" si="48"/>
        <v>0</v>
      </c>
      <c r="AD191" s="77">
        <v>0</v>
      </c>
      <c r="AE191" s="67">
        <f t="shared" si="49"/>
        <v>0</v>
      </c>
      <c r="AF191" s="82">
        <v>0</v>
      </c>
      <c r="AG191" s="67">
        <f t="shared" si="50"/>
        <v>0</v>
      </c>
      <c r="AH191" s="77">
        <v>0</v>
      </c>
      <c r="AI191" s="67">
        <f t="shared" si="51"/>
        <v>0</v>
      </c>
      <c r="AJ191" s="77">
        <v>537.189793</v>
      </c>
      <c r="AK191" s="77">
        <v>0</v>
      </c>
      <c r="AL191" s="77">
        <v>0</v>
      </c>
      <c r="AM191" s="77">
        <v>0</v>
      </c>
      <c r="AN191" s="77">
        <v>0</v>
      </c>
      <c r="AO191" s="77">
        <v>4711.793442</v>
      </c>
      <c r="AP191" s="67">
        <f t="shared" si="52"/>
        <v>922.44</v>
      </c>
      <c r="AQ191" s="91">
        <f t="shared" si="53"/>
        <v>0</v>
      </c>
      <c r="AR191" s="91">
        <f t="shared" si="54"/>
        <v>0</v>
      </c>
      <c r="AS191" s="67">
        <f t="shared" si="55"/>
        <v>1.84488</v>
      </c>
      <c r="AT191" s="67">
        <f t="shared" si="56"/>
        <v>0.0576525</v>
      </c>
      <c r="AU191" s="67">
        <f t="shared" si="57"/>
        <v>1.38366</v>
      </c>
      <c r="AV191" s="67">
        <f t="shared" si="58"/>
        <v>0.02882625</v>
      </c>
      <c r="AW191" s="67">
        <f t="shared" si="59"/>
        <v>0.0010688701</v>
      </c>
      <c r="AX191" s="67"/>
      <c r="AY191" s="67"/>
      <c r="AZ191" s="75"/>
    </row>
    <row r="192" spans="1:52">
      <c r="A192" s="64">
        <v>187</v>
      </c>
      <c r="B192" s="65" t="s">
        <v>112</v>
      </c>
      <c r="C192" s="65" t="s">
        <v>112</v>
      </c>
      <c r="D192" s="65" t="s">
        <v>88</v>
      </c>
      <c r="E192" s="65" t="s">
        <v>223</v>
      </c>
      <c r="F192" s="66">
        <v>140.71</v>
      </c>
      <c r="G192" s="67">
        <f t="shared" si="40"/>
        <v>46.4868287115344</v>
      </c>
      <c r="H192" s="67">
        <f t="shared" si="41"/>
        <v>6541.161668</v>
      </c>
      <c r="I192" s="75">
        <v>2</v>
      </c>
      <c r="J192" s="75">
        <v>2</v>
      </c>
      <c r="K192" s="76">
        <f t="shared" si="42"/>
        <v>4570.164386</v>
      </c>
      <c r="L192" s="76">
        <f t="shared" si="43"/>
        <v>3725.904386</v>
      </c>
      <c r="M192" s="75">
        <v>2</v>
      </c>
      <c r="N192" s="77">
        <v>0</v>
      </c>
      <c r="O192" s="75">
        <v>0</v>
      </c>
      <c r="P192" s="67">
        <f t="shared" si="44"/>
        <v>281.42</v>
      </c>
      <c r="Q192" s="77">
        <v>2815.257282</v>
      </c>
      <c r="R192" s="67">
        <f t="shared" si="45"/>
        <v>844.26</v>
      </c>
      <c r="S192" s="67">
        <v>0</v>
      </c>
      <c r="T192" s="76">
        <f t="shared" si="46"/>
        <v>3725.904386</v>
      </c>
      <c r="U192" s="76"/>
      <c r="V192" s="77">
        <v>0</v>
      </c>
      <c r="W192" s="75">
        <v>0</v>
      </c>
      <c r="X192" s="76"/>
      <c r="Y192" s="77">
        <v>695.317206</v>
      </c>
      <c r="Z192" s="77">
        <v>28.044082</v>
      </c>
      <c r="AA192" s="67">
        <f t="shared" si="47"/>
        <v>56.088164</v>
      </c>
      <c r="AB192" s="77">
        <v>0</v>
      </c>
      <c r="AC192" s="67">
        <f t="shared" si="48"/>
        <v>0</v>
      </c>
      <c r="AD192" s="77">
        <v>0</v>
      </c>
      <c r="AE192" s="67">
        <f t="shared" si="49"/>
        <v>0</v>
      </c>
      <c r="AF192" s="82">
        <v>0</v>
      </c>
      <c r="AG192" s="67">
        <f t="shared" si="50"/>
        <v>0</v>
      </c>
      <c r="AH192" s="77">
        <v>0</v>
      </c>
      <c r="AI192" s="67">
        <f t="shared" si="51"/>
        <v>0</v>
      </c>
      <c r="AJ192" s="77">
        <v>387.612812</v>
      </c>
      <c r="AK192" s="77">
        <v>148.79699</v>
      </c>
      <c r="AL192" s="77">
        <v>0</v>
      </c>
      <c r="AM192" s="77">
        <v>0</v>
      </c>
      <c r="AN192" s="77">
        <v>0</v>
      </c>
      <c r="AO192" s="77">
        <v>2438.089214</v>
      </c>
      <c r="AP192" s="67">
        <f t="shared" si="52"/>
        <v>281.42</v>
      </c>
      <c r="AQ192" s="91">
        <f t="shared" si="53"/>
        <v>0</v>
      </c>
      <c r="AR192" s="91">
        <f t="shared" si="54"/>
        <v>0</v>
      </c>
      <c r="AS192" s="67">
        <f t="shared" si="55"/>
        <v>0.56284</v>
      </c>
      <c r="AT192" s="67">
        <f t="shared" si="56"/>
        <v>0.01758875</v>
      </c>
      <c r="AU192" s="67">
        <f t="shared" si="57"/>
        <v>0.42213</v>
      </c>
      <c r="AV192" s="67">
        <f t="shared" si="58"/>
        <v>0.008794375</v>
      </c>
      <c r="AW192" s="67">
        <f t="shared" si="59"/>
        <v>0.0014022041</v>
      </c>
      <c r="AX192" s="67"/>
      <c r="AY192" s="67"/>
      <c r="AZ192" s="75"/>
    </row>
    <row r="193" spans="1:52">
      <c r="A193" s="64">
        <v>188</v>
      </c>
      <c r="B193" s="65" t="s">
        <v>112</v>
      </c>
      <c r="C193" s="65" t="s">
        <v>268</v>
      </c>
      <c r="D193" s="65"/>
      <c r="E193" s="65"/>
      <c r="F193" s="66">
        <v>23.51</v>
      </c>
      <c r="G193" s="67">
        <f t="shared" si="40"/>
        <v>22.9165472990217</v>
      </c>
      <c r="H193" s="67">
        <f t="shared" si="41"/>
        <v>538.768027</v>
      </c>
      <c r="I193" s="75">
        <v>2</v>
      </c>
      <c r="J193" s="75">
        <v>2</v>
      </c>
      <c r="K193" s="76">
        <f t="shared" si="42"/>
        <v>141.06</v>
      </c>
      <c r="L193" s="76">
        <f t="shared" si="43"/>
        <v>0</v>
      </c>
      <c r="M193" s="75">
        <v>0</v>
      </c>
      <c r="N193" s="77">
        <v>0</v>
      </c>
      <c r="O193" s="75">
        <v>0</v>
      </c>
      <c r="P193" s="67">
        <f t="shared" si="44"/>
        <v>47.02</v>
      </c>
      <c r="Q193" s="77">
        <v>538.768027</v>
      </c>
      <c r="R193" s="67">
        <f t="shared" si="45"/>
        <v>141.06</v>
      </c>
      <c r="S193" s="67">
        <v>0</v>
      </c>
      <c r="T193" s="76">
        <f t="shared" si="46"/>
        <v>0</v>
      </c>
      <c r="U193" s="76"/>
      <c r="V193" s="77">
        <v>0</v>
      </c>
      <c r="W193" s="75">
        <v>0</v>
      </c>
      <c r="X193" s="76"/>
      <c r="Y193" s="77">
        <v>0</v>
      </c>
      <c r="Z193" s="77">
        <v>0</v>
      </c>
      <c r="AA193" s="67">
        <f t="shared" si="47"/>
        <v>0</v>
      </c>
      <c r="AB193" s="77">
        <v>0</v>
      </c>
      <c r="AC193" s="67">
        <f t="shared" si="48"/>
        <v>0</v>
      </c>
      <c r="AD193" s="77">
        <v>0</v>
      </c>
      <c r="AE193" s="67">
        <f t="shared" si="49"/>
        <v>0</v>
      </c>
      <c r="AF193" s="82">
        <v>0</v>
      </c>
      <c r="AG193" s="67">
        <f t="shared" si="50"/>
        <v>0</v>
      </c>
      <c r="AH193" s="77">
        <v>0</v>
      </c>
      <c r="AI193" s="67">
        <f t="shared" si="51"/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  <c r="AO193" s="77">
        <v>0</v>
      </c>
      <c r="AP193" s="67">
        <f t="shared" si="52"/>
        <v>47.02</v>
      </c>
      <c r="AQ193" s="91">
        <f t="shared" si="53"/>
        <v>0</v>
      </c>
      <c r="AR193" s="91">
        <f t="shared" si="54"/>
        <v>0</v>
      </c>
      <c r="AS193" s="67">
        <f t="shared" si="55"/>
        <v>0.09404</v>
      </c>
      <c r="AT193" s="67">
        <f t="shared" si="56"/>
        <v>0.00293875</v>
      </c>
      <c r="AU193" s="67">
        <f t="shared" si="57"/>
        <v>0.07053</v>
      </c>
      <c r="AV193" s="67">
        <f t="shared" si="58"/>
        <v>0.001469375</v>
      </c>
      <c r="AW193" s="67">
        <f t="shared" si="59"/>
        <v>0</v>
      </c>
      <c r="AX193" s="67"/>
      <c r="AY193" s="67"/>
      <c r="AZ193" s="75"/>
    </row>
    <row r="194" spans="1:52">
      <c r="A194" s="64">
        <v>189</v>
      </c>
      <c r="B194" s="65" t="s">
        <v>112</v>
      </c>
      <c r="C194" s="65" t="s">
        <v>269</v>
      </c>
      <c r="D194" s="65"/>
      <c r="E194" s="65"/>
      <c r="F194" s="66">
        <v>30.41</v>
      </c>
      <c r="G194" s="67">
        <f t="shared" si="40"/>
        <v>25.7699580072345</v>
      </c>
      <c r="H194" s="67">
        <f t="shared" si="41"/>
        <v>783.664423</v>
      </c>
      <c r="I194" s="75">
        <v>2</v>
      </c>
      <c r="J194" s="75">
        <v>2</v>
      </c>
      <c r="K194" s="76">
        <f t="shared" si="42"/>
        <v>182.46</v>
      </c>
      <c r="L194" s="76">
        <f t="shared" si="43"/>
        <v>0</v>
      </c>
      <c r="M194" s="75">
        <v>0</v>
      </c>
      <c r="N194" s="77">
        <v>0</v>
      </c>
      <c r="O194" s="75">
        <v>0</v>
      </c>
      <c r="P194" s="67">
        <f t="shared" si="44"/>
        <v>60.82</v>
      </c>
      <c r="Q194" s="77">
        <v>783.664423</v>
      </c>
      <c r="R194" s="67">
        <f t="shared" si="45"/>
        <v>182.46</v>
      </c>
      <c r="S194" s="67">
        <v>0</v>
      </c>
      <c r="T194" s="76">
        <f t="shared" si="46"/>
        <v>0</v>
      </c>
      <c r="U194" s="76"/>
      <c r="V194" s="77">
        <v>0</v>
      </c>
      <c r="W194" s="75">
        <v>0</v>
      </c>
      <c r="X194" s="76"/>
      <c r="Y194" s="77">
        <v>0</v>
      </c>
      <c r="Z194" s="77">
        <v>0</v>
      </c>
      <c r="AA194" s="67">
        <f t="shared" si="47"/>
        <v>0</v>
      </c>
      <c r="AB194" s="77">
        <v>0</v>
      </c>
      <c r="AC194" s="67">
        <f t="shared" si="48"/>
        <v>0</v>
      </c>
      <c r="AD194" s="77">
        <v>0</v>
      </c>
      <c r="AE194" s="67">
        <f t="shared" si="49"/>
        <v>0</v>
      </c>
      <c r="AF194" s="82">
        <v>0</v>
      </c>
      <c r="AG194" s="67">
        <f t="shared" si="50"/>
        <v>0</v>
      </c>
      <c r="AH194" s="77">
        <v>0</v>
      </c>
      <c r="AI194" s="67">
        <f t="shared" si="51"/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  <c r="AO194" s="77">
        <v>0</v>
      </c>
      <c r="AP194" s="67">
        <f t="shared" si="52"/>
        <v>60.82</v>
      </c>
      <c r="AQ194" s="91">
        <f t="shared" si="53"/>
        <v>0</v>
      </c>
      <c r="AR194" s="91">
        <f t="shared" si="54"/>
        <v>0</v>
      </c>
      <c r="AS194" s="67">
        <f t="shared" si="55"/>
        <v>0.12164</v>
      </c>
      <c r="AT194" s="67">
        <f t="shared" si="56"/>
        <v>0.00380125</v>
      </c>
      <c r="AU194" s="67">
        <f t="shared" si="57"/>
        <v>0.09123</v>
      </c>
      <c r="AV194" s="67">
        <f t="shared" si="58"/>
        <v>0.001900625</v>
      </c>
      <c r="AW194" s="67">
        <f t="shared" si="59"/>
        <v>0</v>
      </c>
      <c r="AX194" s="67"/>
      <c r="AY194" s="67"/>
      <c r="AZ194" s="75"/>
    </row>
    <row r="195" spans="1:52">
      <c r="A195" s="64">
        <v>190</v>
      </c>
      <c r="B195" s="65" t="s">
        <v>112</v>
      </c>
      <c r="C195" s="65" t="s">
        <v>270</v>
      </c>
      <c r="D195" s="65"/>
      <c r="E195" s="65"/>
      <c r="F195" s="66">
        <v>39.78</v>
      </c>
      <c r="G195" s="67">
        <f t="shared" si="40"/>
        <v>26.0191426093514</v>
      </c>
      <c r="H195" s="67">
        <f t="shared" si="41"/>
        <v>1035.041493</v>
      </c>
      <c r="I195" s="75">
        <v>2</v>
      </c>
      <c r="J195" s="75">
        <v>2</v>
      </c>
      <c r="K195" s="76">
        <f t="shared" si="42"/>
        <v>238.68</v>
      </c>
      <c r="L195" s="76">
        <f t="shared" si="43"/>
        <v>0</v>
      </c>
      <c r="M195" s="75">
        <v>0</v>
      </c>
      <c r="N195" s="77">
        <v>0</v>
      </c>
      <c r="O195" s="75">
        <v>0</v>
      </c>
      <c r="P195" s="67">
        <f t="shared" si="44"/>
        <v>79.56</v>
      </c>
      <c r="Q195" s="77">
        <v>1035.041493</v>
      </c>
      <c r="R195" s="67">
        <f t="shared" si="45"/>
        <v>238.68</v>
      </c>
      <c r="S195" s="67">
        <v>0</v>
      </c>
      <c r="T195" s="76">
        <f t="shared" si="46"/>
        <v>0</v>
      </c>
      <c r="U195" s="76"/>
      <c r="V195" s="77">
        <v>0</v>
      </c>
      <c r="W195" s="75">
        <v>0</v>
      </c>
      <c r="X195" s="76"/>
      <c r="Y195" s="77">
        <v>0</v>
      </c>
      <c r="Z195" s="77">
        <v>0</v>
      </c>
      <c r="AA195" s="67">
        <f t="shared" si="47"/>
        <v>0</v>
      </c>
      <c r="AB195" s="77">
        <v>0</v>
      </c>
      <c r="AC195" s="67">
        <f t="shared" si="48"/>
        <v>0</v>
      </c>
      <c r="AD195" s="77">
        <v>0</v>
      </c>
      <c r="AE195" s="67">
        <f t="shared" si="49"/>
        <v>0</v>
      </c>
      <c r="AF195" s="82">
        <v>0</v>
      </c>
      <c r="AG195" s="67">
        <f t="shared" si="50"/>
        <v>0</v>
      </c>
      <c r="AH195" s="77">
        <v>0</v>
      </c>
      <c r="AI195" s="67">
        <f t="shared" si="51"/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  <c r="AO195" s="77">
        <v>0</v>
      </c>
      <c r="AP195" s="67">
        <f t="shared" si="52"/>
        <v>79.56</v>
      </c>
      <c r="AQ195" s="91">
        <f t="shared" si="53"/>
        <v>0</v>
      </c>
      <c r="AR195" s="91">
        <f t="shared" si="54"/>
        <v>0</v>
      </c>
      <c r="AS195" s="67">
        <f t="shared" si="55"/>
        <v>0.15912</v>
      </c>
      <c r="AT195" s="67">
        <f t="shared" si="56"/>
        <v>0.0049725</v>
      </c>
      <c r="AU195" s="67">
        <f t="shared" si="57"/>
        <v>0.11934</v>
      </c>
      <c r="AV195" s="67">
        <f t="shared" si="58"/>
        <v>0.00248625</v>
      </c>
      <c r="AW195" s="67">
        <f t="shared" si="59"/>
        <v>0</v>
      </c>
      <c r="AX195" s="67"/>
      <c r="AY195" s="67"/>
      <c r="AZ195" s="75"/>
    </row>
    <row r="196" spans="1:52">
      <c r="A196" s="64">
        <v>191</v>
      </c>
      <c r="B196" s="65" t="s">
        <v>112</v>
      </c>
      <c r="C196" s="65" t="s">
        <v>112</v>
      </c>
      <c r="D196" s="65" t="s">
        <v>223</v>
      </c>
      <c r="E196" s="65" t="s">
        <v>93</v>
      </c>
      <c r="F196" s="66">
        <v>183.88</v>
      </c>
      <c r="G196" s="67">
        <f t="shared" si="40"/>
        <v>49.0389188655645</v>
      </c>
      <c r="H196" s="67">
        <f t="shared" si="41"/>
        <v>9017.276401</v>
      </c>
      <c r="I196" s="75">
        <v>2</v>
      </c>
      <c r="J196" s="75">
        <v>2</v>
      </c>
      <c r="K196" s="76">
        <f t="shared" si="42"/>
        <v>6415.411991</v>
      </c>
      <c r="L196" s="76">
        <f t="shared" si="43"/>
        <v>5312.131991</v>
      </c>
      <c r="M196" s="75">
        <v>2</v>
      </c>
      <c r="N196" s="77">
        <v>0</v>
      </c>
      <c r="O196" s="75">
        <v>0</v>
      </c>
      <c r="P196" s="67">
        <f t="shared" si="44"/>
        <v>367.76</v>
      </c>
      <c r="Q196" s="77">
        <v>3705.14441</v>
      </c>
      <c r="R196" s="67">
        <f t="shared" si="45"/>
        <v>1103.28</v>
      </c>
      <c r="S196" s="67">
        <v>0</v>
      </c>
      <c r="T196" s="76">
        <f t="shared" si="46"/>
        <v>5312.131991</v>
      </c>
      <c r="U196" s="76"/>
      <c r="V196" s="77">
        <v>0</v>
      </c>
      <c r="W196" s="75">
        <v>0</v>
      </c>
      <c r="X196" s="76"/>
      <c r="Y196" s="77">
        <v>779.468895</v>
      </c>
      <c r="Z196" s="77">
        <v>0</v>
      </c>
      <c r="AA196" s="67">
        <f t="shared" si="47"/>
        <v>0</v>
      </c>
      <c r="AB196" s="77">
        <v>0</v>
      </c>
      <c r="AC196" s="67">
        <f t="shared" si="48"/>
        <v>0</v>
      </c>
      <c r="AD196" s="77">
        <v>0</v>
      </c>
      <c r="AE196" s="67">
        <f t="shared" si="49"/>
        <v>0</v>
      </c>
      <c r="AF196" s="82">
        <v>0</v>
      </c>
      <c r="AG196" s="67">
        <f t="shared" si="50"/>
        <v>0</v>
      </c>
      <c r="AH196" s="77">
        <v>0</v>
      </c>
      <c r="AI196" s="67">
        <f t="shared" si="51"/>
        <v>0</v>
      </c>
      <c r="AJ196" s="77">
        <v>140.670077</v>
      </c>
      <c r="AK196" s="77">
        <v>0</v>
      </c>
      <c r="AL196" s="77">
        <v>0</v>
      </c>
      <c r="AM196" s="77">
        <v>0</v>
      </c>
      <c r="AN196" s="77">
        <v>0</v>
      </c>
      <c r="AO196" s="77">
        <v>4391.993019</v>
      </c>
      <c r="AP196" s="67">
        <f t="shared" si="52"/>
        <v>367.76</v>
      </c>
      <c r="AQ196" s="91">
        <f t="shared" si="53"/>
        <v>0</v>
      </c>
      <c r="AR196" s="91">
        <f t="shared" si="54"/>
        <v>0</v>
      </c>
      <c r="AS196" s="67">
        <f t="shared" si="55"/>
        <v>0.73552</v>
      </c>
      <c r="AT196" s="67">
        <f t="shared" si="56"/>
        <v>0.022985</v>
      </c>
      <c r="AU196" s="67">
        <f t="shared" si="57"/>
        <v>0.55164</v>
      </c>
      <c r="AV196" s="67">
        <f t="shared" si="58"/>
        <v>0.0114925</v>
      </c>
      <c r="AW196" s="67">
        <f t="shared" si="59"/>
        <v>0</v>
      </c>
      <c r="AX196" s="67"/>
      <c r="AY196" s="67"/>
      <c r="AZ196" s="75"/>
    </row>
    <row r="197" spans="1:52">
      <c r="A197" s="64">
        <v>192</v>
      </c>
      <c r="B197" s="65" t="s">
        <v>91</v>
      </c>
      <c r="C197" s="65" t="s">
        <v>91</v>
      </c>
      <c r="D197" s="65" t="s">
        <v>204</v>
      </c>
      <c r="E197" s="65" t="s">
        <v>114</v>
      </c>
      <c r="F197" s="66">
        <v>778.27</v>
      </c>
      <c r="G197" s="67">
        <f t="shared" si="40"/>
        <v>39.2803986007427</v>
      </c>
      <c r="H197" s="67">
        <f t="shared" si="41"/>
        <v>30570.755819</v>
      </c>
      <c r="I197" s="75">
        <v>2</v>
      </c>
      <c r="J197" s="75">
        <v>2</v>
      </c>
      <c r="K197" s="76">
        <f t="shared" si="42"/>
        <v>23218.441524</v>
      </c>
      <c r="L197" s="76">
        <f t="shared" si="43"/>
        <v>18548.821524</v>
      </c>
      <c r="M197" s="75">
        <v>2</v>
      </c>
      <c r="N197" s="77">
        <v>0</v>
      </c>
      <c r="O197" s="75">
        <v>0</v>
      </c>
      <c r="P197" s="67">
        <f t="shared" si="44"/>
        <v>1556.54</v>
      </c>
      <c r="Q197" s="77">
        <v>12021.934295</v>
      </c>
      <c r="R197" s="67">
        <f t="shared" si="45"/>
        <v>4669.62</v>
      </c>
      <c r="S197" s="67">
        <v>0</v>
      </c>
      <c r="T197" s="76">
        <f t="shared" si="46"/>
        <v>18548.821524</v>
      </c>
      <c r="U197" s="76"/>
      <c r="V197" s="77">
        <v>3722.855017</v>
      </c>
      <c r="W197" s="75">
        <v>1</v>
      </c>
      <c r="X197" s="76"/>
      <c r="Y197" s="77">
        <v>3142.29219</v>
      </c>
      <c r="Z197" s="77">
        <v>0</v>
      </c>
      <c r="AA197" s="67">
        <f t="shared" si="47"/>
        <v>0</v>
      </c>
      <c r="AB197" s="77">
        <v>0</v>
      </c>
      <c r="AC197" s="67">
        <f t="shared" si="48"/>
        <v>0</v>
      </c>
      <c r="AD197" s="77">
        <v>1369.325581</v>
      </c>
      <c r="AE197" s="67">
        <f t="shared" si="49"/>
        <v>2738.651162</v>
      </c>
      <c r="AF197" s="82">
        <v>0</v>
      </c>
      <c r="AG197" s="67">
        <f t="shared" si="50"/>
        <v>0</v>
      </c>
      <c r="AH197" s="77">
        <v>0</v>
      </c>
      <c r="AI197" s="67">
        <f t="shared" si="51"/>
        <v>0</v>
      </c>
      <c r="AJ197" s="77">
        <v>760.776256</v>
      </c>
      <c r="AK197" s="77">
        <v>0</v>
      </c>
      <c r="AL197" s="77">
        <v>0</v>
      </c>
      <c r="AM197" s="77">
        <v>0</v>
      </c>
      <c r="AN197" s="77">
        <v>0</v>
      </c>
      <c r="AO197" s="77">
        <v>8184.246899</v>
      </c>
      <c r="AP197" s="67">
        <f t="shared" si="52"/>
        <v>1556.54</v>
      </c>
      <c r="AQ197" s="91">
        <f t="shared" si="53"/>
        <v>0</v>
      </c>
      <c r="AR197" s="91">
        <f t="shared" si="54"/>
        <v>0</v>
      </c>
      <c r="AS197" s="67">
        <f t="shared" si="55"/>
        <v>3.11308</v>
      </c>
      <c r="AT197" s="67">
        <f t="shared" si="56"/>
        <v>0.09728375</v>
      </c>
      <c r="AU197" s="67">
        <f t="shared" si="57"/>
        <v>2.33481</v>
      </c>
      <c r="AV197" s="67">
        <f t="shared" si="58"/>
        <v>0.048641875</v>
      </c>
      <c r="AW197" s="67">
        <f t="shared" si="59"/>
        <v>0.06846627905</v>
      </c>
      <c r="AX197" s="67"/>
      <c r="AY197" s="67"/>
      <c r="AZ197" s="75"/>
    </row>
    <row r="198" spans="1:52">
      <c r="A198" s="64">
        <v>193</v>
      </c>
      <c r="B198" s="65" t="s">
        <v>91</v>
      </c>
      <c r="C198" s="65" t="s">
        <v>91</v>
      </c>
      <c r="D198" s="65" t="s">
        <v>86</v>
      </c>
      <c r="E198" s="65" t="s">
        <v>135</v>
      </c>
      <c r="F198" s="66">
        <v>434.84</v>
      </c>
      <c r="G198" s="67">
        <f t="shared" ref="G198:G213" si="60">H198/F198</f>
        <v>16.4325505174317</v>
      </c>
      <c r="H198" s="67">
        <f t="shared" ref="H198:H213" si="61">Q198+V198+Y198+AA198+AC198+AE198+AG198+AI198+AJ198+AK198+AL198+AM198+AN198+AO198</f>
        <v>7145.530267</v>
      </c>
      <c r="I198" s="75">
        <v>2</v>
      </c>
      <c r="J198" s="75">
        <v>2</v>
      </c>
      <c r="K198" s="76">
        <f t="shared" ref="K198:K213" si="62">R198+V198+Y198+AA198+AC198+AE198+AG198+AI198+AJ198+AK198+AL198+AM198+AN198+AO198</f>
        <v>6672.011531</v>
      </c>
      <c r="L198" s="76">
        <f t="shared" ref="L198:L213" si="63">S198+V198+Y198+AA198+AE198+AG198+AI198+AJ198+AK198+AL198+AM198+AN198+AO198</f>
        <v>4062.971531</v>
      </c>
      <c r="M198" s="75">
        <v>2</v>
      </c>
      <c r="N198" s="77">
        <v>0</v>
      </c>
      <c r="O198" s="75">
        <v>0</v>
      </c>
      <c r="P198" s="67">
        <f t="shared" ref="P198:P213" si="64">F198*2</f>
        <v>869.68</v>
      </c>
      <c r="Q198" s="77">
        <v>3082.558736</v>
      </c>
      <c r="R198" s="67">
        <f t="shared" ref="R198:R213" si="65">P198*3</f>
        <v>2609.04</v>
      </c>
      <c r="S198" s="67">
        <v>0</v>
      </c>
      <c r="T198" s="76">
        <f t="shared" ref="T198:T213" si="66">S198+V198+Y198+AA198+AE198+AG198+AI198+AJ198+AK198+AL198+AM198+AN198+AO198</f>
        <v>4062.971531</v>
      </c>
      <c r="U198" s="76"/>
      <c r="V198" s="77">
        <v>0</v>
      </c>
      <c r="W198" s="75">
        <v>0</v>
      </c>
      <c r="X198" s="76"/>
      <c r="Y198" s="77">
        <v>0</v>
      </c>
      <c r="Z198" s="77">
        <v>0</v>
      </c>
      <c r="AA198" s="67">
        <f t="shared" ref="AA198:AA213" si="67">Z198*2</f>
        <v>0</v>
      </c>
      <c r="AB198" s="77">
        <v>0</v>
      </c>
      <c r="AC198" s="67">
        <f t="shared" ref="AC198:AC213" si="68">AB198*2</f>
        <v>0</v>
      </c>
      <c r="AD198" s="77">
        <v>0</v>
      </c>
      <c r="AE198" s="67">
        <f t="shared" ref="AE198:AE213" si="69">AD198*2</f>
        <v>0</v>
      </c>
      <c r="AF198" s="82">
        <v>0</v>
      </c>
      <c r="AG198" s="67">
        <f t="shared" ref="AG198:AG213" si="70">AF198*2</f>
        <v>0</v>
      </c>
      <c r="AH198" s="77">
        <v>0</v>
      </c>
      <c r="AI198" s="67">
        <f t="shared" ref="AI198:AI213" si="71">AH198*2</f>
        <v>0</v>
      </c>
      <c r="AJ198" s="77">
        <v>483.07473</v>
      </c>
      <c r="AK198" s="77">
        <v>0</v>
      </c>
      <c r="AL198" s="77">
        <v>0</v>
      </c>
      <c r="AM198" s="77">
        <v>0</v>
      </c>
      <c r="AN198" s="77">
        <v>0</v>
      </c>
      <c r="AO198" s="77">
        <v>3579.896801</v>
      </c>
      <c r="AP198" s="67">
        <f t="shared" ref="AP198:AP213" si="72">F198*2</f>
        <v>869.68</v>
      </c>
      <c r="AQ198" s="91">
        <f t="shared" ref="AQ198:AQ213" si="73">P198*IF(J198=1,0,IF(J198=2,0,IF(J198=3,2,IF(J198=4,0))))/1000</f>
        <v>0</v>
      </c>
      <c r="AR198" s="91">
        <f t="shared" ref="AR198:AR213" si="74">AQ198/60</f>
        <v>0</v>
      </c>
      <c r="AS198" s="67">
        <f t="shared" ref="AS198:AS213" si="75">P198*IF(J198=1,3,IF(J198=2,2,IF(J198=3,0,IF(J198=4,0))))/1000</f>
        <v>1.73936</v>
      </c>
      <c r="AT198" s="67">
        <f t="shared" ref="AT198:AT213" si="76">AS198/32</f>
        <v>0.054355</v>
      </c>
      <c r="AU198" s="67">
        <f t="shared" ref="AU198:AU213" si="77">P198/1000/2*IF(J198=1,4,IF(J198=2,3,IF(J198=3,2,IF(J198=4,0))))</f>
        <v>1.30452</v>
      </c>
      <c r="AV198" s="67">
        <f t="shared" ref="AV198:AV213" si="78">AU198/48</f>
        <v>0.0271775</v>
      </c>
      <c r="AW198" s="67">
        <f t="shared" ref="AW198:AW213" si="79">(Z198+AB198+AD198)/20/1000</f>
        <v>0</v>
      </c>
      <c r="AX198" s="67"/>
      <c r="AY198" s="67"/>
      <c r="AZ198" s="75"/>
    </row>
    <row r="199" spans="1:52">
      <c r="A199" s="64">
        <v>194</v>
      </c>
      <c r="B199" s="65" t="s">
        <v>91</v>
      </c>
      <c r="C199" s="65" t="s">
        <v>91</v>
      </c>
      <c r="D199" s="65" t="s">
        <v>114</v>
      </c>
      <c r="E199" s="65" t="s">
        <v>86</v>
      </c>
      <c r="F199" s="66">
        <v>554.21</v>
      </c>
      <c r="G199" s="67">
        <f t="shared" si="60"/>
        <v>45.074749614767</v>
      </c>
      <c r="H199" s="67">
        <f t="shared" si="61"/>
        <v>24980.876984</v>
      </c>
      <c r="I199" s="75">
        <v>2</v>
      </c>
      <c r="J199" s="75">
        <v>2</v>
      </c>
      <c r="K199" s="76">
        <f t="shared" si="62"/>
        <v>19234.926889</v>
      </c>
      <c r="L199" s="76">
        <f t="shared" si="63"/>
        <v>15909.666889</v>
      </c>
      <c r="M199" s="75">
        <v>2</v>
      </c>
      <c r="N199" s="77">
        <v>0</v>
      </c>
      <c r="O199" s="75">
        <v>0</v>
      </c>
      <c r="P199" s="67">
        <f t="shared" si="64"/>
        <v>1108.42</v>
      </c>
      <c r="Q199" s="77">
        <v>9071.210095</v>
      </c>
      <c r="R199" s="67">
        <f t="shared" si="65"/>
        <v>3325.26</v>
      </c>
      <c r="S199" s="67">
        <v>0</v>
      </c>
      <c r="T199" s="76">
        <f t="shared" si="66"/>
        <v>15909.666889</v>
      </c>
      <c r="U199" s="76"/>
      <c r="V199" s="77">
        <v>2585.952206</v>
      </c>
      <c r="W199" s="75">
        <v>1</v>
      </c>
      <c r="X199" s="76"/>
      <c r="Y199" s="77">
        <v>2042.921953</v>
      </c>
      <c r="Z199" s="77">
        <v>0</v>
      </c>
      <c r="AA199" s="67">
        <f t="shared" si="67"/>
        <v>0</v>
      </c>
      <c r="AB199" s="77">
        <v>0</v>
      </c>
      <c r="AC199" s="67">
        <f t="shared" si="68"/>
        <v>0</v>
      </c>
      <c r="AD199" s="77">
        <v>927.289871</v>
      </c>
      <c r="AE199" s="67">
        <f t="shared" si="69"/>
        <v>1854.579742</v>
      </c>
      <c r="AF199" s="82">
        <v>0</v>
      </c>
      <c r="AG199" s="67">
        <f t="shared" si="70"/>
        <v>0</v>
      </c>
      <c r="AH199" s="77">
        <v>61.165407</v>
      </c>
      <c r="AI199" s="67">
        <f t="shared" si="71"/>
        <v>122.330814</v>
      </c>
      <c r="AJ199" s="77">
        <v>189.072279</v>
      </c>
      <c r="AK199" s="77">
        <v>23.681222</v>
      </c>
      <c r="AL199" s="77">
        <v>0</v>
      </c>
      <c r="AM199" s="77">
        <v>0</v>
      </c>
      <c r="AN199" s="77">
        <v>0</v>
      </c>
      <c r="AO199" s="77">
        <v>9091.128673</v>
      </c>
      <c r="AP199" s="67">
        <f t="shared" si="72"/>
        <v>1108.42</v>
      </c>
      <c r="AQ199" s="91">
        <f t="shared" si="73"/>
        <v>0</v>
      </c>
      <c r="AR199" s="91">
        <f t="shared" si="74"/>
        <v>0</v>
      </c>
      <c r="AS199" s="67">
        <f t="shared" si="75"/>
        <v>2.21684</v>
      </c>
      <c r="AT199" s="67">
        <f t="shared" si="76"/>
        <v>0.06927625</v>
      </c>
      <c r="AU199" s="67">
        <f t="shared" si="77"/>
        <v>1.66263</v>
      </c>
      <c r="AV199" s="67">
        <f t="shared" si="78"/>
        <v>0.034638125</v>
      </c>
      <c r="AW199" s="67">
        <f t="shared" si="79"/>
        <v>0.04636449355</v>
      </c>
      <c r="AX199" s="67"/>
      <c r="AY199" s="67"/>
      <c r="AZ199" s="75"/>
    </row>
    <row r="200" spans="1:52">
      <c r="A200" s="64">
        <v>195</v>
      </c>
      <c r="B200" s="65" t="s">
        <v>91</v>
      </c>
      <c r="C200" s="65" t="s">
        <v>271</v>
      </c>
      <c r="D200" s="65"/>
      <c r="E200" s="65"/>
      <c r="F200" s="66">
        <v>39.95</v>
      </c>
      <c r="G200" s="67">
        <f t="shared" si="60"/>
        <v>34.5172045807259</v>
      </c>
      <c r="H200" s="67">
        <f t="shared" si="61"/>
        <v>1378.962323</v>
      </c>
      <c r="I200" s="75">
        <v>2</v>
      </c>
      <c r="J200" s="75">
        <v>2</v>
      </c>
      <c r="K200" s="76">
        <f t="shared" si="62"/>
        <v>239.7</v>
      </c>
      <c r="L200" s="76">
        <f t="shared" si="63"/>
        <v>0</v>
      </c>
      <c r="M200" s="75">
        <v>0</v>
      </c>
      <c r="N200" s="77">
        <v>0</v>
      </c>
      <c r="O200" s="75">
        <v>0</v>
      </c>
      <c r="P200" s="67">
        <f t="shared" si="64"/>
        <v>79.9</v>
      </c>
      <c r="Q200" s="77">
        <v>1378.962323</v>
      </c>
      <c r="R200" s="67">
        <f t="shared" si="65"/>
        <v>239.7</v>
      </c>
      <c r="S200" s="67">
        <v>0</v>
      </c>
      <c r="T200" s="76">
        <f t="shared" si="66"/>
        <v>0</v>
      </c>
      <c r="U200" s="76"/>
      <c r="V200" s="77">
        <v>0</v>
      </c>
      <c r="W200" s="75">
        <v>0</v>
      </c>
      <c r="X200" s="76"/>
      <c r="Y200" s="77">
        <v>0</v>
      </c>
      <c r="Z200" s="77">
        <v>0</v>
      </c>
      <c r="AA200" s="67">
        <f t="shared" si="67"/>
        <v>0</v>
      </c>
      <c r="AB200" s="77">
        <v>0</v>
      </c>
      <c r="AC200" s="67">
        <f t="shared" si="68"/>
        <v>0</v>
      </c>
      <c r="AD200" s="77">
        <v>0</v>
      </c>
      <c r="AE200" s="67">
        <f t="shared" si="69"/>
        <v>0</v>
      </c>
      <c r="AF200" s="82">
        <v>0</v>
      </c>
      <c r="AG200" s="67">
        <f t="shared" si="70"/>
        <v>0</v>
      </c>
      <c r="AH200" s="77">
        <v>0</v>
      </c>
      <c r="AI200" s="67">
        <f t="shared" si="71"/>
        <v>0</v>
      </c>
      <c r="AJ200" s="77">
        <v>0</v>
      </c>
      <c r="AK200" s="77">
        <v>0</v>
      </c>
      <c r="AL200" s="77">
        <v>0</v>
      </c>
      <c r="AM200" s="77">
        <v>0</v>
      </c>
      <c r="AN200" s="77">
        <v>0</v>
      </c>
      <c r="AO200" s="77">
        <v>0</v>
      </c>
      <c r="AP200" s="67">
        <f t="shared" si="72"/>
        <v>79.9</v>
      </c>
      <c r="AQ200" s="91">
        <f t="shared" si="73"/>
        <v>0</v>
      </c>
      <c r="AR200" s="91">
        <f t="shared" si="74"/>
        <v>0</v>
      </c>
      <c r="AS200" s="67">
        <f t="shared" si="75"/>
        <v>0.1598</v>
      </c>
      <c r="AT200" s="67">
        <f t="shared" si="76"/>
        <v>0.00499375</v>
      </c>
      <c r="AU200" s="67">
        <f t="shared" si="77"/>
        <v>0.11985</v>
      </c>
      <c r="AV200" s="67">
        <f t="shared" si="78"/>
        <v>0.002496875</v>
      </c>
      <c r="AW200" s="67">
        <f t="shared" si="79"/>
        <v>0</v>
      </c>
      <c r="AX200" s="67"/>
      <c r="AY200" s="67"/>
      <c r="AZ200" s="75"/>
    </row>
    <row r="201" spans="1:52">
      <c r="A201" s="64">
        <v>196</v>
      </c>
      <c r="B201" s="65" t="s">
        <v>91</v>
      </c>
      <c r="C201" s="65" t="s">
        <v>272</v>
      </c>
      <c r="D201" s="65"/>
      <c r="E201" s="65"/>
      <c r="F201" s="66">
        <v>41.17</v>
      </c>
      <c r="G201" s="67">
        <f t="shared" si="60"/>
        <v>30.1896181442798</v>
      </c>
      <c r="H201" s="67">
        <f t="shared" si="61"/>
        <v>1242.906579</v>
      </c>
      <c r="I201" s="75">
        <v>2</v>
      </c>
      <c r="J201" s="75">
        <v>2</v>
      </c>
      <c r="K201" s="76">
        <f t="shared" si="62"/>
        <v>247.02</v>
      </c>
      <c r="L201" s="76">
        <f t="shared" si="63"/>
        <v>0</v>
      </c>
      <c r="M201" s="75">
        <v>0</v>
      </c>
      <c r="N201" s="77">
        <v>0</v>
      </c>
      <c r="O201" s="75">
        <v>0</v>
      </c>
      <c r="P201" s="67">
        <f t="shared" si="64"/>
        <v>82.34</v>
      </c>
      <c r="Q201" s="77">
        <v>1242.906579</v>
      </c>
      <c r="R201" s="67">
        <f t="shared" si="65"/>
        <v>247.02</v>
      </c>
      <c r="S201" s="67">
        <v>0</v>
      </c>
      <c r="T201" s="76">
        <f t="shared" si="66"/>
        <v>0</v>
      </c>
      <c r="U201" s="76"/>
      <c r="V201" s="77">
        <v>0</v>
      </c>
      <c r="W201" s="75">
        <v>0</v>
      </c>
      <c r="X201" s="76"/>
      <c r="Y201" s="77">
        <v>0</v>
      </c>
      <c r="Z201" s="77">
        <v>0</v>
      </c>
      <c r="AA201" s="67">
        <f t="shared" si="67"/>
        <v>0</v>
      </c>
      <c r="AB201" s="77">
        <v>0</v>
      </c>
      <c r="AC201" s="67">
        <f t="shared" si="68"/>
        <v>0</v>
      </c>
      <c r="AD201" s="77">
        <v>0</v>
      </c>
      <c r="AE201" s="67">
        <f t="shared" si="69"/>
        <v>0</v>
      </c>
      <c r="AF201" s="82">
        <v>0</v>
      </c>
      <c r="AG201" s="67">
        <f t="shared" si="70"/>
        <v>0</v>
      </c>
      <c r="AH201" s="77">
        <v>0</v>
      </c>
      <c r="AI201" s="67">
        <f t="shared" si="71"/>
        <v>0</v>
      </c>
      <c r="AJ201" s="77">
        <v>0</v>
      </c>
      <c r="AK201" s="77">
        <v>0</v>
      </c>
      <c r="AL201" s="77">
        <v>0</v>
      </c>
      <c r="AM201" s="77">
        <v>0</v>
      </c>
      <c r="AN201" s="77">
        <v>0</v>
      </c>
      <c r="AO201" s="77">
        <v>0</v>
      </c>
      <c r="AP201" s="67">
        <f t="shared" si="72"/>
        <v>82.34</v>
      </c>
      <c r="AQ201" s="91">
        <f t="shared" si="73"/>
        <v>0</v>
      </c>
      <c r="AR201" s="91">
        <f t="shared" si="74"/>
        <v>0</v>
      </c>
      <c r="AS201" s="67">
        <f t="shared" si="75"/>
        <v>0.16468</v>
      </c>
      <c r="AT201" s="67">
        <f t="shared" si="76"/>
        <v>0.00514625</v>
      </c>
      <c r="AU201" s="67">
        <f t="shared" si="77"/>
        <v>0.12351</v>
      </c>
      <c r="AV201" s="67">
        <f t="shared" si="78"/>
        <v>0.002573125</v>
      </c>
      <c r="AW201" s="67">
        <f t="shared" si="79"/>
        <v>0</v>
      </c>
      <c r="AX201" s="67"/>
      <c r="AY201" s="67"/>
      <c r="AZ201" s="75"/>
    </row>
    <row r="202" spans="1:52">
      <c r="A202" s="64">
        <v>197</v>
      </c>
      <c r="B202" s="65" t="s">
        <v>273</v>
      </c>
      <c r="C202" s="65" t="s">
        <v>273</v>
      </c>
      <c r="D202" s="65" t="s">
        <v>91</v>
      </c>
      <c r="E202" s="65" t="s">
        <v>203</v>
      </c>
      <c r="F202" s="66">
        <v>215.91</v>
      </c>
      <c r="G202" s="67">
        <f t="shared" si="60"/>
        <v>16.7133450372841</v>
      </c>
      <c r="H202" s="67">
        <f t="shared" si="61"/>
        <v>3608.578327</v>
      </c>
      <c r="I202" s="75">
        <v>2</v>
      </c>
      <c r="J202" s="78">
        <v>3</v>
      </c>
      <c r="K202" s="76">
        <f t="shared" si="62"/>
        <v>3019.082162</v>
      </c>
      <c r="L202" s="76">
        <f t="shared" si="63"/>
        <v>1723.622162</v>
      </c>
      <c r="M202" s="75">
        <v>2</v>
      </c>
      <c r="N202" s="77">
        <v>0</v>
      </c>
      <c r="O202" s="75">
        <v>0</v>
      </c>
      <c r="P202" s="67">
        <f t="shared" si="64"/>
        <v>431.82</v>
      </c>
      <c r="Q202" s="77">
        <v>1884.956165</v>
      </c>
      <c r="R202" s="67">
        <f t="shared" si="65"/>
        <v>1295.46</v>
      </c>
      <c r="S202" s="67">
        <v>0</v>
      </c>
      <c r="T202" s="76">
        <f t="shared" si="66"/>
        <v>1723.622162</v>
      </c>
      <c r="U202" s="76"/>
      <c r="V202" s="77">
        <v>0</v>
      </c>
      <c r="W202" s="75">
        <v>0</v>
      </c>
      <c r="X202" s="76"/>
      <c r="Y202" s="77">
        <v>0</v>
      </c>
      <c r="Z202" s="77">
        <v>0</v>
      </c>
      <c r="AA202" s="67">
        <f t="shared" si="67"/>
        <v>0</v>
      </c>
      <c r="AB202" s="77">
        <v>0</v>
      </c>
      <c r="AC202" s="67">
        <f t="shared" si="68"/>
        <v>0</v>
      </c>
      <c r="AD202" s="77">
        <v>0</v>
      </c>
      <c r="AE202" s="67">
        <f t="shared" si="69"/>
        <v>0</v>
      </c>
      <c r="AF202" s="82">
        <v>0</v>
      </c>
      <c r="AG202" s="67">
        <f t="shared" si="70"/>
        <v>0</v>
      </c>
      <c r="AH202" s="77">
        <v>0</v>
      </c>
      <c r="AI202" s="67">
        <f t="shared" si="71"/>
        <v>0</v>
      </c>
      <c r="AJ202" s="77">
        <v>240.008927</v>
      </c>
      <c r="AK202" s="77">
        <v>0</v>
      </c>
      <c r="AL202" s="77">
        <v>0</v>
      </c>
      <c r="AM202" s="77">
        <v>0</v>
      </c>
      <c r="AN202" s="77">
        <v>0</v>
      </c>
      <c r="AO202" s="77">
        <v>1483.613235</v>
      </c>
      <c r="AP202" s="67">
        <f t="shared" si="72"/>
        <v>431.82</v>
      </c>
      <c r="AQ202" s="91">
        <f t="shared" si="73"/>
        <v>0.86364</v>
      </c>
      <c r="AR202" s="91">
        <f t="shared" si="74"/>
        <v>0.014394</v>
      </c>
      <c r="AS202" s="67">
        <f t="shared" si="75"/>
        <v>0</v>
      </c>
      <c r="AT202" s="67">
        <f t="shared" si="76"/>
        <v>0</v>
      </c>
      <c r="AU202" s="67">
        <f t="shared" si="77"/>
        <v>0.43182</v>
      </c>
      <c r="AV202" s="67">
        <f t="shared" si="78"/>
        <v>0.00899625</v>
      </c>
      <c r="AW202" s="67">
        <f t="shared" si="79"/>
        <v>0</v>
      </c>
      <c r="AX202" s="67"/>
      <c r="AY202" s="67"/>
      <c r="AZ202" s="75"/>
    </row>
    <row r="203" spans="1:52">
      <c r="A203" s="64">
        <v>198</v>
      </c>
      <c r="B203" s="65" t="s">
        <v>204</v>
      </c>
      <c r="C203" s="65" t="s">
        <v>204</v>
      </c>
      <c r="D203" s="65" t="s">
        <v>274</v>
      </c>
      <c r="E203" s="65" t="s">
        <v>91</v>
      </c>
      <c r="F203" s="66">
        <v>155.43</v>
      </c>
      <c r="G203" s="67">
        <f t="shared" si="60"/>
        <v>17.8446334813099</v>
      </c>
      <c r="H203" s="67">
        <f t="shared" si="61"/>
        <v>2773.591382</v>
      </c>
      <c r="I203" s="75">
        <v>2</v>
      </c>
      <c r="J203" s="75">
        <v>2</v>
      </c>
      <c r="K203" s="76">
        <f t="shared" si="62"/>
        <v>2363.47433</v>
      </c>
      <c r="L203" s="76">
        <f t="shared" si="63"/>
        <v>1430.89433</v>
      </c>
      <c r="M203" s="75">
        <v>2</v>
      </c>
      <c r="N203" s="77">
        <v>0</v>
      </c>
      <c r="O203" s="75">
        <v>0</v>
      </c>
      <c r="P203" s="67">
        <f t="shared" si="64"/>
        <v>310.86</v>
      </c>
      <c r="Q203" s="77">
        <v>1342.697052</v>
      </c>
      <c r="R203" s="67">
        <f t="shared" si="65"/>
        <v>932.58</v>
      </c>
      <c r="S203" s="67">
        <v>0</v>
      </c>
      <c r="T203" s="76">
        <f t="shared" si="66"/>
        <v>1430.89433</v>
      </c>
      <c r="U203" s="76"/>
      <c r="V203" s="77">
        <v>0</v>
      </c>
      <c r="W203" s="75">
        <v>0</v>
      </c>
      <c r="X203" s="76"/>
      <c r="Y203" s="77">
        <v>320.067598</v>
      </c>
      <c r="Z203" s="77">
        <v>0</v>
      </c>
      <c r="AA203" s="67">
        <f t="shared" si="67"/>
        <v>0</v>
      </c>
      <c r="AB203" s="77">
        <v>0</v>
      </c>
      <c r="AC203" s="67">
        <f t="shared" si="68"/>
        <v>0</v>
      </c>
      <c r="AD203" s="77">
        <v>0</v>
      </c>
      <c r="AE203" s="67">
        <f t="shared" si="69"/>
        <v>0</v>
      </c>
      <c r="AF203" s="82">
        <v>0</v>
      </c>
      <c r="AG203" s="67">
        <f t="shared" si="70"/>
        <v>0</v>
      </c>
      <c r="AH203" s="77">
        <v>13.236174</v>
      </c>
      <c r="AI203" s="67">
        <f t="shared" si="71"/>
        <v>26.472348</v>
      </c>
      <c r="AJ203" s="77">
        <v>23.775838</v>
      </c>
      <c r="AK203" s="77">
        <v>0</v>
      </c>
      <c r="AL203" s="77">
        <v>0</v>
      </c>
      <c r="AM203" s="77">
        <v>0</v>
      </c>
      <c r="AN203" s="77">
        <v>0</v>
      </c>
      <c r="AO203" s="77">
        <v>1060.578546</v>
      </c>
      <c r="AP203" s="67">
        <f t="shared" si="72"/>
        <v>310.86</v>
      </c>
      <c r="AQ203" s="91">
        <f t="shared" si="73"/>
        <v>0</v>
      </c>
      <c r="AR203" s="91">
        <f t="shared" si="74"/>
        <v>0</v>
      </c>
      <c r="AS203" s="67">
        <f t="shared" si="75"/>
        <v>0.62172</v>
      </c>
      <c r="AT203" s="67">
        <f t="shared" si="76"/>
        <v>0.01942875</v>
      </c>
      <c r="AU203" s="67">
        <f t="shared" si="77"/>
        <v>0.46629</v>
      </c>
      <c r="AV203" s="67">
        <f t="shared" si="78"/>
        <v>0.009714375</v>
      </c>
      <c r="AW203" s="67">
        <f t="shared" si="79"/>
        <v>0</v>
      </c>
      <c r="AX203" s="67"/>
      <c r="AY203" s="67"/>
      <c r="AZ203" s="75"/>
    </row>
    <row r="204" spans="1:52">
      <c r="A204" s="64">
        <v>199</v>
      </c>
      <c r="B204" s="65" t="s">
        <v>204</v>
      </c>
      <c r="C204" s="65" t="s">
        <v>204</v>
      </c>
      <c r="D204" s="65" t="s">
        <v>91</v>
      </c>
      <c r="E204" s="65" t="s">
        <v>138</v>
      </c>
      <c r="F204" s="66">
        <v>545.15</v>
      </c>
      <c r="G204" s="67">
        <f t="shared" si="60"/>
        <v>17.8559588498578</v>
      </c>
      <c r="H204" s="67">
        <f t="shared" si="61"/>
        <v>9734.175967</v>
      </c>
      <c r="I204" s="75">
        <v>2</v>
      </c>
      <c r="J204" s="75">
        <v>2</v>
      </c>
      <c r="K204" s="76">
        <f t="shared" si="62"/>
        <v>8110.360211</v>
      </c>
      <c r="L204" s="76">
        <f t="shared" si="63"/>
        <v>4839.460211</v>
      </c>
      <c r="M204" s="75">
        <v>2</v>
      </c>
      <c r="N204" s="77">
        <v>0</v>
      </c>
      <c r="O204" s="75">
        <v>0</v>
      </c>
      <c r="P204" s="67">
        <f t="shared" si="64"/>
        <v>1090.3</v>
      </c>
      <c r="Q204" s="77">
        <v>4894.715756</v>
      </c>
      <c r="R204" s="67">
        <f t="shared" si="65"/>
        <v>3270.9</v>
      </c>
      <c r="S204" s="67">
        <v>0</v>
      </c>
      <c r="T204" s="76">
        <f t="shared" si="66"/>
        <v>4839.460211</v>
      </c>
      <c r="U204" s="76"/>
      <c r="V204" s="77">
        <v>0</v>
      </c>
      <c r="W204" s="75">
        <v>0</v>
      </c>
      <c r="X204" s="76"/>
      <c r="Y204" s="77">
        <v>1955.707626</v>
      </c>
      <c r="Z204" s="77">
        <v>0</v>
      </c>
      <c r="AA204" s="67">
        <f t="shared" si="67"/>
        <v>0</v>
      </c>
      <c r="AB204" s="77">
        <v>0</v>
      </c>
      <c r="AC204" s="67">
        <f t="shared" si="68"/>
        <v>0</v>
      </c>
      <c r="AD204" s="77">
        <v>0</v>
      </c>
      <c r="AE204" s="67">
        <f t="shared" si="69"/>
        <v>0</v>
      </c>
      <c r="AF204" s="82">
        <v>0</v>
      </c>
      <c r="AG204" s="67">
        <f t="shared" si="70"/>
        <v>0</v>
      </c>
      <c r="AH204" s="77">
        <v>0</v>
      </c>
      <c r="AI204" s="67">
        <f t="shared" si="71"/>
        <v>0</v>
      </c>
      <c r="AJ204" s="77">
        <v>15.409225</v>
      </c>
      <c r="AK204" s="77">
        <v>0</v>
      </c>
      <c r="AL204" s="77">
        <v>0</v>
      </c>
      <c r="AM204" s="77">
        <v>0</v>
      </c>
      <c r="AN204" s="77">
        <v>0</v>
      </c>
      <c r="AO204" s="77">
        <v>2868.34336</v>
      </c>
      <c r="AP204" s="67">
        <f t="shared" si="72"/>
        <v>1090.3</v>
      </c>
      <c r="AQ204" s="91">
        <f t="shared" si="73"/>
        <v>0</v>
      </c>
      <c r="AR204" s="91">
        <f t="shared" si="74"/>
        <v>0</v>
      </c>
      <c r="AS204" s="67">
        <f t="shared" si="75"/>
        <v>2.1806</v>
      </c>
      <c r="AT204" s="67">
        <f t="shared" si="76"/>
        <v>0.06814375</v>
      </c>
      <c r="AU204" s="67">
        <f t="shared" si="77"/>
        <v>1.63545</v>
      </c>
      <c r="AV204" s="67">
        <f t="shared" si="78"/>
        <v>0.034071875</v>
      </c>
      <c r="AW204" s="67">
        <f t="shared" si="79"/>
        <v>0</v>
      </c>
      <c r="AX204" s="67"/>
      <c r="AY204" s="67"/>
      <c r="AZ204" s="75"/>
    </row>
    <row r="205" spans="1:52">
      <c r="A205" s="64">
        <v>200</v>
      </c>
      <c r="B205" s="65" t="s">
        <v>204</v>
      </c>
      <c r="C205" s="65" t="s">
        <v>275</v>
      </c>
      <c r="D205" s="65"/>
      <c r="E205" s="65"/>
      <c r="F205" s="66">
        <v>16.78</v>
      </c>
      <c r="G205" s="67">
        <f t="shared" si="60"/>
        <v>12.6187773539928</v>
      </c>
      <c r="H205" s="67">
        <f t="shared" si="61"/>
        <v>211.743084</v>
      </c>
      <c r="I205" s="75">
        <v>2</v>
      </c>
      <c r="J205" s="75">
        <v>2</v>
      </c>
      <c r="K205" s="76">
        <f t="shared" si="62"/>
        <v>100.68</v>
      </c>
      <c r="L205" s="76">
        <f t="shared" si="63"/>
        <v>0</v>
      </c>
      <c r="M205" s="75">
        <v>0</v>
      </c>
      <c r="N205" s="77">
        <v>0</v>
      </c>
      <c r="O205" s="75">
        <v>0</v>
      </c>
      <c r="P205" s="67">
        <f t="shared" si="64"/>
        <v>33.56</v>
      </c>
      <c r="Q205" s="77">
        <v>211.743084</v>
      </c>
      <c r="R205" s="67">
        <f t="shared" si="65"/>
        <v>100.68</v>
      </c>
      <c r="S205" s="67">
        <v>0</v>
      </c>
      <c r="T205" s="76">
        <f t="shared" si="66"/>
        <v>0</v>
      </c>
      <c r="U205" s="76"/>
      <c r="V205" s="77">
        <v>0</v>
      </c>
      <c r="W205" s="75">
        <v>0</v>
      </c>
      <c r="X205" s="76"/>
      <c r="Y205" s="77">
        <v>0</v>
      </c>
      <c r="Z205" s="77">
        <v>0</v>
      </c>
      <c r="AA205" s="67">
        <f t="shared" si="67"/>
        <v>0</v>
      </c>
      <c r="AB205" s="77">
        <v>0</v>
      </c>
      <c r="AC205" s="67">
        <f t="shared" si="68"/>
        <v>0</v>
      </c>
      <c r="AD205" s="77">
        <v>0</v>
      </c>
      <c r="AE205" s="67">
        <f t="shared" si="69"/>
        <v>0</v>
      </c>
      <c r="AF205" s="82">
        <v>0</v>
      </c>
      <c r="AG205" s="67">
        <f t="shared" si="70"/>
        <v>0</v>
      </c>
      <c r="AH205" s="77">
        <v>0</v>
      </c>
      <c r="AI205" s="67">
        <f t="shared" si="71"/>
        <v>0</v>
      </c>
      <c r="AJ205" s="77">
        <v>0</v>
      </c>
      <c r="AK205" s="77">
        <v>0</v>
      </c>
      <c r="AL205" s="77">
        <v>0</v>
      </c>
      <c r="AM205" s="77">
        <v>0</v>
      </c>
      <c r="AN205" s="77">
        <v>0</v>
      </c>
      <c r="AO205" s="77">
        <v>0</v>
      </c>
      <c r="AP205" s="67">
        <f t="shared" si="72"/>
        <v>33.56</v>
      </c>
      <c r="AQ205" s="91">
        <f t="shared" si="73"/>
        <v>0</v>
      </c>
      <c r="AR205" s="91">
        <f t="shared" si="74"/>
        <v>0</v>
      </c>
      <c r="AS205" s="67">
        <f t="shared" si="75"/>
        <v>0.06712</v>
      </c>
      <c r="AT205" s="67">
        <f t="shared" si="76"/>
        <v>0.0020975</v>
      </c>
      <c r="AU205" s="67">
        <f t="shared" si="77"/>
        <v>0.05034</v>
      </c>
      <c r="AV205" s="67">
        <f t="shared" si="78"/>
        <v>0.00104875</v>
      </c>
      <c r="AW205" s="67">
        <f t="shared" si="79"/>
        <v>0</v>
      </c>
      <c r="AX205" s="67"/>
      <c r="AY205" s="67"/>
      <c r="AZ205" s="75"/>
    </row>
    <row r="206" spans="1:52">
      <c r="A206" s="64">
        <v>201</v>
      </c>
      <c r="B206" s="65" t="s">
        <v>204</v>
      </c>
      <c r="C206" s="65" t="s">
        <v>276</v>
      </c>
      <c r="D206" s="65"/>
      <c r="E206" s="65"/>
      <c r="F206" s="66">
        <v>32.25</v>
      </c>
      <c r="G206" s="67">
        <f t="shared" si="60"/>
        <v>13.1613537054264</v>
      </c>
      <c r="H206" s="67">
        <f t="shared" si="61"/>
        <v>424.453657</v>
      </c>
      <c r="I206" s="75">
        <v>2</v>
      </c>
      <c r="J206" s="75">
        <v>2</v>
      </c>
      <c r="K206" s="76">
        <f t="shared" si="62"/>
        <v>193.5</v>
      </c>
      <c r="L206" s="76">
        <f t="shared" si="63"/>
        <v>0</v>
      </c>
      <c r="M206" s="75">
        <v>0</v>
      </c>
      <c r="N206" s="77">
        <v>0</v>
      </c>
      <c r="O206" s="75">
        <v>0</v>
      </c>
      <c r="P206" s="67">
        <f t="shared" si="64"/>
        <v>64.5</v>
      </c>
      <c r="Q206" s="77">
        <v>424.453657</v>
      </c>
      <c r="R206" s="67">
        <f t="shared" si="65"/>
        <v>193.5</v>
      </c>
      <c r="S206" s="67">
        <v>0</v>
      </c>
      <c r="T206" s="76">
        <f t="shared" si="66"/>
        <v>0</v>
      </c>
      <c r="U206" s="76"/>
      <c r="V206" s="77">
        <v>0</v>
      </c>
      <c r="W206" s="75">
        <v>0</v>
      </c>
      <c r="X206" s="76"/>
      <c r="Y206" s="77">
        <v>0</v>
      </c>
      <c r="Z206" s="77">
        <v>0</v>
      </c>
      <c r="AA206" s="67">
        <f t="shared" si="67"/>
        <v>0</v>
      </c>
      <c r="AB206" s="77">
        <v>0</v>
      </c>
      <c r="AC206" s="67">
        <f t="shared" si="68"/>
        <v>0</v>
      </c>
      <c r="AD206" s="77">
        <v>0</v>
      </c>
      <c r="AE206" s="67">
        <f t="shared" si="69"/>
        <v>0</v>
      </c>
      <c r="AF206" s="82">
        <v>0</v>
      </c>
      <c r="AG206" s="67">
        <f t="shared" si="70"/>
        <v>0</v>
      </c>
      <c r="AH206" s="77">
        <v>0</v>
      </c>
      <c r="AI206" s="67">
        <f t="shared" si="71"/>
        <v>0</v>
      </c>
      <c r="AJ206" s="77">
        <v>0</v>
      </c>
      <c r="AK206" s="77">
        <v>0</v>
      </c>
      <c r="AL206" s="77">
        <v>0</v>
      </c>
      <c r="AM206" s="77">
        <v>0</v>
      </c>
      <c r="AN206" s="77">
        <v>0</v>
      </c>
      <c r="AO206" s="77">
        <v>0</v>
      </c>
      <c r="AP206" s="67">
        <f t="shared" si="72"/>
        <v>64.5</v>
      </c>
      <c r="AQ206" s="91">
        <f t="shared" si="73"/>
        <v>0</v>
      </c>
      <c r="AR206" s="91">
        <f t="shared" si="74"/>
        <v>0</v>
      </c>
      <c r="AS206" s="67">
        <f t="shared" si="75"/>
        <v>0.129</v>
      </c>
      <c r="AT206" s="67">
        <f t="shared" si="76"/>
        <v>0.00403125</v>
      </c>
      <c r="AU206" s="67">
        <f t="shared" si="77"/>
        <v>0.09675</v>
      </c>
      <c r="AV206" s="67">
        <f t="shared" si="78"/>
        <v>0.002015625</v>
      </c>
      <c r="AW206" s="67">
        <f t="shared" si="79"/>
        <v>0</v>
      </c>
      <c r="AX206" s="67"/>
      <c r="AY206" s="67"/>
      <c r="AZ206" s="75"/>
    </row>
    <row r="207" spans="1:52">
      <c r="A207" s="64">
        <v>202</v>
      </c>
      <c r="B207" s="65" t="s">
        <v>204</v>
      </c>
      <c r="C207" s="65" t="s">
        <v>204</v>
      </c>
      <c r="D207" s="65" t="s">
        <v>138</v>
      </c>
      <c r="E207" s="65" t="s">
        <v>92</v>
      </c>
      <c r="F207" s="66">
        <v>405.21</v>
      </c>
      <c r="G207" s="67">
        <f t="shared" si="60"/>
        <v>17.6316975025296</v>
      </c>
      <c r="H207" s="67">
        <f t="shared" si="61"/>
        <v>7144.540145</v>
      </c>
      <c r="I207" s="75">
        <v>2</v>
      </c>
      <c r="J207" s="75">
        <v>2</v>
      </c>
      <c r="K207" s="76">
        <f t="shared" si="62"/>
        <v>5528.06261</v>
      </c>
      <c r="L207" s="76">
        <f t="shared" si="63"/>
        <v>3096.80261</v>
      </c>
      <c r="M207" s="75">
        <v>2</v>
      </c>
      <c r="N207" s="77">
        <v>0</v>
      </c>
      <c r="O207" s="75">
        <v>0</v>
      </c>
      <c r="P207" s="67">
        <f t="shared" si="64"/>
        <v>810.42</v>
      </c>
      <c r="Q207" s="77">
        <v>4047.737535</v>
      </c>
      <c r="R207" s="67">
        <f t="shared" si="65"/>
        <v>2431.26</v>
      </c>
      <c r="S207" s="67">
        <v>0</v>
      </c>
      <c r="T207" s="76">
        <f t="shared" si="66"/>
        <v>3096.80261</v>
      </c>
      <c r="U207" s="76"/>
      <c r="V207" s="77">
        <v>236.162647</v>
      </c>
      <c r="W207" s="75">
        <v>0</v>
      </c>
      <c r="X207" s="76"/>
      <c r="Y207" s="77">
        <v>274.280697</v>
      </c>
      <c r="Z207" s="77">
        <v>0</v>
      </c>
      <c r="AA207" s="67">
        <f t="shared" si="67"/>
        <v>0</v>
      </c>
      <c r="AB207" s="77">
        <v>0</v>
      </c>
      <c r="AC207" s="67">
        <f t="shared" si="68"/>
        <v>0</v>
      </c>
      <c r="AD207" s="77">
        <v>126.687746</v>
      </c>
      <c r="AE207" s="67">
        <f t="shared" si="69"/>
        <v>253.375492</v>
      </c>
      <c r="AF207" s="82">
        <v>0</v>
      </c>
      <c r="AG207" s="67">
        <f t="shared" si="70"/>
        <v>0</v>
      </c>
      <c r="AH207" s="77">
        <v>0</v>
      </c>
      <c r="AI207" s="67">
        <f t="shared" si="71"/>
        <v>0</v>
      </c>
      <c r="AJ207" s="77">
        <v>478.078968</v>
      </c>
      <c r="AK207" s="77">
        <v>0</v>
      </c>
      <c r="AL207" s="77">
        <v>0</v>
      </c>
      <c r="AM207" s="77">
        <v>0</v>
      </c>
      <c r="AN207" s="77">
        <v>0</v>
      </c>
      <c r="AO207" s="77">
        <v>1854.904806</v>
      </c>
      <c r="AP207" s="67">
        <f t="shared" si="72"/>
        <v>810.42</v>
      </c>
      <c r="AQ207" s="91">
        <f t="shared" si="73"/>
        <v>0</v>
      </c>
      <c r="AR207" s="91">
        <f t="shared" si="74"/>
        <v>0</v>
      </c>
      <c r="AS207" s="67">
        <f t="shared" si="75"/>
        <v>1.62084</v>
      </c>
      <c r="AT207" s="67">
        <f t="shared" si="76"/>
        <v>0.05065125</v>
      </c>
      <c r="AU207" s="67">
        <f t="shared" si="77"/>
        <v>1.21563</v>
      </c>
      <c r="AV207" s="67">
        <f t="shared" si="78"/>
        <v>0.025325625</v>
      </c>
      <c r="AW207" s="67">
        <f t="shared" si="79"/>
        <v>0.0063343873</v>
      </c>
      <c r="AX207" s="67"/>
      <c r="AY207" s="67"/>
      <c r="AZ207" s="75"/>
    </row>
    <row r="208" spans="1:52">
      <c r="A208" s="64">
        <v>203</v>
      </c>
      <c r="B208" s="65" t="s">
        <v>172</v>
      </c>
      <c r="C208" s="65" t="s">
        <v>172</v>
      </c>
      <c r="D208" s="65" t="s">
        <v>174</v>
      </c>
      <c r="E208" s="65" t="s">
        <v>171</v>
      </c>
      <c r="F208" s="66">
        <v>177.45</v>
      </c>
      <c r="G208" s="67">
        <f t="shared" si="60"/>
        <v>13.4617286954072</v>
      </c>
      <c r="H208" s="67">
        <f t="shared" si="61"/>
        <v>2388.783757</v>
      </c>
      <c r="I208" s="75">
        <v>3</v>
      </c>
      <c r="J208" s="75">
        <v>3</v>
      </c>
      <c r="K208" s="76">
        <f t="shared" si="62"/>
        <v>1943.797701</v>
      </c>
      <c r="L208" s="76">
        <f t="shared" si="63"/>
        <v>879.097701</v>
      </c>
      <c r="M208" s="75">
        <v>2</v>
      </c>
      <c r="N208" s="77">
        <v>0</v>
      </c>
      <c r="O208" s="75">
        <v>0</v>
      </c>
      <c r="P208" s="67">
        <f t="shared" si="64"/>
        <v>354.9</v>
      </c>
      <c r="Q208" s="77">
        <v>1509.686056</v>
      </c>
      <c r="R208" s="67">
        <f t="shared" si="65"/>
        <v>1064.7</v>
      </c>
      <c r="S208" s="67">
        <v>0</v>
      </c>
      <c r="T208" s="76">
        <f t="shared" si="66"/>
        <v>879.097701</v>
      </c>
      <c r="U208" s="76"/>
      <c r="V208" s="77">
        <v>0</v>
      </c>
      <c r="W208" s="75">
        <v>0</v>
      </c>
      <c r="X208" s="76"/>
      <c r="Y208" s="77">
        <v>0</v>
      </c>
      <c r="Z208" s="77">
        <v>0</v>
      </c>
      <c r="AA208" s="67">
        <f t="shared" si="67"/>
        <v>0</v>
      </c>
      <c r="AB208" s="77">
        <v>0</v>
      </c>
      <c r="AC208" s="67">
        <f t="shared" si="68"/>
        <v>0</v>
      </c>
      <c r="AD208" s="77">
        <v>0</v>
      </c>
      <c r="AE208" s="67">
        <f t="shared" si="69"/>
        <v>0</v>
      </c>
      <c r="AF208" s="82">
        <v>0</v>
      </c>
      <c r="AG208" s="67">
        <f t="shared" si="70"/>
        <v>0</v>
      </c>
      <c r="AH208" s="77">
        <v>0</v>
      </c>
      <c r="AI208" s="67">
        <f t="shared" si="71"/>
        <v>0</v>
      </c>
      <c r="AJ208" s="77">
        <v>135.890481</v>
      </c>
      <c r="AK208" s="77">
        <v>0</v>
      </c>
      <c r="AL208" s="77">
        <v>0</v>
      </c>
      <c r="AM208" s="77">
        <v>0</v>
      </c>
      <c r="AN208" s="77">
        <v>0</v>
      </c>
      <c r="AO208" s="77">
        <v>743.20722</v>
      </c>
      <c r="AP208" s="67">
        <f t="shared" si="72"/>
        <v>354.9</v>
      </c>
      <c r="AQ208" s="91">
        <f t="shared" si="73"/>
        <v>0.7098</v>
      </c>
      <c r="AR208" s="91">
        <f t="shared" si="74"/>
        <v>0.01183</v>
      </c>
      <c r="AS208" s="67">
        <f t="shared" si="75"/>
        <v>0</v>
      </c>
      <c r="AT208" s="67">
        <f t="shared" si="76"/>
        <v>0</v>
      </c>
      <c r="AU208" s="67">
        <f t="shared" si="77"/>
        <v>0.3549</v>
      </c>
      <c r="AV208" s="67">
        <f t="shared" si="78"/>
        <v>0.00739375</v>
      </c>
      <c r="AW208" s="67">
        <f t="shared" si="79"/>
        <v>0</v>
      </c>
      <c r="AX208" s="67"/>
      <c r="AY208" s="67"/>
      <c r="AZ208" s="75"/>
    </row>
    <row r="209" ht="27" customHeight="1" spans="1:52">
      <c r="A209" s="64">
        <v>204</v>
      </c>
      <c r="B209" s="65" t="s">
        <v>172</v>
      </c>
      <c r="C209" s="65" t="s">
        <v>277</v>
      </c>
      <c r="D209" s="65"/>
      <c r="E209" s="65"/>
      <c r="F209" s="66">
        <v>17.33</v>
      </c>
      <c r="G209" s="67">
        <f t="shared" si="60"/>
        <v>7.97919596076169</v>
      </c>
      <c r="H209" s="67">
        <f t="shared" si="61"/>
        <v>138.279466</v>
      </c>
      <c r="I209" s="75">
        <v>3</v>
      </c>
      <c r="J209" s="75">
        <v>3</v>
      </c>
      <c r="K209" s="76">
        <f t="shared" si="62"/>
        <v>103.98</v>
      </c>
      <c r="L209" s="76">
        <f t="shared" si="63"/>
        <v>0</v>
      </c>
      <c r="M209" s="75">
        <v>0</v>
      </c>
      <c r="N209" s="77">
        <v>0</v>
      </c>
      <c r="O209" s="75">
        <v>0</v>
      </c>
      <c r="P209" s="67">
        <f t="shared" si="64"/>
        <v>34.66</v>
      </c>
      <c r="Q209" s="77">
        <v>138.279466</v>
      </c>
      <c r="R209" s="67">
        <f t="shared" si="65"/>
        <v>103.98</v>
      </c>
      <c r="S209" s="67">
        <v>0</v>
      </c>
      <c r="T209" s="76">
        <f t="shared" si="66"/>
        <v>0</v>
      </c>
      <c r="U209" s="76"/>
      <c r="V209" s="77">
        <v>0</v>
      </c>
      <c r="W209" s="75">
        <v>0</v>
      </c>
      <c r="X209" s="76"/>
      <c r="Y209" s="77">
        <v>0</v>
      </c>
      <c r="Z209" s="77">
        <v>0</v>
      </c>
      <c r="AA209" s="67">
        <f t="shared" si="67"/>
        <v>0</v>
      </c>
      <c r="AB209" s="77">
        <v>0</v>
      </c>
      <c r="AC209" s="67">
        <f t="shared" si="68"/>
        <v>0</v>
      </c>
      <c r="AD209" s="77">
        <v>0</v>
      </c>
      <c r="AE209" s="67">
        <f t="shared" si="69"/>
        <v>0</v>
      </c>
      <c r="AF209" s="82">
        <v>0</v>
      </c>
      <c r="AG209" s="67">
        <f t="shared" si="70"/>
        <v>0</v>
      </c>
      <c r="AH209" s="77">
        <v>0</v>
      </c>
      <c r="AI209" s="67">
        <f t="shared" si="71"/>
        <v>0</v>
      </c>
      <c r="AJ209" s="77">
        <v>0</v>
      </c>
      <c r="AK209" s="77">
        <v>0</v>
      </c>
      <c r="AL209" s="77">
        <v>0</v>
      </c>
      <c r="AM209" s="77">
        <v>0</v>
      </c>
      <c r="AN209" s="77">
        <v>0</v>
      </c>
      <c r="AO209" s="77">
        <v>0</v>
      </c>
      <c r="AP209" s="67">
        <f t="shared" si="72"/>
        <v>34.66</v>
      </c>
      <c r="AQ209" s="91">
        <f t="shared" si="73"/>
        <v>0.06932</v>
      </c>
      <c r="AR209" s="91">
        <f t="shared" si="74"/>
        <v>0.00115533333333333</v>
      </c>
      <c r="AS209" s="67">
        <f t="shared" si="75"/>
        <v>0</v>
      </c>
      <c r="AT209" s="67">
        <f t="shared" si="76"/>
        <v>0</v>
      </c>
      <c r="AU209" s="67">
        <f t="shared" si="77"/>
        <v>0.03466</v>
      </c>
      <c r="AV209" s="67">
        <f t="shared" si="78"/>
        <v>0.000722083333333333</v>
      </c>
      <c r="AW209" s="67">
        <f t="shared" si="79"/>
        <v>0</v>
      </c>
      <c r="AX209" s="67"/>
      <c r="AY209" s="67"/>
      <c r="AZ209" s="75"/>
    </row>
    <row r="210" ht="27" customHeight="1" spans="1:52">
      <c r="A210" s="64">
        <v>205</v>
      </c>
      <c r="B210" s="65" t="s">
        <v>172</v>
      </c>
      <c r="C210" s="65" t="s">
        <v>278</v>
      </c>
      <c r="D210" s="65"/>
      <c r="E210" s="65"/>
      <c r="F210" s="66">
        <v>10.38</v>
      </c>
      <c r="G210" s="67">
        <f t="shared" si="60"/>
        <v>12.5042535645472</v>
      </c>
      <c r="H210" s="67">
        <f t="shared" si="61"/>
        <v>129.794152</v>
      </c>
      <c r="I210" s="75">
        <v>3</v>
      </c>
      <c r="J210" s="75">
        <v>3</v>
      </c>
      <c r="K210" s="76">
        <f t="shared" si="62"/>
        <v>62.28</v>
      </c>
      <c r="L210" s="76">
        <f t="shared" si="63"/>
        <v>0</v>
      </c>
      <c r="M210" s="75">
        <v>0</v>
      </c>
      <c r="N210" s="77">
        <v>0</v>
      </c>
      <c r="O210" s="75">
        <v>0</v>
      </c>
      <c r="P210" s="67">
        <f t="shared" si="64"/>
        <v>20.76</v>
      </c>
      <c r="Q210" s="77">
        <v>129.794152</v>
      </c>
      <c r="R210" s="67">
        <f t="shared" si="65"/>
        <v>62.28</v>
      </c>
      <c r="S210" s="67">
        <v>0</v>
      </c>
      <c r="T210" s="76">
        <f t="shared" si="66"/>
        <v>0</v>
      </c>
      <c r="U210" s="76"/>
      <c r="V210" s="77">
        <v>0</v>
      </c>
      <c r="W210" s="75">
        <v>0</v>
      </c>
      <c r="X210" s="76"/>
      <c r="Y210" s="77">
        <v>0</v>
      </c>
      <c r="Z210" s="77">
        <v>0</v>
      </c>
      <c r="AA210" s="67">
        <f t="shared" si="67"/>
        <v>0</v>
      </c>
      <c r="AB210" s="77">
        <v>0</v>
      </c>
      <c r="AC210" s="67">
        <f t="shared" si="68"/>
        <v>0</v>
      </c>
      <c r="AD210" s="77">
        <v>0</v>
      </c>
      <c r="AE210" s="67">
        <f t="shared" si="69"/>
        <v>0</v>
      </c>
      <c r="AF210" s="82">
        <v>0</v>
      </c>
      <c r="AG210" s="67">
        <f t="shared" si="70"/>
        <v>0</v>
      </c>
      <c r="AH210" s="77">
        <v>0</v>
      </c>
      <c r="AI210" s="67">
        <f t="shared" si="71"/>
        <v>0</v>
      </c>
      <c r="AJ210" s="77">
        <v>0</v>
      </c>
      <c r="AK210" s="77">
        <v>0</v>
      </c>
      <c r="AL210" s="77">
        <v>0</v>
      </c>
      <c r="AM210" s="77">
        <v>0</v>
      </c>
      <c r="AN210" s="77">
        <v>0</v>
      </c>
      <c r="AO210" s="77">
        <v>0</v>
      </c>
      <c r="AP210" s="67">
        <f t="shared" si="72"/>
        <v>20.76</v>
      </c>
      <c r="AQ210" s="91">
        <f t="shared" si="73"/>
        <v>0.04152</v>
      </c>
      <c r="AR210" s="91">
        <f t="shared" si="74"/>
        <v>0.000692</v>
      </c>
      <c r="AS210" s="67">
        <f t="shared" si="75"/>
        <v>0</v>
      </c>
      <c r="AT210" s="67">
        <f t="shared" si="76"/>
        <v>0</v>
      </c>
      <c r="AU210" s="67">
        <f t="shared" si="77"/>
        <v>0.02076</v>
      </c>
      <c r="AV210" s="67">
        <f t="shared" si="78"/>
        <v>0.0004325</v>
      </c>
      <c r="AW210" s="67">
        <f t="shared" si="79"/>
        <v>0</v>
      </c>
      <c r="AX210" s="67"/>
      <c r="AY210" s="67"/>
      <c r="AZ210" s="75"/>
    </row>
    <row r="211" spans="1:52">
      <c r="A211" s="64">
        <v>206</v>
      </c>
      <c r="B211" s="65" t="s">
        <v>172</v>
      </c>
      <c r="C211" s="65" t="s">
        <v>172</v>
      </c>
      <c r="D211" s="65" t="s">
        <v>221</v>
      </c>
      <c r="E211" s="65" t="s">
        <v>174</v>
      </c>
      <c r="F211" s="66">
        <v>348.74</v>
      </c>
      <c r="G211" s="67">
        <f t="shared" si="60"/>
        <v>13.0314088260595</v>
      </c>
      <c r="H211" s="67">
        <f t="shared" si="61"/>
        <v>4544.573514</v>
      </c>
      <c r="I211" s="75">
        <v>3</v>
      </c>
      <c r="J211" s="75">
        <v>3</v>
      </c>
      <c r="K211" s="76">
        <f t="shared" si="62"/>
        <v>4220.641589</v>
      </c>
      <c r="L211" s="76">
        <f t="shared" si="63"/>
        <v>2128.201589</v>
      </c>
      <c r="M211" s="75">
        <v>2</v>
      </c>
      <c r="N211" s="77">
        <v>0</v>
      </c>
      <c r="O211" s="75">
        <v>0</v>
      </c>
      <c r="P211" s="67">
        <f t="shared" si="64"/>
        <v>697.48</v>
      </c>
      <c r="Q211" s="77">
        <v>2416.371925</v>
      </c>
      <c r="R211" s="67">
        <f t="shared" si="65"/>
        <v>2092.44</v>
      </c>
      <c r="S211" s="67">
        <v>0</v>
      </c>
      <c r="T211" s="76">
        <f t="shared" si="66"/>
        <v>2128.201589</v>
      </c>
      <c r="U211" s="76"/>
      <c r="V211" s="77">
        <v>0</v>
      </c>
      <c r="W211" s="75">
        <v>0</v>
      </c>
      <c r="X211" s="76"/>
      <c r="Y211" s="77">
        <v>1113.014094</v>
      </c>
      <c r="Z211" s="77">
        <v>0</v>
      </c>
      <c r="AA211" s="67">
        <f t="shared" si="67"/>
        <v>0</v>
      </c>
      <c r="AB211" s="77">
        <v>0</v>
      </c>
      <c r="AC211" s="67">
        <f t="shared" si="68"/>
        <v>0</v>
      </c>
      <c r="AD211" s="77">
        <v>0</v>
      </c>
      <c r="AE211" s="67">
        <f t="shared" si="69"/>
        <v>0</v>
      </c>
      <c r="AF211" s="82">
        <v>0</v>
      </c>
      <c r="AG211" s="67">
        <f t="shared" si="70"/>
        <v>0</v>
      </c>
      <c r="AH211" s="77">
        <v>0</v>
      </c>
      <c r="AI211" s="67">
        <f t="shared" si="71"/>
        <v>0</v>
      </c>
      <c r="AJ211" s="77">
        <v>0</v>
      </c>
      <c r="AK211" s="77">
        <v>0</v>
      </c>
      <c r="AL211" s="77">
        <v>0</v>
      </c>
      <c r="AM211" s="77">
        <v>0</v>
      </c>
      <c r="AN211" s="77">
        <v>0</v>
      </c>
      <c r="AO211" s="77">
        <v>1015.187495</v>
      </c>
      <c r="AP211" s="67">
        <f t="shared" si="72"/>
        <v>697.48</v>
      </c>
      <c r="AQ211" s="91">
        <f t="shared" si="73"/>
        <v>1.39496</v>
      </c>
      <c r="AR211" s="91">
        <f t="shared" si="74"/>
        <v>0.0232493333333333</v>
      </c>
      <c r="AS211" s="67">
        <f t="shared" si="75"/>
        <v>0</v>
      </c>
      <c r="AT211" s="67">
        <f t="shared" si="76"/>
        <v>0</v>
      </c>
      <c r="AU211" s="67">
        <f t="shared" si="77"/>
        <v>0.69748</v>
      </c>
      <c r="AV211" s="67">
        <f t="shared" si="78"/>
        <v>0.0145308333333333</v>
      </c>
      <c r="AW211" s="67">
        <f t="shared" si="79"/>
        <v>0</v>
      </c>
      <c r="AX211" s="67"/>
      <c r="AY211" s="67"/>
      <c r="AZ211" s="75"/>
    </row>
    <row r="212" spans="1:52">
      <c r="A212" s="64">
        <v>207</v>
      </c>
      <c r="B212" s="65" t="s">
        <v>172</v>
      </c>
      <c r="C212" s="65" t="s">
        <v>172</v>
      </c>
      <c r="D212" s="65" t="s">
        <v>171</v>
      </c>
      <c r="E212" s="65" t="s">
        <v>137</v>
      </c>
      <c r="F212" s="66">
        <v>271.4</v>
      </c>
      <c r="G212" s="67">
        <f t="shared" si="60"/>
        <v>10.4360503979366</v>
      </c>
      <c r="H212" s="67">
        <f t="shared" si="61"/>
        <v>2832.344078</v>
      </c>
      <c r="I212" s="75">
        <v>3</v>
      </c>
      <c r="J212" s="75">
        <v>3</v>
      </c>
      <c r="K212" s="76">
        <f t="shared" si="62"/>
        <v>2889.419032</v>
      </c>
      <c r="L212" s="76">
        <f t="shared" si="63"/>
        <v>1261.019032</v>
      </c>
      <c r="M212" s="75">
        <v>0</v>
      </c>
      <c r="N212" s="77">
        <v>0</v>
      </c>
      <c r="O212" s="75">
        <v>0</v>
      </c>
      <c r="P212" s="67">
        <f t="shared" si="64"/>
        <v>542.8</v>
      </c>
      <c r="Q212" s="77">
        <v>1571.325046</v>
      </c>
      <c r="R212" s="67">
        <f t="shared" si="65"/>
        <v>1628.4</v>
      </c>
      <c r="S212" s="67">
        <v>0</v>
      </c>
      <c r="T212" s="76">
        <f t="shared" si="66"/>
        <v>1261.019032</v>
      </c>
      <c r="U212" s="76"/>
      <c r="V212" s="77">
        <v>0</v>
      </c>
      <c r="W212" s="75">
        <v>0</v>
      </c>
      <c r="X212" s="76"/>
      <c r="Y212" s="77">
        <v>49.550059</v>
      </c>
      <c r="Z212" s="77">
        <v>0</v>
      </c>
      <c r="AA212" s="67">
        <f t="shared" si="67"/>
        <v>0</v>
      </c>
      <c r="AB212" s="77">
        <v>0</v>
      </c>
      <c r="AC212" s="67">
        <f t="shared" si="68"/>
        <v>0</v>
      </c>
      <c r="AD212" s="77">
        <v>0</v>
      </c>
      <c r="AE212" s="67">
        <f t="shared" si="69"/>
        <v>0</v>
      </c>
      <c r="AF212" s="82">
        <v>0</v>
      </c>
      <c r="AG212" s="67">
        <f t="shared" si="70"/>
        <v>0</v>
      </c>
      <c r="AH212" s="77">
        <v>0</v>
      </c>
      <c r="AI212" s="67">
        <f t="shared" si="71"/>
        <v>0</v>
      </c>
      <c r="AJ212" s="77">
        <v>96.501321</v>
      </c>
      <c r="AK212" s="77">
        <v>0</v>
      </c>
      <c r="AL212" s="77">
        <v>0</v>
      </c>
      <c r="AM212" s="77">
        <v>0</v>
      </c>
      <c r="AN212" s="77">
        <v>0</v>
      </c>
      <c r="AO212" s="77">
        <v>1114.967652</v>
      </c>
      <c r="AP212" s="67">
        <f t="shared" si="72"/>
        <v>542.8</v>
      </c>
      <c r="AQ212" s="91">
        <f t="shared" si="73"/>
        <v>1.0856</v>
      </c>
      <c r="AR212" s="91">
        <f t="shared" si="74"/>
        <v>0.0180933333333333</v>
      </c>
      <c r="AS212" s="67">
        <f t="shared" si="75"/>
        <v>0</v>
      </c>
      <c r="AT212" s="67">
        <f t="shared" si="76"/>
        <v>0</v>
      </c>
      <c r="AU212" s="67">
        <f t="shared" si="77"/>
        <v>0.5428</v>
      </c>
      <c r="AV212" s="67">
        <f t="shared" si="78"/>
        <v>0.0113083333333333</v>
      </c>
      <c r="AW212" s="67">
        <f t="shared" si="79"/>
        <v>0</v>
      </c>
      <c r="AX212" s="67"/>
      <c r="AY212" s="67"/>
      <c r="AZ212" s="75"/>
    </row>
    <row r="213" spans="1:52">
      <c r="A213" s="64">
        <v>208</v>
      </c>
      <c r="B213" s="65" t="s">
        <v>279</v>
      </c>
      <c r="C213" s="65" t="s">
        <v>279</v>
      </c>
      <c r="D213" s="65" t="s">
        <v>280</v>
      </c>
      <c r="E213" s="65" t="s">
        <v>172</v>
      </c>
      <c r="F213" s="66">
        <v>47.5</v>
      </c>
      <c r="G213" s="67">
        <f t="shared" si="60"/>
        <v>9.03028088421053</v>
      </c>
      <c r="H213" s="67">
        <f t="shared" si="61"/>
        <v>428.938342</v>
      </c>
      <c r="I213" s="75">
        <v>3</v>
      </c>
      <c r="J213" s="75">
        <v>3</v>
      </c>
      <c r="K213" s="76">
        <f t="shared" si="62"/>
        <v>547.148304</v>
      </c>
      <c r="L213" s="76">
        <f t="shared" si="63"/>
        <v>262.148304</v>
      </c>
      <c r="M213" s="75">
        <v>0</v>
      </c>
      <c r="N213" s="77">
        <v>0</v>
      </c>
      <c r="O213" s="75">
        <v>0</v>
      </c>
      <c r="P213" s="67">
        <f t="shared" si="64"/>
        <v>95</v>
      </c>
      <c r="Q213" s="77">
        <v>166.790038</v>
      </c>
      <c r="R213" s="67">
        <f t="shared" si="65"/>
        <v>285</v>
      </c>
      <c r="S213" s="67">
        <v>0</v>
      </c>
      <c r="T213" s="76">
        <f t="shared" si="66"/>
        <v>262.148304</v>
      </c>
      <c r="U213" s="76"/>
      <c r="V213" s="77">
        <v>0</v>
      </c>
      <c r="W213" s="75">
        <v>0</v>
      </c>
      <c r="X213" s="76"/>
      <c r="Y213" s="77">
        <v>0</v>
      </c>
      <c r="Z213" s="77">
        <v>0</v>
      </c>
      <c r="AA213" s="67">
        <f t="shared" si="67"/>
        <v>0</v>
      </c>
      <c r="AB213" s="77">
        <v>0</v>
      </c>
      <c r="AC213" s="67">
        <f t="shared" si="68"/>
        <v>0</v>
      </c>
      <c r="AD213" s="77">
        <v>0</v>
      </c>
      <c r="AE213" s="67">
        <f t="shared" si="69"/>
        <v>0</v>
      </c>
      <c r="AF213" s="82">
        <v>0</v>
      </c>
      <c r="AG213" s="67">
        <f t="shared" si="70"/>
        <v>0</v>
      </c>
      <c r="AH213" s="77">
        <v>0</v>
      </c>
      <c r="AI213" s="67">
        <f t="shared" si="71"/>
        <v>0</v>
      </c>
      <c r="AJ213" s="77">
        <v>0</v>
      </c>
      <c r="AK213" s="77">
        <v>0</v>
      </c>
      <c r="AL213" s="77">
        <v>0</v>
      </c>
      <c r="AM213" s="77">
        <v>0</v>
      </c>
      <c r="AN213" s="77">
        <v>0</v>
      </c>
      <c r="AO213" s="77">
        <v>262.148304</v>
      </c>
      <c r="AP213" s="67">
        <f t="shared" si="72"/>
        <v>95</v>
      </c>
      <c r="AQ213" s="91">
        <f t="shared" si="73"/>
        <v>0.19</v>
      </c>
      <c r="AR213" s="91">
        <f t="shared" si="74"/>
        <v>0.00316666666666667</v>
      </c>
      <c r="AS213" s="67">
        <f t="shared" si="75"/>
        <v>0</v>
      </c>
      <c r="AT213" s="67">
        <f t="shared" si="76"/>
        <v>0</v>
      </c>
      <c r="AU213" s="67">
        <f t="shared" si="77"/>
        <v>0.095</v>
      </c>
      <c r="AV213" s="67">
        <f t="shared" si="78"/>
        <v>0.00197916666666667</v>
      </c>
      <c r="AW213" s="67">
        <f t="shared" si="79"/>
        <v>0</v>
      </c>
      <c r="AX213" s="67"/>
      <c r="AY213" s="67"/>
      <c r="AZ213" s="75"/>
    </row>
    <row r="214" spans="1:52">
      <c r="A214" s="64">
        <v>209</v>
      </c>
      <c r="B214" s="104"/>
      <c r="C214" s="104"/>
      <c r="D214" s="104"/>
      <c r="E214" s="104"/>
      <c r="F214" s="76">
        <f>SUM(F6:F213)</f>
        <v>81256.8100000001</v>
      </c>
      <c r="G214" s="67">
        <f>SUM(G6:G213)</f>
        <v>5578.85088552416</v>
      </c>
      <c r="H214" s="67">
        <f>SUM(H6:H213)</f>
        <v>2535144.381804</v>
      </c>
      <c r="I214" s="104"/>
      <c r="J214" s="104"/>
      <c r="K214" s="76">
        <f>SUM(K6:K213)</f>
        <v>1893453.110651</v>
      </c>
      <c r="L214" s="76">
        <f>SUM(L6:L213)</f>
        <v>1395295.531711</v>
      </c>
      <c r="M214" s="106"/>
      <c r="N214" s="77">
        <f>SUBTOTAL(9,N6:N213)</f>
        <v>8646.594776</v>
      </c>
      <c r="O214" s="75"/>
      <c r="P214" s="67">
        <f>SUM(P6:P213)</f>
        <v>162513.62</v>
      </c>
      <c r="Q214" s="76">
        <f>SUM(Q6:Q213)</f>
        <v>1129232.131153</v>
      </c>
      <c r="R214" s="67">
        <f>SUM(R6:R213)</f>
        <v>487540.86</v>
      </c>
      <c r="S214" s="67">
        <f>SUM(S6:S213)</f>
        <v>0</v>
      </c>
      <c r="T214" s="76">
        <f>SUM(T6:T213)</f>
        <v>1395295.531711</v>
      </c>
      <c r="U214" s="104"/>
      <c r="V214" s="67">
        <f>SUM(V6:V213)</f>
        <v>73318.317037</v>
      </c>
      <c r="W214" s="67"/>
      <c r="X214" s="104"/>
      <c r="Y214" s="77">
        <f>SUBTOTAL(9,Y6:Y213)</f>
        <v>225577.757913</v>
      </c>
      <c r="Z214" s="77">
        <f>SUBTOTAL(9,Z6:Z213)</f>
        <v>2461.986401</v>
      </c>
      <c r="AA214" s="67">
        <f>SUM(AA6:AA213)</f>
        <v>4923.972802</v>
      </c>
      <c r="AB214" s="67">
        <f>SUM(AB6:AB213)</f>
        <v>5308.35947</v>
      </c>
      <c r="AC214" s="67">
        <f>SUM(AC6:AC213)</f>
        <v>10616.71894</v>
      </c>
      <c r="AD214" s="112">
        <f>SUBTOTAL(9,AD6:AD213)</f>
        <v>15580.145731</v>
      </c>
      <c r="AE214" s="67">
        <f>SUM(AE6:AE213)</f>
        <v>31160.291462</v>
      </c>
      <c r="AF214" s="113">
        <f>SUBTOTAL(9,AF6:AF213)</f>
        <v>486.194514</v>
      </c>
      <c r="AG214" s="67">
        <f>SUM(AG6:AG213)</f>
        <v>972.389028</v>
      </c>
      <c r="AH214" s="77">
        <f>SUBTOTAL(9,AH6:AH213)</f>
        <v>11086.201301</v>
      </c>
      <c r="AI214" s="67">
        <f>SUM(AI6:AI213)</f>
        <v>22172.402602</v>
      </c>
      <c r="AJ214" s="77">
        <f t="shared" ref="AJ214:AO214" si="80">SUBTOTAL(9,AJ6:AJ213)</f>
        <v>178618.814528</v>
      </c>
      <c r="AK214" s="77">
        <f t="shared" si="80"/>
        <v>15492.692233</v>
      </c>
      <c r="AL214" s="77">
        <f t="shared" si="80"/>
        <v>768.893178</v>
      </c>
      <c r="AM214" s="77">
        <f t="shared" si="80"/>
        <v>178647.052778</v>
      </c>
      <c r="AN214" s="77">
        <f t="shared" si="80"/>
        <v>10796.391606</v>
      </c>
      <c r="AO214" s="77">
        <f t="shared" si="80"/>
        <v>652846.556544</v>
      </c>
      <c r="AP214" s="67">
        <f t="shared" ref="AP214:AW214" si="81">SUM(AP6:AP213)</f>
        <v>162513.62</v>
      </c>
      <c r="AQ214" s="91">
        <f t="shared" si="81"/>
        <v>211.32152</v>
      </c>
      <c r="AR214" s="91">
        <f t="shared" si="81"/>
        <v>3.52202533333333</v>
      </c>
      <c r="AS214" s="67">
        <f t="shared" si="81"/>
        <v>122.442</v>
      </c>
      <c r="AT214" s="67">
        <f t="shared" si="81"/>
        <v>3.8263125</v>
      </c>
      <c r="AU214" s="67">
        <f t="shared" si="81"/>
        <v>195.30819</v>
      </c>
      <c r="AV214" s="67">
        <f t="shared" si="81"/>
        <v>4.068920625</v>
      </c>
      <c r="AW214" s="67">
        <f t="shared" si="81"/>
        <v>1.1675245801</v>
      </c>
      <c r="AX214" s="67"/>
      <c r="AY214" s="67"/>
      <c r="AZ214" s="106"/>
    </row>
    <row r="215" spans="8:51">
      <c r="H215" s="118" t="e">
        <f>(#REF!-#REF!)/(H214-AM214-AN214-AO214)*10000</f>
        <v>#REF!</v>
      </c>
      <c r="S215" s="111"/>
      <c r="AM215" s="114">
        <f>SUM(AM214:AO214)</f>
        <v>842290.000928</v>
      </c>
      <c r="AR215" s="121">
        <v>4</v>
      </c>
      <c r="AS215" s="105"/>
      <c r="AT215" s="105">
        <v>4</v>
      </c>
      <c r="AU215" s="105"/>
      <c r="AV215" s="105">
        <v>4</v>
      </c>
      <c r="AW215" s="105">
        <v>1</v>
      </c>
      <c r="AX215" s="105">
        <v>2</v>
      </c>
      <c r="AY215" s="105">
        <v>8</v>
      </c>
    </row>
    <row r="216" spans="8:27">
      <c r="H216" s="119"/>
      <c r="K216" s="106" t="s">
        <v>1</v>
      </c>
      <c r="L216" s="106" t="s">
        <v>654</v>
      </c>
      <c r="M216" s="106" t="s">
        <v>655</v>
      </c>
      <c r="AA216" s="114">
        <f>AA214+AC214+AE214+AG214+AI214</f>
        <v>69845.774834</v>
      </c>
    </row>
    <row r="217" spans="8:13">
      <c r="H217" s="119"/>
      <c r="K217" s="106">
        <v>1</v>
      </c>
      <c r="L217" s="67">
        <f>H214</f>
        <v>2535144.381804</v>
      </c>
      <c r="M217" s="67">
        <f>AM215</f>
        <v>842290.000928</v>
      </c>
    </row>
    <row r="218" spans="8:13">
      <c r="H218" s="119"/>
      <c r="K218" s="105"/>
      <c r="L218" s="107"/>
      <c r="M218" s="107"/>
    </row>
    <row r="219" ht="14.25" customHeight="1" spans="8:13">
      <c r="H219" s="120"/>
      <c r="K219" s="108" t="s">
        <v>656</v>
      </c>
      <c r="L219" s="109"/>
      <c r="M219" s="71">
        <f>AA216</f>
        <v>69845.774834</v>
      </c>
    </row>
    <row r="220" ht="14.25" customHeight="1" spans="8:13">
      <c r="H220" s="52" t="s">
        <v>657</v>
      </c>
      <c r="K220" s="108" t="s">
        <v>658</v>
      </c>
      <c r="L220" s="109"/>
      <c r="M220" s="71">
        <f>L217-M217-M219</f>
        <v>1623008.606042</v>
      </c>
    </row>
    <row r="221" ht="18.75" customHeight="1" spans="11:13">
      <c r="K221" s="110" t="s">
        <v>659</v>
      </c>
      <c r="L221" s="109"/>
      <c r="M221" s="71">
        <f>M217</f>
        <v>842290.000928</v>
      </c>
    </row>
    <row r="222" ht="18.75" customHeight="1" spans="11:13">
      <c r="K222" s="110" t="s">
        <v>660</v>
      </c>
      <c r="L222" s="109"/>
      <c r="M222" s="71">
        <f>SUM(M219:M221)</f>
        <v>2535144.381804</v>
      </c>
    </row>
    <row r="257" spans="60:60">
      <c r="BH257" s="117"/>
    </row>
  </sheetData>
  <mergeCells count="63">
    <mergeCell ref="A1:AZ1"/>
    <mergeCell ref="L2:AO2"/>
    <mergeCell ref="M3:S3"/>
    <mergeCell ref="U3:W3"/>
    <mergeCell ref="X3:Y3"/>
    <mergeCell ref="Z3:AA3"/>
    <mergeCell ref="AB3:AC3"/>
    <mergeCell ref="AD3:AE3"/>
    <mergeCell ref="AF3:AG3"/>
    <mergeCell ref="AH3:AI3"/>
    <mergeCell ref="AJ3:AL3"/>
    <mergeCell ref="AM3:AO3"/>
    <mergeCell ref="Q4:S4"/>
    <mergeCell ref="A2:A5"/>
    <mergeCell ref="B2:B5"/>
    <mergeCell ref="C2:C5"/>
    <mergeCell ref="D2:D5"/>
    <mergeCell ref="E2:E5"/>
    <mergeCell ref="F2:F5"/>
    <mergeCell ref="G2:G5"/>
    <mergeCell ref="H2:H5"/>
    <mergeCell ref="H215:H219"/>
    <mergeCell ref="I2:I5"/>
    <mergeCell ref="J2:J5"/>
    <mergeCell ref="K2:K5"/>
    <mergeCell ref="L3:L5"/>
    <mergeCell ref="M4:M5"/>
    <mergeCell ref="N4:N5"/>
    <mergeCell ref="O4:O5"/>
    <mergeCell ref="P4:P5"/>
    <mergeCell ref="T3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2:AP5"/>
    <mergeCell ref="AQ2:AQ5"/>
    <mergeCell ref="AR2:AR5"/>
    <mergeCell ref="AS2:AS5"/>
    <mergeCell ref="AT2:AT5"/>
    <mergeCell ref="AU2:AU5"/>
    <mergeCell ref="AV2:AV5"/>
    <mergeCell ref="AW2:AW5"/>
    <mergeCell ref="AX2:AX5"/>
    <mergeCell ref="AY2:AY5"/>
    <mergeCell ref="AZ2:AZ5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57"/>
  <sheetViews>
    <sheetView topLeftCell="AN198" workbookViewId="0">
      <selection activeCell="AO227" sqref="AO227"/>
    </sheetView>
  </sheetViews>
  <sheetFormatPr defaultColWidth="9" defaultRowHeight="14.4"/>
  <cols>
    <col min="1" max="1" width="9.12962962962963" style="52" customWidth="1"/>
    <col min="2" max="3" width="21.2592592592593" style="52" customWidth="1"/>
    <col min="4" max="4" width="16.7592592592593" style="52" customWidth="1"/>
    <col min="5" max="5" width="15.5" style="52" customWidth="1"/>
    <col min="6" max="6" width="12.5" style="52" customWidth="1"/>
    <col min="7" max="7" width="22.1296296296296" style="52" customWidth="1"/>
    <col min="8" max="8" width="16.8796296296296" style="52" customWidth="1"/>
    <col min="9" max="10" width="13.1296296296296" style="52" customWidth="1"/>
    <col min="11" max="11" width="18" style="52" customWidth="1"/>
    <col min="12" max="12" width="12.8796296296296" style="52" customWidth="1"/>
    <col min="13" max="13" width="13.5" style="52" customWidth="1"/>
    <col min="14" max="14" width="12.8796296296296" style="52" customWidth="1"/>
    <col min="15" max="15" width="16.6296296296296" style="52" customWidth="1"/>
    <col min="16" max="16" width="15" style="52" customWidth="1"/>
    <col min="17" max="17" width="13" style="52" customWidth="1"/>
    <col min="18" max="18" width="13.7592592592593" style="52" customWidth="1"/>
    <col min="19" max="19" width="9" style="52"/>
    <col min="20" max="20" width="12.5" style="52" customWidth="1"/>
    <col min="21" max="21" width="5.62962962962963" style="52" customWidth="1"/>
    <col min="22" max="22" width="16.1296296296296" style="52" customWidth="1"/>
    <col min="23" max="23" width="12.1296296296296" style="52" customWidth="1"/>
    <col min="24" max="24" width="5.12962962962963" style="52" customWidth="1"/>
    <col min="25" max="25" width="14" style="52" customWidth="1"/>
    <col min="26" max="26" width="17.5" style="52" customWidth="1"/>
    <col min="27" max="27" width="17.6296296296296" style="52" customWidth="1"/>
    <col min="28" max="28" width="14.1296296296296" style="52" customWidth="1"/>
    <col min="29" max="29" width="10.3796296296296" style="52" customWidth="1"/>
    <col min="30" max="30" width="10.6296296296296" style="52" customWidth="1"/>
    <col min="31" max="32" width="9.62962962962963" style="52" customWidth="1"/>
    <col min="33" max="33" width="9" style="52"/>
    <col min="34" max="34" width="13" style="52" customWidth="1"/>
    <col min="35" max="35" width="11.5" style="52" customWidth="1"/>
    <col min="36" max="36" width="16.7592592592593" style="52" customWidth="1"/>
    <col min="37" max="37" width="14.2592592592593" style="52" customWidth="1"/>
    <col min="38" max="38" width="9" style="52"/>
    <col min="39" max="39" width="11.8796296296296" style="52" customWidth="1"/>
    <col min="40" max="40" width="10.8796296296296" style="52" customWidth="1"/>
    <col min="41" max="41" width="11.2592592592593" style="52" customWidth="1"/>
    <col min="42" max="42" width="11.6296296296296" style="52" customWidth="1"/>
    <col min="43" max="43" width="13.7592592592593" style="53" customWidth="1"/>
    <col min="44" max="44" width="14.2592592592593" style="54" customWidth="1"/>
    <col min="45" max="45" width="9" style="52"/>
    <col min="46" max="46" width="10.5" style="52" customWidth="1"/>
    <col min="47" max="50" width="9.5" style="52" customWidth="1"/>
    <col min="51" max="51" width="9" style="52" hidden="1" customWidth="1"/>
    <col min="52" max="53" width="9" style="52"/>
    <col min="54" max="54" width="13.1296296296296" style="52" customWidth="1"/>
    <col min="56" max="56" width="15.5" customWidth="1"/>
    <col min="57" max="57" width="13.7592592592593" customWidth="1"/>
    <col min="58" max="58" width="13.2592592592593" customWidth="1"/>
    <col min="59" max="59" width="15.6296296296296" customWidth="1"/>
    <col min="60" max="60" width="20" style="55" customWidth="1"/>
  </cols>
  <sheetData>
    <row r="1" ht="60.75" customHeight="1" spans="1:54">
      <c r="A1" s="56" t="s">
        <v>631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95"/>
    </row>
    <row r="2" ht="39" customHeight="1" spans="1:54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9" t="s">
        <v>632</v>
      </c>
      <c r="I2" s="59" t="s">
        <v>633</v>
      </c>
      <c r="J2" s="59" t="s">
        <v>634</v>
      </c>
      <c r="K2" s="59" t="s">
        <v>10</v>
      </c>
      <c r="L2" s="72" t="s">
        <v>11</v>
      </c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59" t="s">
        <v>661</v>
      </c>
      <c r="AQ2" s="84" t="s">
        <v>635</v>
      </c>
      <c r="AR2" s="85" t="s">
        <v>15</v>
      </c>
      <c r="AS2" s="59" t="s">
        <v>638</v>
      </c>
      <c r="AT2" s="86" t="s">
        <v>20</v>
      </c>
      <c r="AU2" s="59" t="s">
        <v>662</v>
      </c>
      <c r="AV2" s="59" t="s">
        <v>663</v>
      </c>
      <c r="AW2" s="59" t="s">
        <v>664</v>
      </c>
      <c r="AX2" s="59" t="s">
        <v>665</v>
      </c>
      <c r="AY2" s="59" t="s">
        <v>34</v>
      </c>
      <c r="AZ2" s="59" t="s">
        <v>666</v>
      </c>
      <c r="BA2" s="59" t="s">
        <v>667</v>
      </c>
      <c r="BB2" s="72" t="s">
        <v>36</v>
      </c>
    </row>
    <row r="3" ht="45.75" customHeight="1" spans="1:54">
      <c r="A3" s="60"/>
      <c r="B3" s="60"/>
      <c r="C3" s="60"/>
      <c r="D3" s="60"/>
      <c r="E3" s="60"/>
      <c r="F3" s="60"/>
      <c r="G3" s="60"/>
      <c r="H3" s="61"/>
      <c r="I3" s="61"/>
      <c r="J3" s="61"/>
      <c r="K3" s="61"/>
      <c r="L3" s="59" t="s">
        <v>37</v>
      </c>
      <c r="M3" s="73" t="s">
        <v>38</v>
      </c>
      <c r="N3" s="74"/>
      <c r="O3" s="74"/>
      <c r="P3" s="74"/>
      <c r="Q3" s="74"/>
      <c r="R3" s="74"/>
      <c r="S3" s="81"/>
      <c r="T3" s="59" t="s">
        <v>39</v>
      </c>
      <c r="U3" s="73" t="s">
        <v>40</v>
      </c>
      <c r="V3" s="74"/>
      <c r="W3" s="81"/>
      <c r="X3" s="73" t="s">
        <v>41</v>
      </c>
      <c r="Y3" s="81"/>
      <c r="Z3" s="73" t="s">
        <v>44</v>
      </c>
      <c r="AA3" s="81"/>
      <c r="AB3" s="73" t="s">
        <v>42</v>
      </c>
      <c r="AC3" s="81"/>
      <c r="AD3" s="73" t="s">
        <v>45</v>
      </c>
      <c r="AE3" s="81"/>
      <c r="AF3" s="73" t="s">
        <v>46</v>
      </c>
      <c r="AG3" s="81"/>
      <c r="AH3" s="73" t="s">
        <v>47</v>
      </c>
      <c r="AI3" s="81"/>
      <c r="AJ3" s="73" t="s">
        <v>48</v>
      </c>
      <c r="AK3" s="74"/>
      <c r="AL3" s="81"/>
      <c r="AM3" s="73" t="s">
        <v>50</v>
      </c>
      <c r="AN3" s="74"/>
      <c r="AO3" s="74"/>
      <c r="AP3" s="61"/>
      <c r="AQ3" s="87"/>
      <c r="AR3" s="88"/>
      <c r="AS3" s="61"/>
      <c r="AT3" s="86"/>
      <c r="AU3" s="61"/>
      <c r="AV3" s="61"/>
      <c r="AW3" s="61"/>
      <c r="AX3" s="61"/>
      <c r="AY3" s="61"/>
      <c r="AZ3" s="61"/>
      <c r="BA3" s="61"/>
      <c r="BB3" s="72"/>
    </row>
    <row r="4" ht="56.25" customHeight="1" spans="1:67">
      <c r="A4" s="60"/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59" t="s">
        <v>51</v>
      </c>
      <c r="N4" s="59" t="s">
        <v>643</v>
      </c>
      <c r="O4" s="59" t="s">
        <v>644</v>
      </c>
      <c r="P4" s="58" t="s">
        <v>52</v>
      </c>
      <c r="Q4" s="73" t="s">
        <v>53</v>
      </c>
      <c r="R4" s="74"/>
      <c r="S4" s="81"/>
      <c r="T4" s="61"/>
      <c r="U4" s="58" t="s">
        <v>54</v>
      </c>
      <c r="V4" s="58" t="s">
        <v>55</v>
      </c>
      <c r="W4" s="59" t="s">
        <v>57</v>
      </c>
      <c r="X4" s="58" t="s">
        <v>54</v>
      </c>
      <c r="Y4" s="58" t="s">
        <v>55</v>
      </c>
      <c r="Z4" s="59" t="s">
        <v>61</v>
      </c>
      <c r="AA4" s="58" t="s">
        <v>59</v>
      </c>
      <c r="AB4" s="59" t="s">
        <v>58</v>
      </c>
      <c r="AC4" s="59" t="s">
        <v>59</v>
      </c>
      <c r="AD4" s="59" t="s">
        <v>62</v>
      </c>
      <c r="AE4" s="59" t="s">
        <v>59</v>
      </c>
      <c r="AF4" s="59" t="s">
        <v>63</v>
      </c>
      <c r="AG4" s="59" t="s">
        <v>59</v>
      </c>
      <c r="AH4" s="59" t="s">
        <v>64</v>
      </c>
      <c r="AI4" s="59" t="s">
        <v>59</v>
      </c>
      <c r="AJ4" s="59" t="s">
        <v>65</v>
      </c>
      <c r="AK4" s="59" t="s">
        <v>66</v>
      </c>
      <c r="AL4" s="59" t="s">
        <v>645</v>
      </c>
      <c r="AM4" s="59" t="s">
        <v>67</v>
      </c>
      <c r="AN4" s="59" t="s">
        <v>68</v>
      </c>
      <c r="AO4" s="59" t="s">
        <v>69</v>
      </c>
      <c r="AP4" s="61"/>
      <c r="AQ4" s="87"/>
      <c r="AR4" s="88"/>
      <c r="AS4" s="61"/>
      <c r="AT4" s="86"/>
      <c r="AU4" s="61"/>
      <c r="AV4" s="61"/>
      <c r="AW4" s="61"/>
      <c r="AX4" s="61"/>
      <c r="AY4" s="61"/>
      <c r="AZ4" s="61"/>
      <c r="BA4" s="61"/>
      <c r="BB4" s="72"/>
      <c r="BO4" t="s">
        <v>646</v>
      </c>
    </row>
    <row r="5" ht="30" customHeight="1" spans="1:54">
      <c r="A5" s="62"/>
      <c r="B5" s="62"/>
      <c r="C5" s="62"/>
      <c r="D5" s="62"/>
      <c r="E5" s="62"/>
      <c r="F5" s="62"/>
      <c r="G5" s="62"/>
      <c r="H5" s="63"/>
      <c r="I5" s="63"/>
      <c r="J5" s="63"/>
      <c r="K5" s="63"/>
      <c r="L5" s="63"/>
      <c r="M5" s="63"/>
      <c r="N5" s="63"/>
      <c r="O5" s="63"/>
      <c r="P5" s="62"/>
      <c r="Q5" s="72" t="s">
        <v>71</v>
      </c>
      <c r="R5" s="72" t="s">
        <v>72</v>
      </c>
      <c r="S5" s="72" t="s">
        <v>73</v>
      </c>
      <c r="T5" s="63"/>
      <c r="U5" s="62"/>
      <c r="V5" s="62"/>
      <c r="W5" s="62"/>
      <c r="X5" s="62"/>
      <c r="Y5" s="62"/>
      <c r="Z5" s="63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89"/>
      <c r="AR5" s="90"/>
      <c r="AS5" s="63"/>
      <c r="AT5" s="86"/>
      <c r="AU5" s="63"/>
      <c r="AV5" s="63"/>
      <c r="AW5" s="63"/>
      <c r="AX5" s="63"/>
      <c r="AY5" s="63"/>
      <c r="AZ5" s="63"/>
      <c r="BA5" s="63"/>
      <c r="BB5" s="72"/>
    </row>
    <row r="6" ht="30" customHeight="1" spans="1:54">
      <c r="A6" s="64">
        <v>1</v>
      </c>
      <c r="B6" s="65" t="s">
        <v>74</v>
      </c>
      <c r="C6" s="65" t="s">
        <v>75</v>
      </c>
      <c r="D6" s="65" t="s">
        <v>76</v>
      </c>
      <c r="E6" s="65" t="s">
        <v>77</v>
      </c>
      <c r="F6" s="66">
        <v>309.62</v>
      </c>
      <c r="G6" s="67">
        <f t="shared" ref="G6:G69" si="0">H6/F6</f>
        <v>10.6757081422389</v>
      </c>
      <c r="H6" s="67">
        <f t="shared" ref="H6:H69" si="1">Q6+V6+Y6+AA6+AC6+AE6+AG6+AI6+AJ6+AK6+AL6+AM6+AN6+AO6</f>
        <v>3305.412755</v>
      </c>
      <c r="I6" s="75">
        <v>3</v>
      </c>
      <c r="J6" s="75">
        <v>3</v>
      </c>
      <c r="K6" s="76">
        <f t="shared" ref="K6:K69" si="2">R6+V6+Y6+AA6+AC6+AE6+AG6+AI6+AJ6+AK6+AL6+AM6+AN6+AO6</f>
        <v>3819.987448</v>
      </c>
      <c r="L6" s="76">
        <f t="shared" ref="L6:L69" si="3">S6+V6+Y6+AA6+AE6+AG6+AI6+AJ6+AK6+AL6+AM6+AN6+AO6</f>
        <v>1962.267448</v>
      </c>
      <c r="M6" s="75">
        <v>0</v>
      </c>
      <c r="N6" s="77">
        <v>0</v>
      </c>
      <c r="O6" s="75">
        <v>0</v>
      </c>
      <c r="P6" s="67">
        <f t="shared" ref="P6:P69" si="4">F6*2</f>
        <v>619.24</v>
      </c>
      <c r="Q6" s="77">
        <v>1343.145307</v>
      </c>
      <c r="R6" s="67">
        <f t="shared" ref="R6:R69" si="5">P6*3</f>
        <v>1857.72</v>
      </c>
      <c r="S6" s="67">
        <v>0</v>
      </c>
      <c r="T6" s="76">
        <f t="shared" ref="T6:T69" si="6">V6+Y6+AG6+AI6+AJ6+AK6+AL6</f>
        <v>1027.065564</v>
      </c>
      <c r="U6" s="76"/>
      <c r="V6" s="77">
        <v>0</v>
      </c>
      <c r="W6" s="75">
        <v>0</v>
      </c>
      <c r="X6" s="76"/>
      <c r="Y6" s="77">
        <v>139.667096</v>
      </c>
      <c r="Z6" s="77">
        <v>0</v>
      </c>
      <c r="AA6" s="67">
        <f t="shared" ref="AA6:AA69" si="7">Z6*2</f>
        <v>0</v>
      </c>
      <c r="AB6" s="77">
        <v>0</v>
      </c>
      <c r="AC6" s="67">
        <f t="shared" ref="AC6:AC69" si="8">AB6*2</f>
        <v>0</v>
      </c>
      <c r="AD6" s="77">
        <v>0</v>
      </c>
      <c r="AE6" s="67">
        <f t="shared" ref="AE6:AE69" si="9">AD6*2</f>
        <v>0</v>
      </c>
      <c r="AF6" s="82">
        <v>0</v>
      </c>
      <c r="AG6" s="67">
        <f t="shared" ref="AG6:AG69" si="10">AF6*2</f>
        <v>0</v>
      </c>
      <c r="AH6" s="77">
        <v>0</v>
      </c>
      <c r="AI6" s="67">
        <f t="shared" ref="AI6:AI69" si="11">AH6*2</f>
        <v>0</v>
      </c>
      <c r="AJ6" s="77">
        <v>887.398468</v>
      </c>
      <c r="AK6" s="77">
        <v>0</v>
      </c>
      <c r="AL6" s="77">
        <v>0</v>
      </c>
      <c r="AM6" s="77">
        <v>0</v>
      </c>
      <c r="AN6" s="77">
        <v>0</v>
      </c>
      <c r="AO6" s="77">
        <v>935.201884</v>
      </c>
      <c r="AP6" s="67">
        <f t="shared" ref="AP6:AP69" si="12">F6*2</f>
        <v>619.24</v>
      </c>
      <c r="AQ6" s="91">
        <f t="shared" ref="AQ6:AQ69" si="13">P6*IF(J6=1,0,IF(J6=2,0,IF(J6=3,2,IF(J6=4,0))))/1000</f>
        <v>1.23848</v>
      </c>
      <c r="AR6" s="92">
        <f t="shared" ref="AR6:AR69" si="14">P6*IF(J6=1,3,IF(J6=2,2,IF(J6=3,0,IF(J6=4,0))))/1000</f>
        <v>0</v>
      </c>
      <c r="AS6" s="67">
        <f t="shared" ref="AS6:AS69" si="15">P6/1000/2*IF(J6=1,4,IF(J6=2,3,IF(J6=3,2,IF(J6=4,0))))</f>
        <v>0.61924</v>
      </c>
      <c r="AT6" s="75">
        <v>0</v>
      </c>
      <c r="AU6" s="67">
        <f t="shared" ref="AU6:AU69" si="16">T6/IF(J6=1,5500,IF(J6=2,6500,IF(J6=3,7500)))</f>
        <v>0.1369420752</v>
      </c>
      <c r="AV6" s="71">
        <f t="shared" ref="AV6:AV69" si="17">AP6/IF(J6=1,350,IF(J6=2,500,IF(J6=3,700)))*0.6</f>
        <v>0.530777142857143</v>
      </c>
      <c r="AW6" s="71"/>
      <c r="AX6" s="67"/>
      <c r="AY6" s="67">
        <f t="shared" ref="AY6:AY69" si="18">(AM6+AN6+AO6)*0.8/10000</f>
        <v>0.07481615072</v>
      </c>
      <c r="AZ6" s="67"/>
      <c r="BA6" s="67">
        <f t="shared" ref="BA6:BA69" si="19">AU6+AV6+AW6</f>
        <v>0.667719218057143</v>
      </c>
      <c r="BB6" s="75"/>
    </row>
    <row r="7" ht="30" customHeight="1" spans="1:54">
      <c r="A7" s="64">
        <v>2</v>
      </c>
      <c r="B7" s="65" t="s">
        <v>78</v>
      </c>
      <c r="C7" s="65" t="s">
        <v>78</v>
      </c>
      <c r="D7" s="65" t="s">
        <v>79</v>
      </c>
      <c r="E7" s="65" t="s">
        <v>80</v>
      </c>
      <c r="F7" s="66">
        <v>143.8</v>
      </c>
      <c r="G7" s="67">
        <f t="shared" si="0"/>
        <v>52.9116675104312</v>
      </c>
      <c r="H7" s="67">
        <f t="shared" si="1"/>
        <v>7608.697788</v>
      </c>
      <c r="I7" s="75">
        <v>3</v>
      </c>
      <c r="J7" s="75">
        <v>3</v>
      </c>
      <c r="K7" s="76">
        <f t="shared" si="2"/>
        <v>7603.851034</v>
      </c>
      <c r="L7" s="76">
        <f t="shared" si="3"/>
        <v>6741.051034</v>
      </c>
      <c r="M7" s="75">
        <v>0</v>
      </c>
      <c r="N7" s="77">
        <v>0</v>
      </c>
      <c r="O7" s="75">
        <v>0</v>
      </c>
      <c r="P7" s="67">
        <f t="shared" si="4"/>
        <v>287.6</v>
      </c>
      <c r="Q7" s="77">
        <v>867.646754</v>
      </c>
      <c r="R7" s="67">
        <f t="shared" si="5"/>
        <v>862.8</v>
      </c>
      <c r="S7" s="67">
        <v>0</v>
      </c>
      <c r="T7" s="76">
        <f t="shared" si="6"/>
        <v>1861.70933</v>
      </c>
      <c r="U7" s="76"/>
      <c r="V7" s="77">
        <v>0</v>
      </c>
      <c r="W7" s="75">
        <v>0</v>
      </c>
      <c r="X7" s="76"/>
      <c r="Y7" s="77">
        <v>0</v>
      </c>
      <c r="Z7" s="77">
        <v>0</v>
      </c>
      <c r="AA7" s="67">
        <f t="shared" si="7"/>
        <v>0</v>
      </c>
      <c r="AB7" s="77">
        <v>0</v>
      </c>
      <c r="AC7" s="67">
        <f t="shared" si="8"/>
        <v>0</v>
      </c>
      <c r="AD7" s="77">
        <v>0</v>
      </c>
      <c r="AE7" s="67">
        <f t="shared" si="9"/>
        <v>0</v>
      </c>
      <c r="AF7" s="82">
        <v>0</v>
      </c>
      <c r="AG7" s="67">
        <f t="shared" si="10"/>
        <v>0</v>
      </c>
      <c r="AH7" s="77">
        <v>0</v>
      </c>
      <c r="AI7" s="67">
        <f t="shared" si="11"/>
        <v>0</v>
      </c>
      <c r="AJ7" s="77">
        <v>1861.70933</v>
      </c>
      <c r="AK7" s="77">
        <v>0</v>
      </c>
      <c r="AL7" s="77">
        <v>0</v>
      </c>
      <c r="AM7" s="77">
        <v>0</v>
      </c>
      <c r="AN7" s="77">
        <v>0</v>
      </c>
      <c r="AO7" s="77">
        <v>4879.341704</v>
      </c>
      <c r="AP7" s="67">
        <f t="shared" si="12"/>
        <v>287.6</v>
      </c>
      <c r="AQ7" s="91">
        <f t="shared" si="13"/>
        <v>0.5752</v>
      </c>
      <c r="AR7" s="92">
        <f t="shared" si="14"/>
        <v>0</v>
      </c>
      <c r="AS7" s="67">
        <f t="shared" si="15"/>
        <v>0.2876</v>
      </c>
      <c r="AT7" s="75">
        <v>0</v>
      </c>
      <c r="AU7" s="67">
        <f t="shared" si="16"/>
        <v>0.248227910666667</v>
      </c>
      <c r="AV7" s="71">
        <f t="shared" si="17"/>
        <v>0.246514285714286</v>
      </c>
      <c r="AW7" s="71"/>
      <c r="AX7" s="67"/>
      <c r="AY7" s="67">
        <f t="shared" si="18"/>
        <v>0.39034733632</v>
      </c>
      <c r="AZ7" s="67"/>
      <c r="BA7" s="67">
        <f t="shared" si="19"/>
        <v>0.494742196380952</v>
      </c>
      <c r="BB7" s="75"/>
    </row>
    <row r="8" ht="30" customHeight="1" spans="1:54">
      <c r="A8" s="64">
        <v>3</v>
      </c>
      <c r="B8" s="65" t="s">
        <v>81</v>
      </c>
      <c r="C8" s="65" t="s">
        <v>81</v>
      </c>
      <c r="D8" s="65" t="s">
        <v>82</v>
      </c>
      <c r="E8" s="65" t="s">
        <v>83</v>
      </c>
      <c r="F8" s="66">
        <v>586.77</v>
      </c>
      <c r="G8" s="67">
        <f t="shared" si="0"/>
        <v>18.5467942873698</v>
      </c>
      <c r="H8" s="67">
        <f t="shared" si="1"/>
        <v>10882.702484</v>
      </c>
      <c r="I8" s="75">
        <v>3</v>
      </c>
      <c r="J8" s="75">
        <v>3</v>
      </c>
      <c r="K8" s="76">
        <f t="shared" si="2"/>
        <v>9503.492009</v>
      </c>
      <c r="L8" s="76">
        <f t="shared" si="3"/>
        <v>5982.872009</v>
      </c>
      <c r="M8" s="75">
        <v>0</v>
      </c>
      <c r="N8" s="77">
        <v>0</v>
      </c>
      <c r="O8" s="75">
        <v>0</v>
      </c>
      <c r="P8" s="67">
        <f t="shared" si="4"/>
        <v>1173.54</v>
      </c>
      <c r="Q8" s="77">
        <v>4899.830475</v>
      </c>
      <c r="R8" s="67">
        <f t="shared" si="5"/>
        <v>3520.62</v>
      </c>
      <c r="S8" s="67">
        <v>0</v>
      </c>
      <c r="T8" s="76">
        <f t="shared" si="6"/>
        <v>5905.606281</v>
      </c>
      <c r="U8" s="76"/>
      <c r="V8" s="77">
        <v>0</v>
      </c>
      <c r="W8" s="75">
        <v>0</v>
      </c>
      <c r="X8" s="76"/>
      <c r="Y8" s="77">
        <v>4786.149775</v>
      </c>
      <c r="Z8" s="77">
        <v>0</v>
      </c>
      <c r="AA8" s="67">
        <f t="shared" si="7"/>
        <v>0</v>
      </c>
      <c r="AB8" s="77">
        <v>0</v>
      </c>
      <c r="AC8" s="67">
        <f t="shared" si="8"/>
        <v>0</v>
      </c>
      <c r="AD8" s="77">
        <v>0</v>
      </c>
      <c r="AE8" s="67">
        <f t="shared" si="9"/>
        <v>0</v>
      </c>
      <c r="AF8" s="82">
        <v>0</v>
      </c>
      <c r="AG8" s="67">
        <f t="shared" si="10"/>
        <v>0</v>
      </c>
      <c r="AH8" s="77">
        <v>0</v>
      </c>
      <c r="AI8" s="67">
        <f t="shared" si="11"/>
        <v>0</v>
      </c>
      <c r="AJ8" s="77">
        <v>1119.456506</v>
      </c>
      <c r="AK8" s="77">
        <v>0</v>
      </c>
      <c r="AL8" s="77">
        <v>0</v>
      </c>
      <c r="AM8" s="77">
        <v>0</v>
      </c>
      <c r="AN8" s="77">
        <v>0</v>
      </c>
      <c r="AO8" s="77">
        <v>77.265728</v>
      </c>
      <c r="AP8" s="67">
        <f t="shared" si="12"/>
        <v>1173.54</v>
      </c>
      <c r="AQ8" s="91">
        <f t="shared" si="13"/>
        <v>2.34708</v>
      </c>
      <c r="AR8" s="92">
        <f t="shared" si="14"/>
        <v>0</v>
      </c>
      <c r="AS8" s="67">
        <f t="shared" si="15"/>
        <v>1.17354</v>
      </c>
      <c r="AT8" s="75">
        <v>0</v>
      </c>
      <c r="AU8" s="67">
        <f t="shared" si="16"/>
        <v>0.7874141708</v>
      </c>
      <c r="AV8" s="71">
        <f t="shared" si="17"/>
        <v>1.00589142857143</v>
      </c>
      <c r="AW8" s="71"/>
      <c r="AX8" s="67"/>
      <c r="AY8" s="67">
        <f t="shared" si="18"/>
        <v>0.00618125824</v>
      </c>
      <c r="AZ8" s="67"/>
      <c r="BA8" s="67">
        <f t="shared" si="19"/>
        <v>1.79330559937143</v>
      </c>
      <c r="BB8" s="75"/>
    </row>
    <row r="9" ht="30" customHeight="1" spans="1:54">
      <c r="A9" s="64">
        <v>4</v>
      </c>
      <c r="B9" s="65" t="s">
        <v>84</v>
      </c>
      <c r="C9" s="65" t="s">
        <v>84</v>
      </c>
      <c r="D9" s="65" t="s">
        <v>85</v>
      </c>
      <c r="E9" s="65" t="s">
        <v>81</v>
      </c>
      <c r="F9" s="66">
        <v>299.42</v>
      </c>
      <c r="G9" s="67">
        <f t="shared" si="0"/>
        <v>10.3012722496827</v>
      </c>
      <c r="H9" s="67">
        <f t="shared" si="1"/>
        <v>3084.406937</v>
      </c>
      <c r="I9" s="75">
        <v>3</v>
      </c>
      <c r="J9" s="75">
        <v>3</v>
      </c>
      <c r="K9" s="76">
        <f t="shared" si="2"/>
        <v>3688.5716</v>
      </c>
      <c r="L9" s="76">
        <f t="shared" si="3"/>
        <v>1892.0516</v>
      </c>
      <c r="M9" s="75">
        <v>0</v>
      </c>
      <c r="N9" s="77">
        <v>0</v>
      </c>
      <c r="O9" s="75">
        <v>0</v>
      </c>
      <c r="P9" s="67">
        <f t="shared" si="4"/>
        <v>598.84</v>
      </c>
      <c r="Q9" s="77">
        <v>1192.355337</v>
      </c>
      <c r="R9" s="67">
        <f t="shared" si="5"/>
        <v>1796.52</v>
      </c>
      <c r="S9" s="67">
        <v>0</v>
      </c>
      <c r="T9" s="76">
        <f t="shared" si="6"/>
        <v>1892.0516</v>
      </c>
      <c r="U9" s="76"/>
      <c r="V9" s="77">
        <v>0</v>
      </c>
      <c r="W9" s="75">
        <v>0</v>
      </c>
      <c r="X9" s="76"/>
      <c r="Y9" s="77">
        <v>1892.0516</v>
      </c>
      <c r="Z9" s="77">
        <v>0</v>
      </c>
      <c r="AA9" s="67">
        <f t="shared" si="7"/>
        <v>0</v>
      </c>
      <c r="AB9" s="77">
        <v>0</v>
      </c>
      <c r="AC9" s="67">
        <f t="shared" si="8"/>
        <v>0</v>
      </c>
      <c r="AD9" s="77">
        <v>0</v>
      </c>
      <c r="AE9" s="67">
        <f t="shared" si="9"/>
        <v>0</v>
      </c>
      <c r="AF9" s="82">
        <v>0</v>
      </c>
      <c r="AG9" s="67">
        <f t="shared" si="10"/>
        <v>0</v>
      </c>
      <c r="AH9" s="77">
        <v>0</v>
      </c>
      <c r="AI9" s="67">
        <f t="shared" si="11"/>
        <v>0</v>
      </c>
      <c r="AJ9" s="77">
        <v>0</v>
      </c>
      <c r="AK9" s="77">
        <v>0</v>
      </c>
      <c r="AL9" s="77">
        <v>0</v>
      </c>
      <c r="AM9" s="77">
        <v>0</v>
      </c>
      <c r="AN9" s="77">
        <v>0</v>
      </c>
      <c r="AO9" s="77">
        <v>0</v>
      </c>
      <c r="AP9" s="67">
        <f t="shared" si="12"/>
        <v>598.84</v>
      </c>
      <c r="AQ9" s="91">
        <f t="shared" si="13"/>
        <v>1.19768</v>
      </c>
      <c r="AR9" s="92">
        <f t="shared" si="14"/>
        <v>0</v>
      </c>
      <c r="AS9" s="67">
        <f t="shared" si="15"/>
        <v>0.59884</v>
      </c>
      <c r="AT9" s="75">
        <v>0</v>
      </c>
      <c r="AU9" s="67">
        <f t="shared" si="16"/>
        <v>0.252273546666667</v>
      </c>
      <c r="AV9" s="71">
        <f t="shared" si="17"/>
        <v>0.513291428571429</v>
      </c>
      <c r="AW9" s="71"/>
      <c r="AX9" s="67"/>
      <c r="AY9" s="67">
        <f t="shared" si="18"/>
        <v>0</v>
      </c>
      <c r="AZ9" s="67"/>
      <c r="BA9" s="67">
        <f t="shared" si="19"/>
        <v>0.765564975238095</v>
      </c>
      <c r="BB9" s="75"/>
    </row>
    <row r="10" s="51" customFormat="1" ht="30" customHeight="1" spans="1:60">
      <c r="A10" s="68">
        <v>5</v>
      </c>
      <c r="B10" s="69" t="s">
        <v>86</v>
      </c>
      <c r="C10" s="69" t="s">
        <v>86</v>
      </c>
      <c r="D10" s="69" t="s">
        <v>87</v>
      </c>
      <c r="E10" s="69" t="s">
        <v>88</v>
      </c>
      <c r="F10" s="70">
        <v>564.23</v>
      </c>
      <c r="G10" s="71">
        <f t="shared" si="0"/>
        <v>49.9160465040852</v>
      </c>
      <c r="H10" s="71">
        <f t="shared" si="1"/>
        <v>28164.130919</v>
      </c>
      <c r="I10" s="78">
        <v>1</v>
      </c>
      <c r="J10" s="78">
        <v>2</v>
      </c>
      <c r="K10" s="79">
        <f t="shared" si="2"/>
        <v>20279.660812</v>
      </c>
      <c r="L10" s="79">
        <f t="shared" si="3"/>
        <v>16894.280812</v>
      </c>
      <c r="M10" s="78">
        <v>2</v>
      </c>
      <c r="N10" s="80">
        <v>0</v>
      </c>
      <c r="O10" s="78">
        <v>0</v>
      </c>
      <c r="P10" s="71">
        <f t="shared" si="4"/>
        <v>1128.46</v>
      </c>
      <c r="Q10" s="80">
        <v>11269.850107</v>
      </c>
      <c r="R10" s="71">
        <f t="shared" si="5"/>
        <v>3385.38</v>
      </c>
      <c r="S10" s="71">
        <v>0</v>
      </c>
      <c r="T10" s="79">
        <f t="shared" si="6"/>
        <v>4277.73936</v>
      </c>
      <c r="U10" s="79"/>
      <c r="V10" s="80">
        <v>0</v>
      </c>
      <c r="W10" s="78">
        <v>0</v>
      </c>
      <c r="X10" s="79"/>
      <c r="Y10" s="80">
        <v>4136.281664</v>
      </c>
      <c r="Z10" s="80">
        <v>29.878034</v>
      </c>
      <c r="AA10" s="71">
        <f t="shared" si="7"/>
        <v>59.756068</v>
      </c>
      <c r="AB10" s="80">
        <v>0</v>
      </c>
      <c r="AC10" s="71">
        <f t="shared" si="8"/>
        <v>0</v>
      </c>
      <c r="AD10" s="80">
        <v>0</v>
      </c>
      <c r="AE10" s="71">
        <f t="shared" si="9"/>
        <v>0</v>
      </c>
      <c r="AF10" s="83">
        <v>0</v>
      </c>
      <c r="AG10" s="71">
        <f t="shared" si="10"/>
        <v>0</v>
      </c>
      <c r="AH10" s="80">
        <v>0</v>
      </c>
      <c r="AI10" s="71">
        <f t="shared" si="11"/>
        <v>0</v>
      </c>
      <c r="AJ10" s="80">
        <v>141.457696</v>
      </c>
      <c r="AK10" s="80">
        <v>0</v>
      </c>
      <c r="AL10" s="80">
        <v>0</v>
      </c>
      <c r="AM10" s="80">
        <v>0</v>
      </c>
      <c r="AN10" s="80">
        <v>0</v>
      </c>
      <c r="AO10" s="80">
        <v>12556.785384</v>
      </c>
      <c r="AP10" s="71">
        <f t="shared" si="12"/>
        <v>1128.46</v>
      </c>
      <c r="AQ10" s="93">
        <f t="shared" si="13"/>
        <v>0</v>
      </c>
      <c r="AR10" s="94">
        <f t="shared" si="14"/>
        <v>2.25692</v>
      </c>
      <c r="AS10" s="71">
        <f t="shared" si="15"/>
        <v>1.69269</v>
      </c>
      <c r="AT10" s="78">
        <v>8</v>
      </c>
      <c r="AU10" s="71">
        <f t="shared" si="16"/>
        <v>0.658113747692308</v>
      </c>
      <c r="AV10" s="71">
        <f t="shared" si="17"/>
        <v>1.354152</v>
      </c>
      <c r="AW10" s="96">
        <v>1</v>
      </c>
      <c r="AX10" s="71"/>
      <c r="AY10" s="71">
        <f t="shared" si="18"/>
        <v>1.00454283072</v>
      </c>
      <c r="AZ10" s="71"/>
      <c r="BA10" s="67">
        <f t="shared" si="19"/>
        <v>3.01226574769231</v>
      </c>
      <c r="BB10" s="78"/>
      <c r="BH10" s="99"/>
    </row>
    <row r="11" s="51" customFormat="1" ht="30" customHeight="1" spans="1:60">
      <c r="A11" s="68">
        <v>6</v>
      </c>
      <c r="B11" s="69" t="s">
        <v>86</v>
      </c>
      <c r="C11" s="69" t="s">
        <v>86</v>
      </c>
      <c r="D11" s="69" t="s">
        <v>90</v>
      </c>
      <c r="E11" s="69" t="s">
        <v>91</v>
      </c>
      <c r="F11" s="70">
        <v>209.42</v>
      </c>
      <c r="G11" s="71">
        <f t="shared" si="0"/>
        <v>63.9690016712826</v>
      </c>
      <c r="H11" s="71">
        <f t="shared" si="1"/>
        <v>13396.38833</v>
      </c>
      <c r="I11" s="78">
        <v>1</v>
      </c>
      <c r="J11" s="78">
        <v>2</v>
      </c>
      <c r="K11" s="79">
        <f t="shared" si="2"/>
        <v>9424.279901</v>
      </c>
      <c r="L11" s="79">
        <f t="shared" si="3"/>
        <v>8167.759901</v>
      </c>
      <c r="M11" s="78">
        <v>2</v>
      </c>
      <c r="N11" s="80">
        <v>0</v>
      </c>
      <c r="O11" s="78">
        <v>0</v>
      </c>
      <c r="P11" s="71">
        <f t="shared" si="4"/>
        <v>418.84</v>
      </c>
      <c r="Q11" s="80">
        <v>5228.628429</v>
      </c>
      <c r="R11" s="71">
        <f t="shared" si="5"/>
        <v>1256.52</v>
      </c>
      <c r="S11" s="71">
        <v>0</v>
      </c>
      <c r="T11" s="79">
        <f t="shared" si="6"/>
        <v>2220.135617</v>
      </c>
      <c r="U11" s="79"/>
      <c r="V11" s="80">
        <v>0</v>
      </c>
      <c r="W11" s="78">
        <v>0</v>
      </c>
      <c r="X11" s="79"/>
      <c r="Y11" s="80">
        <v>854.657403</v>
      </c>
      <c r="Z11" s="80">
        <v>0</v>
      </c>
      <c r="AA11" s="71">
        <f t="shared" si="7"/>
        <v>0</v>
      </c>
      <c r="AB11" s="80">
        <v>0</v>
      </c>
      <c r="AC11" s="71">
        <f t="shared" si="8"/>
        <v>0</v>
      </c>
      <c r="AD11" s="80">
        <v>0</v>
      </c>
      <c r="AE11" s="71">
        <f t="shared" si="9"/>
        <v>0</v>
      </c>
      <c r="AF11" s="83">
        <v>0</v>
      </c>
      <c r="AG11" s="71">
        <f t="shared" si="10"/>
        <v>0</v>
      </c>
      <c r="AH11" s="80">
        <v>0</v>
      </c>
      <c r="AI11" s="71">
        <f t="shared" si="11"/>
        <v>0</v>
      </c>
      <c r="AJ11" s="80">
        <v>1365.478214</v>
      </c>
      <c r="AK11" s="80">
        <v>0</v>
      </c>
      <c r="AL11" s="80">
        <v>0</v>
      </c>
      <c r="AM11" s="80">
        <v>284.704979</v>
      </c>
      <c r="AN11" s="80">
        <v>0</v>
      </c>
      <c r="AO11" s="80">
        <v>5662.919305</v>
      </c>
      <c r="AP11" s="71">
        <f t="shared" si="12"/>
        <v>418.84</v>
      </c>
      <c r="AQ11" s="93">
        <f t="shared" si="13"/>
        <v>0</v>
      </c>
      <c r="AR11" s="94">
        <f t="shared" si="14"/>
        <v>0.83768</v>
      </c>
      <c r="AS11" s="71">
        <f t="shared" si="15"/>
        <v>0.62826</v>
      </c>
      <c r="AT11" s="78">
        <v>2</v>
      </c>
      <c r="AU11" s="71">
        <f t="shared" si="16"/>
        <v>0.341559325692308</v>
      </c>
      <c r="AV11" s="71">
        <f t="shared" si="17"/>
        <v>0.502608</v>
      </c>
      <c r="AW11" s="97"/>
      <c r="AX11" s="71"/>
      <c r="AY11" s="71">
        <f t="shared" si="18"/>
        <v>0.47580994272</v>
      </c>
      <c r="AZ11" s="71"/>
      <c r="BA11" s="67">
        <f t="shared" si="19"/>
        <v>0.844167325692308</v>
      </c>
      <c r="BB11" s="78"/>
      <c r="BH11" s="99"/>
    </row>
    <row r="12" s="51" customFormat="1" ht="30" customHeight="1" spans="1:60">
      <c r="A12" s="68">
        <v>7</v>
      </c>
      <c r="B12" s="69" t="s">
        <v>86</v>
      </c>
      <c r="C12" s="69" t="s">
        <v>86</v>
      </c>
      <c r="D12" s="69" t="s">
        <v>92</v>
      </c>
      <c r="E12" s="69" t="s">
        <v>87</v>
      </c>
      <c r="F12" s="70">
        <v>201.7</v>
      </c>
      <c r="G12" s="71">
        <f t="shared" si="0"/>
        <v>46.2985700049579</v>
      </c>
      <c r="H12" s="71">
        <f t="shared" si="1"/>
        <v>9338.42157</v>
      </c>
      <c r="I12" s="78">
        <v>1</v>
      </c>
      <c r="J12" s="78">
        <v>2</v>
      </c>
      <c r="K12" s="79">
        <f t="shared" si="2"/>
        <v>7230.646076</v>
      </c>
      <c r="L12" s="79">
        <f t="shared" si="3"/>
        <v>6020.446076</v>
      </c>
      <c r="M12" s="78">
        <v>2</v>
      </c>
      <c r="N12" s="80">
        <v>0</v>
      </c>
      <c r="O12" s="78">
        <v>0</v>
      </c>
      <c r="P12" s="71">
        <f t="shared" si="4"/>
        <v>403.4</v>
      </c>
      <c r="Q12" s="80">
        <v>3317.975494</v>
      </c>
      <c r="R12" s="71">
        <f t="shared" si="5"/>
        <v>1210.2</v>
      </c>
      <c r="S12" s="71">
        <v>0</v>
      </c>
      <c r="T12" s="79">
        <f t="shared" si="6"/>
        <v>2236.077693</v>
      </c>
      <c r="U12" s="79"/>
      <c r="V12" s="80">
        <v>729.768264</v>
      </c>
      <c r="W12" s="78">
        <v>1</v>
      </c>
      <c r="X12" s="79"/>
      <c r="Y12" s="80">
        <v>1022.553767</v>
      </c>
      <c r="Z12" s="80">
        <v>0</v>
      </c>
      <c r="AA12" s="71">
        <f t="shared" si="7"/>
        <v>0</v>
      </c>
      <c r="AB12" s="80">
        <v>0</v>
      </c>
      <c r="AC12" s="71">
        <f t="shared" si="8"/>
        <v>0</v>
      </c>
      <c r="AD12" s="80">
        <v>289.578325</v>
      </c>
      <c r="AE12" s="71">
        <f t="shared" si="9"/>
        <v>579.15665</v>
      </c>
      <c r="AF12" s="83">
        <v>0</v>
      </c>
      <c r="AG12" s="71">
        <f t="shared" si="10"/>
        <v>0</v>
      </c>
      <c r="AH12" s="80">
        <v>0</v>
      </c>
      <c r="AI12" s="71">
        <f t="shared" si="11"/>
        <v>0</v>
      </c>
      <c r="AJ12" s="80">
        <v>483.755662</v>
      </c>
      <c r="AK12" s="80">
        <v>0</v>
      </c>
      <c r="AL12" s="80">
        <v>0</v>
      </c>
      <c r="AM12" s="80">
        <v>0</v>
      </c>
      <c r="AN12" s="80">
        <v>0</v>
      </c>
      <c r="AO12" s="80">
        <v>3205.211733</v>
      </c>
      <c r="AP12" s="71">
        <f t="shared" si="12"/>
        <v>403.4</v>
      </c>
      <c r="AQ12" s="93">
        <f t="shared" si="13"/>
        <v>0</v>
      </c>
      <c r="AR12" s="94">
        <f t="shared" si="14"/>
        <v>0.8068</v>
      </c>
      <c r="AS12" s="71">
        <f t="shared" si="15"/>
        <v>0.6051</v>
      </c>
      <c r="AT12" s="78">
        <v>6</v>
      </c>
      <c r="AU12" s="71">
        <f t="shared" si="16"/>
        <v>0.344011952769231</v>
      </c>
      <c r="AV12" s="71">
        <f t="shared" si="17"/>
        <v>0.48408</v>
      </c>
      <c r="AW12" s="97"/>
      <c r="AX12" s="71"/>
      <c r="AY12" s="71">
        <f t="shared" si="18"/>
        <v>0.25641693864</v>
      </c>
      <c r="AZ12" s="71"/>
      <c r="BA12" s="67">
        <f t="shared" si="19"/>
        <v>0.828091952769231</v>
      </c>
      <c r="BB12" s="78"/>
      <c r="BH12" s="99"/>
    </row>
    <row r="13" s="51" customFormat="1" ht="30" customHeight="1" spans="1:60">
      <c r="A13" s="68">
        <v>8</v>
      </c>
      <c r="B13" s="69" t="s">
        <v>86</v>
      </c>
      <c r="C13" s="69" t="s">
        <v>86</v>
      </c>
      <c r="D13" s="69" t="s">
        <v>91</v>
      </c>
      <c r="E13" s="69" t="s">
        <v>92</v>
      </c>
      <c r="F13" s="70">
        <v>382.58</v>
      </c>
      <c r="G13" s="71">
        <f t="shared" si="0"/>
        <v>47.9328835746772</v>
      </c>
      <c r="H13" s="71">
        <f t="shared" si="1"/>
        <v>18338.162598</v>
      </c>
      <c r="I13" s="78">
        <v>1</v>
      </c>
      <c r="J13" s="78">
        <v>2</v>
      </c>
      <c r="K13" s="79">
        <f t="shared" si="2"/>
        <v>12050.843124</v>
      </c>
      <c r="L13" s="79">
        <f t="shared" si="3"/>
        <v>9755.363124</v>
      </c>
      <c r="M13" s="78">
        <v>2</v>
      </c>
      <c r="N13" s="80">
        <v>0</v>
      </c>
      <c r="O13" s="78">
        <v>0</v>
      </c>
      <c r="P13" s="71">
        <f t="shared" si="4"/>
        <v>765.16</v>
      </c>
      <c r="Q13" s="80">
        <v>8582.799474</v>
      </c>
      <c r="R13" s="71">
        <f t="shared" si="5"/>
        <v>2295.48</v>
      </c>
      <c r="S13" s="71">
        <v>0</v>
      </c>
      <c r="T13" s="79">
        <f t="shared" si="6"/>
        <v>3381.159439</v>
      </c>
      <c r="U13" s="79"/>
      <c r="V13" s="80">
        <v>510.95875</v>
      </c>
      <c r="W13" s="78">
        <v>1</v>
      </c>
      <c r="X13" s="79"/>
      <c r="Y13" s="80">
        <v>2255.759209</v>
      </c>
      <c r="Z13" s="80">
        <v>0</v>
      </c>
      <c r="AA13" s="71">
        <f t="shared" si="7"/>
        <v>0</v>
      </c>
      <c r="AB13" s="80">
        <v>0</v>
      </c>
      <c r="AC13" s="71">
        <f t="shared" si="8"/>
        <v>0</v>
      </c>
      <c r="AD13" s="80">
        <v>167.747201</v>
      </c>
      <c r="AE13" s="71">
        <f t="shared" si="9"/>
        <v>335.494402</v>
      </c>
      <c r="AF13" s="83">
        <v>0</v>
      </c>
      <c r="AG13" s="71">
        <f t="shared" si="10"/>
        <v>0</v>
      </c>
      <c r="AH13" s="80">
        <v>0</v>
      </c>
      <c r="AI13" s="71">
        <f t="shared" si="11"/>
        <v>0</v>
      </c>
      <c r="AJ13" s="80">
        <v>614.44148</v>
      </c>
      <c r="AK13" s="80">
        <v>0</v>
      </c>
      <c r="AL13" s="80">
        <v>0</v>
      </c>
      <c r="AM13" s="80">
        <v>713.635261</v>
      </c>
      <c r="AN13" s="80">
        <v>0</v>
      </c>
      <c r="AO13" s="80">
        <v>5325.074022</v>
      </c>
      <c r="AP13" s="71">
        <f t="shared" si="12"/>
        <v>765.16</v>
      </c>
      <c r="AQ13" s="93">
        <f t="shared" si="13"/>
        <v>0</v>
      </c>
      <c r="AR13" s="94">
        <f t="shared" si="14"/>
        <v>1.53032</v>
      </c>
      <c r="AS13" s="71">
        <f t="shared" si="15"/>
        <v>1.14774</v>
      </c>
      <c r="AT13" s="78">
        <v>6</v>
      </c>
      <c r="AU13" s="71">
        <f t="shared" si="16"/>
        <v>0.520178375230769</v>
      </c>
      <c r="AV13" s="71">
        <f t="shared" si="17"/>
        <v>0.918192</v>
      </c>
      <c r="AW13" s="97"/>
      <c r="AX13" s="71"/>
      <c r="AY13" s="71">
        <f t="shared" si="18"/>
        <v>0.48309674264</v>
      </c>
      <c r="AZ13" s="71"/>
      <c r="BA13" s="67">
        <f t="shared" si="19"/>
        <v>1.43837037523077</v>
      </c>
      <c r="BB13" s="78"/>
      <c r="BH13" s="99"/>
    </row>
    <row r="14" s="51" customFormat="1" ht="30" customHeight="1" spans="1:60">
      <c r="A14" s="68">
        <v>9</v>
      </c>
      <c r="B14" s="69" t="s">
        <v>86</v>
      </c>
      <c r="C14" s="69" t="s">
        <v>86</v>
      </c>
      <c r="D14" s="69" t="s">
        <v>88</v>
      </c>
      <c r="E14" s="69" t="s">
        <v>93</v>
      </c>
      <c r="F14" s="70">
        <v>466.36</v>
      </c>
      <c r="G14" s="71">
        <f t="shared" si="0"/>
        <v>56.3233326292993</v>
      </c>
      <c r="H14" s="71">
        <f t="shared" si="1"/>
        <v>26266.949405</v>
      </c>
      <c r="I14" s="78">
        <v>1</v>
      </c>
      <c r="J14" s="78">
        <v>2</v>
      </c>
      <c r="K14" s="79">
        <f t="shared" si="2"/>
        <v>19150.278611</v>
      </c>
      <c r="L14" s="79">
        <f t="shared" si="3"/>
        <v>15668.362473</v>
      </c>
      <c r="M14" s="78">
        <v>2</v>
      </c>
      <c r="N14" s="80">
        <v>0</v>
      </c>
      <c r="O14" s="78">
        <v>0</v>
      </c>
      <c r="P14" s="71">
        <f t="shared" si="4"/>
        <v>932.72</v>
      </c>
      <c r="Q14" s="80">
        <v>9914.830794</v>
      </c>
      <c r="R14" s="71">
        <f t="shared" si="5"/>
        <v>2798.16</v>
      </c>
      <c r="S14" s="71">
        <v>0</v>
      </c>
      <c r="T14" s="79">
        <f t="shared" si="6"/>
        <v>4087.09505</v>
      </c>
      <c r="U14" s="79"/>
      <c r="V14" s="80">
        <v>103.374087</v>
      </c>
      <c r="W14" s="78">
        <v>2</v>
      </c>
      <c r="X14" s="79"/>
      <c r="Y14" s="80">
        <v>2826.321434</v>
      </c>
      <c r="Z14" s="80">
        <v>0</v>
      </c>
      <c r="AA14" s="71">
        <f t="shared" si="7"/>
        <v>0</v>
      </c>
      <c r="AB14" s="80">
        <v>341.878069</v>
      </c>
      <c r="AC14" s="71">
        <f t="shared" si="8"/>
        <v>683.756138</v>
      </c>
      <c r="AD14" s="80">
        <v>0</v>
      </c>
      <c r="AE14" s="71">
        <f t="shared" si="9"/>
        <v>0</v>
      </c>
      <c r="AF14" s="83">
        <v>0</v>
      </c>
      <c r="AG14" s="71">
        <f t="shared" si="10"/>
        <v>0</v>
      </c>
      <c r="AH14" s="80">
        <v>0</v>
      </c>
      <c r="AI14" s="71">
        <f t="shared" si="11"/>
        <v>0</v>
      </c>
      <c r="AJ14" s="80">
        <v>0</v>
      </c>
      <c r="AK14" s="80">
        <v>1157.399529</v>
      </c>
      <c r="AL14" s="80">
        <v>0</v>
      </c>
      <c r="AM14" s="80">
        <v>0</v>
      </c>
      <c r="AN14" s="80">
        <v>51.738035</v>
      </c>
      <c r="AO14" s="80">
        <v>11529.529388</v>
      </c>
      <c r="AP14" s="71">
        <f t="shared" si="12"/>
        <v>932.72</v>
      </c>
      <c r="AQ14" s="93">
        <f t="shared" si="13"/>
        <v>0</v>
      </c>
      <c r="AR14" s="94">
        <f t="shared" si="14"/>
        <v>1.86544</v>
      </c>
      <c r="AS14" s="71">
        <f t="shared" si="15"/>
        <v>1.39908</v>
      </c>
      <c r="AT14" s="78">
        <v>6</v>
      </c>
      <c r="AU14" s="71">
        <f t="shared" si="16"/>
        <v>0.628783853846154</v>
      </c>
      <c r="AV14" s="71">
        <f t="shared" si="17"/>
        <v>1.119264</v>
      </c>
      <c r="AW14" s="98"/>
      <c r="AX14" s="71"/>
      <c r="AY14" s="71">
        <f t="shared" si="18"/>
        <v>0.92650139384</v>
      </c>
      <c r="AZ14" s="71"/>
      <c r="BA14" s="67">
        <f t="shared" si="19"/>
        <v>1.74804785384615</v>
      </c>
      <c r="BB14" s="78"/>
      <c r="BH14" s="99"/>
    </row>
    <row r="15" ht="30" customHeight="1" spans="1:54">
      <c r="A15" s="64">
        <v>10</v>
      </c>
      <c r="B15" s="65" t="s">
        <v>94</v>
      </c>
      <c r="C15" s="65" t="s">
        <v>94</v>
      </c>
      <c r="D15" s="65" t="s">
        <v>86</v>
      </c>
      <c r="E15" s="65" t="s">
        <v>95</v>
      </c>
      <c r="F15" s="66">
        <v>92.56</v>
      </c>
      <c r="G15" s="67">
        <f t="shared" si="0"/>
        <v>15.3066917458946</v>
      </c>
      <c r="H15" s="67">
        <f t="shared" si="1"/>
        <v>1416.787388</v>
      </c>
      <c r="I15" s="75">
        <v>3</v>
      </c>
      <c r="J15" s="75">
        <v>3</v>
      </c>
      <c r="K15" s="76">
        <f t="shared" si="2"/>
        <v>1225.932864</v>
      </c>
      <c r="L15" s="76">
        <f t="shared" si="3"/>
        <v>670.572864</v>
      </c>
      <c r="M15" s="75">
        <v>2</v>
      </c>
      <c r="N15" s="77">
        <v>0</v>
      </c>
      <c r="O15" s="75">
        <v>0</v>
      </c>
      <c r="P15" s="67">
        <f t="shared" si="4"/>
        <v>185.12</v>
      </c>
      <c r="Q15" s="77">
        <v>746.214524</v>
      </c>
      <c r="R15" s="67">
        <f t="shared" si="5"/>
        <v>555.36</v>
      </c>
      <c r="S15" s="67">
        <v>0</v>
      </c>
      <c r="T15" s="76">
        <f t="shared" si="6"/>
        <v>289.4989</v>
      </c>
      <c r="U15" s="76"/>
      <c r="V15" s="77">
        <v>0</v>
      </c>
      <c r="W15" s="75">
        <v>0</v>
      </c>
      <c r="X15" s="76"/>
      <c r="Y15" s="77">
        <v>289.4989</v>
      </c>
      <c r="Z15" s="77">
        <v>0</v>
      </c>
      <c r="AA15" s="67">
        <f t="shared" si="7"/>
        <v>0</v>
      </c>
      <c r="AB15" s="77">
        <v>0</v>
      </c>
      <c r="AC15" s="67">
        <f t="shared" si="8"/>
        <v>0</v>
      </c>
      <c r="AD15" s="77">
        <v>0</v>
      </c>
      <c r="AE15" s="67">
        <f t="shared" si="9"/>
        <v>0</v>
      </c>
      <c r="AF15" s="82">
        <v>0</v>
      </c>
      <c r="AG15" s="67">
        <f t="shared" si="10"/>
        <v>0</v>
      </c>
      <c r="AH15" s="77">
        <v>0</v>
      </c>
      <c r="AI15" s="67">
        <f t="shared" si="11"/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381.073964</v>
      </c>
      <c r="AP15" s="67">
        <f t="shared" si="12"/>
        <v>185.12</v>
      </c>
      <c r="AQ15" s="91">
        <f t="shared" si="13"/>
        <v>0.37024</v>
      </c>
      <c r="AR15" s="92">
        <f t="shared" si="14"/>
        <v>0</v>
      </c>
      <c r="AS15" s="67">
        <f t="shared" si="15"/>
        <v>0.18512</v>
      </c>
      <c r="AT15" s="75">
        <v>0</v>
      </c>
      <c r="AU15" s="67">
        <f t="shared" si="16"/>
        <v>0.0385998533333333</v>
      </c>
      <c r="AV15" s="71">
        <f t="shared" si="17"/>
        <v>0.158674285714286</v>
      </c>
      <c r="AW15" s="71"/>
      <c r="AX15" s="67"/>
      <c r="AY15" s="67">
        <f t="shared" si="18"/>
        <v>0.03048591712</v>
      </c>
      <c r="AZ15" s="67"/>
      <c r="BA15" s="67">
        <f t="shared" si="19"/>
        <v>0.197274139047619</v>
      </c>
      <c r="BB15" s="75"/>
    </row>
    <row r="16" ht="30" customHeight="1" spans="1:54">
      <c r="A16" s="64">
        <v>11</v>
      </c>
      <c r="B16" s="65" t="s">
        <v>96</v>
      </c>
      <c r="C16" s="65" t="s">
        <v>96</v>
      </c>
      <c r="D16" s="65" t="s">
        <v>97</v>
      </c>
      <c r="E16" s="65" t="s">
        <v>98</v>
      </c>
      <c r="F16" s="66">
        <v>334.02</v>
      </c>
      <c r="G16" s="67">
        <f t="shared" si="0"/>
        <v>7.11109340159272</v>
      </c>
      <c r="H16" s="67">
        <f t="shared" si="1"/>
        <v>2375.247418</v>
      </c>
      <c r="I16" s="75">
        <v>3</v>
      </c>
      <c r="J16" s="75">
        <v>3</v>
      </c>
      <c r="K16" s="76">
        <f t="shared" si="2"/>
        <v>2487.847412</v>
      </c>
      <c r="L16" s="76">
        <f t="shared" si="3"/>
        <v>483.727412</v>
      </c>
      <c r="M16" s="75">
        <v>0</v>
      </c>
      <c r="N16" s="77">
        <v>0</v>
      </c>
      <c r="O16" s="75">
        <v>0</v>
      </c>
      <c r="P16" s="67">
        <f t="shared" si="4"/>
        <v>668.04</v>
      </c>
      <c r="Q16" s="77">
        <v>1891.520006</v>
      </c>
      <c r="R16" s="67">
        <f t="shared" si="5"/>
        <v>2004.12</v>
      </c>
      <c r="S16" s="67">
        <v>0</v>
      </c>
      <c r="T16" s="76">
        <f t="shared" si="6"/>
        <v>304.519918</v>
      </c>
      <c r="U16" s="76"/>
      <c r="V16" s="77">
        <v>0</v>
      </c>
      <c r="W16" s="75">
        <v>0</v>
      </c>
      <c r="X16" s="76"/>
      <c r="Y16" s="77">
        <v>282.74332</v>
      </c>
      <c r="Z16" s="77">
        <v>0</v>
      </c>
      <c r="AA16" s="67">
        <f t="shared" si="7"/>
        <v>0</v>
      </c>
      <c r="AB16" s="77">
        <v>0</v>
      </c>
      <c r="AC16" s="67">
        <f t="shared" si="8"/>
        <v>0</v>
      </c>
      <c r="AD16" s="77">
        <v>0</v>
      </c>
      <c r="AE16" s="67">
        <f t="shared" si="9"/>
        <v>0</v>
      </c>
      <c r="AF16" s="82">
        <v>0</v>
      </c>
      <c r="AG16" s="67">
        <f t="shared" si="10"/>
        <v>0</v>
      </c>
      <c r="AH16" s="77">
        <v>0</v>
      </c>
      <c r="AI16" s="67">
        <f t="shared" si="11"/>
        <v>0</v>
      </c>
      <c r="AJ16" s="77">
        <v>21.776598</v>
      </c>
      <c r="AK16" s="77">
        <v>0</v>
      </c>
      <c r="AL16" s="77">
        <v>0</v>
      </c>
      <c r="AM16" s="77">
        <v>0</v>
      </c>
      <c r="AN16" s="77">
        <v>0</v>
      </c>
      <c r="AO16" s="77">
        <v>179.207494</v>
      </c>
      <c r="AP16" s="67">
        <f t="shared" si="12"/>
        <v>668.04</v>
      </c>
      <c r="AQ16" s="91">
        <f t="shared" si="13"/>
        <v>1.33608</v>
      </c>
      <c r="AR16" s="92">
        <f t="shared" si="14"/>
        <v>0</v>
      </c>
      <c r="AS16" s="67">
        <f t="shared" si="15"/>
        <v>0.66804</v>
      </c>
      <c r="AT16" s="75">
        <v>0</v>
      </c>
      <c r="AU16" s="67">
        <f t="shared" si="16"/>
        <v>0.0406026557333333</v>
      </c>
      <c r="AV16" s="71">
        <f t="shared" si="17"/>
        <v>0.572605714285714</v>
      </c>
      <c r="AW16" s="71"/>
      <c r="AX16" s="67"/>
      <c r="AY16" s="67">
        <f t="shared" si="18"/>
        <v>0.01433659952</v>
      </c>
      <c r="AZ16" s="67"/>
      <c r="BA16" s="67">
        <f t="shared" si="19"/>
        <v>0.613208370019047</v>
      </c>
      <c r="BB16" s="75"/>
    </row>
    <row r="17" spans="1:54">
      <c r="A17" s="64">
        <v>12</v>
      </c>
      <c r="B17" s="65" t="s">
        <v>99</v>
      </c>
      <c r="C17" s="65" t="s">
        <v>99</v>
      </c>
      <c r="D17" s="65" t="s">
        <v>96</v>
      </c>
      <c r="E17" s="65" t="s">
        <v>98</v>
      </c>
      <c r="F17" s="66">
        <v>227.96</v>
      </c>
      <c r="G17" s="67">
        <f t="shared" si="0"/>
        <v>11.4927539480611</v>
      </c>
      <c r="H17" s="67">
        <f t="shared" si="1"/>
        <v>2619.88819</v>
      </c>
      <c r="I17" s="75">
        <v>3</v>
      </c>
      <c r="J17" s="75">
        <v>3</v>
      </c>
      <c r="K17" s="76">
        <f t="shared" si="2"/>
        <v>2718.855654</v>
      </c>
      <c r="L17" s="76">
        <f t="shared" si="3"/>
        <v>1351.095654</v>
      </c>
      <c r="M17" s="75">
        <v>0</v>
      </c>
      <c r="N17" s="77">
        <v>0</v>
      </c>
      <c r="O17" s="75">
        <v>0</v>
      </c>
      <c r="P17" s="67">
        <f t="shared" si="4"/>
        <v>455.92</v>
      </c>
      <c r="Q17" s="77">
        <v>1268.792536</v>
      </c>
      <c r="R17" s="67">
        <f t="shared" si="5"/>
        <v>1367.76</v>
      </c>
      <c r="S17" s="67">
        <v>0</v>
      </c>
      <c r="T17" s="76">
        <f t="shared" si="6"/>
        <v>915.163358</v>
      </c>
      <c r="U17" s="76"/>
      <c r="V17" s="77">
        <v>0</v>
      </c>
      <c r="W17" s="75">
        <v>0</v>
      </c>
      <c r="X17" s="76"/>
      <c r="Y17" s="77">
        <v>432.592348</v>
      </c>
      <c r="Z17" s="77">
        <v>0</v>
      </c>
      <c r="AA17" s="67">
        <f t="shared" si="7"/>
        <v>0</v>
      </c>
      <c r="AB17" s="77">
        <v>0</v>
      </c>
      <c r="AC17" s="67">
        <f t="shared" si="8"/>
        <v>0</v>
      </c>
      <c r="AD17" s="77">
        <v>0</v>
      </c>
      <c r="AE17" s="67">
        <f t="shared" si="9"/>
        <v>0</v>
      </c>
      <c r="AF17" s="82">
        <v>0</v>
      </c>
      <c r="AG17" s="67">
        <f t="shared" si="10"/>
        <v>0</v>
      </c>
      <c r="AH17" s="77">
        <v>0</v>
      </c>
      <c r="AI17" s="67">
        <f t="shared" si="11"/>
        <v>0</v>
      </c>
      <c r="AJ17" s="77">
        <v>0</v>
      </c>
      <c r="AK17" s="77">
        <v>482.57101</v>
      </c>
      <c r="AL17" s="77">
        <v>0</v>
      </c>
      <c r="AM17" s="77">
        <v>0</v>
      </c>
      <c r="AN17" s="77">
        <v>0</v>
      </c>
      <c r="AO17" s="77">
        <v>435.932296</v>
      </c>
      <c r="AP17" s="67">
        <f t="shared" si="12"/>
        <v>455.92</v>
      </c>
      <c r="AQ17" s="91">
        <f t="shared" si="13"/>
        <v>0.91184</v>
      </c>
      <c r="AR17" s="92">
        <f t="shared" si="14"/>
        <v>0</v>
      </c>
      <c r="AS17" s="67">
        <f t="shared" si="15"/>
        <v>0.45592</v>
      </c>
      <c r="AT17" s="75">
        <v>0</v>
      </c>
      <c r="AU17" s="67">
        <f t="shared" si="16"/>
        <v>0.122021781066667</v>
      </c>
      <c r="AV17" s="71">
        <f t="shared" si="17"/>
        <v>0.390788571428571</v>
      </c>
      <c r="AW17" s="71"/>
      <c r="AX17" s="67"/>
      <c r="AY17" s="67">
        <f t="shared" si="18"/>
        <v>0.03487458368</v>
      </c>
      <c r="AZ17" s="67"/>
      <c r="BA17" s="67">
        <f t="shared" si="19"/>
        <v>0.512810352495238</v>
      </c>
      <c r="BB17" s="75"/>
    </row>
    <row r="18" spans="1:54">
      <c r="A18" s="64">
        <v>13</v>
      </c>
      <c r="B18" s="65" t="s">
        <v>100</v>
      </c>
      <c r="C18" s="65" t="s">
        <v>100</v>
      </c>
      <c r="D18" s="65" t="s">
        <v>99</v>
      </c>
      <c r="E18" s="65" t="s">
        <v>97</v>
      </c>
      <c r="F18" s="66">
        <v>85.09</v>
      </c>
      <c r="G18" s="67">
        <f t="shared" si="0"/>
        <v>8.52016817487366</v>
      </c>
      <c r="H18" s="67">
        <f t="shared" si="1"/>
        <v>724.98111</v>
      </c>
      <c r="I18" s="75">
        <v>3</v>
      </c>
      <c r="J18" s="75">
        <v>3</v>
      </c>
      <c r="K18" s="76">
        <f t="shared" si="2"/>
        <v>829.881869</v>
      </c>
      <c r="L18" s="76">
        <f t="shared" si="3"/>
        <v>319.341869</v>
      </c>
      <c r="M18" s="75">
        <v>0</v>
      </c>
      <c r="N18" s="77">
        <v>0</v>
      </c>
      <c r="O18" s="75">
        <v>0</v>
      </c>
      <c r="P18" s="67">
        <f t="shared" si="4"/>
        <v>170.18</v>
      </c>
      <c r="Q18" s="77">
        <v>405.639241</v>
      </c>
      <c r="R18" s="67">
        <f t="shared" si="5"/>
        <v>510.54</v>
      </c>
      <c r="S18" s="67">
        <v>0</v>
      </c>
      <c r="T18" s="76">
        <f t="shared" si="6"/>
        <v>319.341869</v>
      </c>
      <c r="U18" s="76"/>
      <c r="V18" s="77">
        <v>0</v>
      </c>
      <c r="W18" s="75">
        <v>0</v>
      </c>
      <c r="X18" s="76"/>
      <c r="Y18" s="77">
        <v>319.341869</v>
      </c>
      <c r="Z18" s="77">
        <v>0</v>
      </c>
      <c r="AA18" s="67">
        <f t="shared" si="7"/>
        <v>0</v>
      </c>
      <c r="AB18" s="77">
        <v>0</v>
      </c>
      <c r="AC18" s="67">
        <f t="shared" si="8"/>
        <v>0</v>
      </c>
      <c r="AD18" s="77">
        <v>0</v>
      </c>
      <c r="AE18" s="67">
        <f t="shared" si="9"/>
        <v>0</v>
      </c>
      <c r="AF18" s="82">
        <v>0</v>
      </c>
      <c r="AG18" s="67">
        <f t="shared" si="10"/>
        <v>0</v>
      </c>
      <c r="AH18" s="77">
        <v>0</v>
      </c>
      <c r="AI18" s="67">
        <f t="shared" si="11"/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67">
        <f t="shared" si="12"/>
        <v>170.18</v>
      </c>
      <c r="AQ18" s="91">
        <f t="shared" si="13"/>
        <v>0.34036</v>
      </c>
      <c r="AR18" s="92">
        <f t="shared" si="14"/>
        <v>0</v>
      </c>
      <c r="AS18" s="67">
        <f t="shared" si="15"/>
        <v>0.17018</v>
      </c>
      <c r="AT18" s="75">
        <v>0</v>
      </c>
      <c r="AU18" s="67">
        <f t="shared" si="16"/>
        <v>0.0425789158666667</v>
      </c>
      <c r="AV18" s="71">
        <f t="shared" si="17"/>
        <v>0.145868571428571</v>
      </c>
      <c r="AW18" s="71"/>
      <c r="AX18" s="67"/>
      <c r="AY18" s="67">
        <f t="shared" si="18"/>
        <v>0</v>
      </c>
      <c r="AZ18" s="67"/>
      <c r="BA18" s="67">
        <f t="shared" si="19"/>
        <v>0.188447487295238</v>
      </c>
      <c r="BB18" s="75"/>
    </row>
    <row r="19" spans="1:54">
      <c r="A19" s="64">
        <v>14</v>
      </c>
      <c r="B19" s="65" t="s">
        <v>101</v>
      </c>
      <c r="C19" s="65" t="s">
        <v>101</v>
      </c>
      <c r="D19" s="65" t="s">
        <v>102</v>
      </c>
      <c r="E19" s="65" t="s">
        <v>97</v>
      </c>
      <c r="F19" s="66">
        <v>120.58</v>
      </c>
      <c r="G19" s="67">
        <f t="shared" si="0"/>
        <v>9.57032517001161</v>
      </c>
      <c r="H19" s="67">
        <f t="shared" si="1"/>
        <v>1153.989809</v>
      </c>
      <c r="I19" s="75">
        <v>3</v>
      </c>
      <c r="J19" s="75">
        <v>3</v>
      </c>
      <c r="K19" s="76">
        <f t="shared" si="2"/>
        <v>972.653309</v>
      </c>
      <c r="L19" s="76">
        <f t="shared" si="3"/>
        <v>249.173309</v>
      </c>
      <c r="M19" s="75">
        <v>0</v>
      </c>
      <c r="N19" s="77">
        <v>0</v>
      </c>
      <c r="O19" s="75">
        <v>0</v>
      </c>
      <c r="P19" s="67">
        <f t="shared" si="4"/>
        <v>241.16</v>
      </c>
      <c r="Q19" s="77">
        <v>904.8165</v>
      </c>
      <c r="R19" s="67">
        <f t="shared" si="5"/>
        <v>723.48</v>
      </c>
      <c r="S19" s="67">
        <v>0</v>
      </c>
      <c r="T19" s="76">
        <f t="shared" si="6"/>
        <v>15.871877</v>
      </c>
      <c r="U19" s="76"/>
      <c r="V19" s="77">
        <v>0</v>
      </c>
      <c r="W19" s="75">
        <v>0</v>
      </c>
      <c r="X19" s="76"/>
      <c r="Y19" s="77">
        <v>0</v>
      </c>
      <c r="Z19" s="77">
        <v>0</v>
      </c>
      <c r="AA19" s="67">
        <f t="shared" si="7"/>
        <v>0</v>
      </c>
      <c r="AB19" s="77">
        <v>0</v>
      </c>
      <c r="AC19" s="67">
        <f t="shared" si="8"/>
        <v>0</v>
      </c>
      <c r="AD19" s="77">
        <v>0</v>
      </c>
      <c r="AE19" s="67">
        <f t="shared" si="9"/>
        <v>0</v>
      </c>
      <c r="AF19" s="82">
        <v>0</v>
      </c>
      <c r="AG19" s="67">
        <f t="shared" si="10"/>
        <v>0</v>
      </c>
      <c r="AH19" s="77">
        <v>0</v>
      </c>
      <c r="AI19" s="67">
        <f t="shared" si="11"/>
        <v>0</v>
      </c>
      <c r="AJ19" s="77">
        <v>15.871877</v>
      </c>
      <c r="AK19" s="77">
        <v>0</v>
      </c>
      <c r="AL19" s="77">
        <v>0</v>
      </c>
      <c r="AM19" s="77">
        <v>0</v>
      </c>
      <c r="AN19" s="77">
        <v>0</v>
      </c>
      <c r="AO19" s="77">
        <v>233.301432</v>
      </c>
      <c r="AP19" s="67">
        <f t="shared" si="12"/>
        <v>241.16</v>
      </c>
      <c r="AQ19" s="91">
        <f t="shared" si="13"/>
        <v>0.48232</v>
      </c>
      <c r="AR19" s="92">
        <f t="shared" si="14"/>
        <v>0</v>
      </c>
      <c r="AS19" s="67">
        <f t="shared" si="15"/>
        <v>0.24116</v>
      </c>
      <c r="AT19" s="75">
        <v>0</v>
      </c>
      <c r="AU19" s="67">
        <f t="shared" si="16"/>
        <v>0.00211625026666667</v>
      </c>
      <c r="AV19" s="71">
        <f t="shared" si="17"/>
        <v>0.206708571428571</v>
      </c>
      <c r="AW19" s="71"/>
      <c r="AX19" s="67"/>
      <c r="AY19" s="67">
        <f t="shared" si="18"/>
        <v>0.01866411456</v>
      </c>
      <c r="AZ19" s="67"/>
      <c r="BA19" s="67">
        <f t="shared" si="19"/>
        <v>0.208824821695238</v>
      </c>
      <c r="BB19" s="75"/>
    </row>
    <row r="20" spans="1:54">
      <c r="A20" s="64">
        <v>15</v>
      </c>
      <c r="B20" s="65" t="s">
        <v>103</v>
      </c>
      <c r="C20" s="65" t="s">
        <v>103</v>
      </c>
      <c r="D20" s="65" t="s">
        <v>104</v>
      </c>
      <c r="E20" s="65" t="s">
        <v>102</v>
      </c>
      <c r="F20" s="66">
        <v>53.91</v>
      </c>
      <c r="G20" s="67">
        <f t="shared" si="0"/>
        <v>6.64657842700798</v>
      </c>
      <c r="H20" s="67">
        <f t="shared" si="1"/>
        <v>358.317043</v>
      </c>
      <c r="I20" s="75">
        <v>3</v>
      </c>
      <c r="J20" s="75">
        <v>3</v>
      </c>
      <c r="K20" s="76">
        <f t="shared" si="2"/>
        <v>351.724952</v>
      </c>
      <c r="L20" s="76">
        <f t="shared" si="3"/>
        <v>28.264952</v>
      </c>
      <c r="M20" s="75">
        <v>0</v>
      </c>
      <c r="N20" s="77">
        <v>0</v>
      </c>
      <c r="O20" s="75">
        <v>0</v>
      </c>
      <c r="P20" s="67">
        <f t="shared" si="4"/>
        <v>107.82</v>
      </c>
      <c r="Q20" s="77">
        <v>330.052091</v>
      </c>
      <c r="R20" s="67">
        <f t="shared" si="5"/>
        <v>323.46</v>
      </c>
      <c r="S20" s="67">
        <v>0</v>
      </c>
      <c r="T20" s="76">
        <f t="shared" si="6"/>
        <v>0</v>
      </c>
      <c r="U20" s="76"/>
      <c r="V20" s="77">
        <v>0</v>
      </c>
      <c r="W20" s="75">
        <v>0</v>
      </c>
      <c r="X20" s="76"/>
      <c r="Y20" s="77">
        <v>0</v>
      </c>
      <c r="Z20" s="77">
        <v>0</v>
      </c>
      <c r="AA20" s="67">
        <f t="shared" si="7"/>
        <v>0</v>
      </c>
      <c r="AB20" s="77">
        <v>0</v>
      </c>
      <c r="AC20" s="67">
        <f t="shared" si="8"/>
        <v>0</v>
      </c>
      <c r="AD20" s="77">
        <v>0</v>
      </c>
      <c r="AE20" s="67">
        <f t="shared" si="9"/>
        <v>0</v>
      </c>
      <c r="AF20" s="82">
        <v>0</v>
      </c>
      <c r="AG20" s="67">
        <f t="shared" si="10"/>
        <v>0</v>
      </c>
      <c r="AH20" s="77">
        <v>0</v>
      </c>
      <c r="AI20" s="67">
        <f t="shared" si="11"/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28.264952</v>
      </c>
      <c r="AP20" s="67">
        <f t="shared" si="12"/>
        <v>107.82</v>
      </c>
      <c r="AQ20" s="91">
        <f t="shared" si="13"/>
        <v>0.21564</v>
      </c>
      <c r="AR20" s="92">
        <f t="shared" si="14"/>
        <v>0</v>
      </c>
      <c r="AS20" s="67">
        <f t="shared" si="15"/>
        <v>0.10782</v>
      </c>
      <c r="AT20" s="75">
        <v>0</v>
      </c>
      <c r="AU20" s="67">
        <f t="shared" si="16"/>
        <v>0</v>
      </c>
      <c r="AV20" s="71">
        <f t="shared" si="17"/>
        <v>0.0924171428571429</v>
      </c>
      <c r="AW20" s="71"/>
      <c r="AX20" s="67"/>
      <c r="AY20" s="67">
        <f t="shared" si="18"/>
        <v>0.00226119616</v>
      </c>
      <c r="AZ20" s="67"/>
      <c r="BA20" s="67">
        <f t="shared" si="19"/>
        <v>0.0924171428571429</v>
      </c>
      <c r="BB20" s="75"/>
    </row>
    <row r="21" spans="1:54">
      <c r="A21" s="64">
        <v>16</v>
      </c>
      <c r="B21" s="65" t="s">
        <v>105</v>
      </c>
      <c r="C21" s="65" t="s">
        <v>105</v>
      </c>
      <c r="D21" s="65" t="s">
        <v>104</v>
      </c>
      <c r="E21" s="65" t="s">
        <v>101</v>
      </c>
      <c r="F21" s="66">
        <v>73.34</v>
      </c>
      <c r="G21" s="67">
        <f t="shared" si="0"/>
        <v>6.78038592855195</v>
      </c>
      <c r="H21" s="67">
        <f t="shared" si="1"/>
        <v>497.273504</v>
      </c>
      <c r="I21" s="75">
        <v>3</v>
      </c>
      <c r="J21" s="75">
        <v>3</v>
      </c>
      <c r="K21" s="76">
        <f t="shared" si="2"/>
        <v>486.2092</v>
      </c>
      <c r="L21" s="76">
        <f t="shared" si="3"/>
        <v>46.1692</v>
      </c>
      <c r="M21" s="75">
        <v>0</v>
      </c>
      <c r="N21" s="77">
        <v>0</v>
      </c>
      <c r="O21" s="75">
        <v>0</v>
      </c>
      <c r="P21" s="67">
        <f t="shared" si="4"/>
        <v>146.68</v>
      </c>
      <c r="Q21" s="77">
        <v>451.104304</v>
      </c>
      <c r="R21" s="67">
        <f t="shared" si="5"/>
        <v>440.04</v>
      </c>
      <c r="S21" s="67">
        <v>0</v>
      </c>
      <c r="T21" s="76">
        <f t="shared" si="6"/>
        <v>13.422744</v>
      </c>
      <c r="U21" s="76"/>
      <c r="V21" s="77">
        <v>0</v>
      </c>
      <c r="W21" s="75">
        <v>0</v>
      </c>
      <c r="X21" s="76"/>
      <c r="Y21" s="77">
        <v>0</v>
      </c>
      <c r="Z21" s="77">
        <v>0</v>
      </c>
      <c r="AA21" s="67">
        <f t="shared" si="7"/>
        <v>0</v>
      </c>
      <c r="AB21" s="77">
        <v>0</v>
      </c>
      <c r="AC21" s="67">
        <f t="shared" si="8"/>
        <v>0</v>
      </c>
      <c r="AD21" s="77">
        <v>0</v>
      </c>
      <c r="AE21" s="67">
        <f t="shared" si="9"/>
        <v>0</v>
      </c>
      <c r="AF21" s="82">
        <v>0</v>
      </c>
      <c r="AG21" s="67">
        <f t="shared" si="10"/>
        <v>0</v>
      </c>
      <c r="AH21" s="77">
        <v>0</v>
      </c>
      <c r="AI21" s="67">
        <f t="shared" si="11"/>
        <v>0</v>
      </c>
      <c r="AJ21" s="77">
        <v>13.422744</v>
      </c>
      <c r="AK21" s="77">
        <v>0</v>
      </c>
      <c r="AL21" s="77">
        <v>0</v>
      </c>
      <c r="AM21" s="77">
        <v>0</v>
      </c>
      <c r="AN21" s="77">
        <v>0</v>
      </c>
      <c r="AO21" s="77">
        <v>32.746456</v>
      </c>
      <c r="AP21" s="67">
        <f t="shared" si="12"/>
        <v>146.68</v>
      </c>
      <c r="AQ21" s="91">
        <f t="shared" si="13"/>
        <v>0.29336</v>
      </c>
      <c r="AR21" s="92">
        <f t="shared" si="14"/>
        <v>0</v>
      </c>
      <c r="AS21" s="67">
        <f t="shared" si="15"/>
        <v>0.14668</v>
      </c>
      <c r="AT21" s="75">
        <v>0</v>
      </c>
      <c r="AU21" s="67">
        <f t="shared" si="16"/>
        <v>0.0017896992</v>
      </c>
      <c r="AV21" s="71">
        <f t="shared" si="17"/>
        <v>0.125725714285714</v>
      </c>
      <c r="AW21" s="71"/>
      <c r="AX21" s="67"/>
      <c r="AY21" s="67">
        <f t="shared" si="18"/>
        <v>0.00261971648</v>
      </c>
      <c r="AZ21" s="67"/>
      <c r="BA21" s="67">
        <f t="shared" si="19"/>
        <v>0.127515413485714</v>
      </c>
      <c r="BB21" s="75"/>
    </row>
    <row r="22" spans="1:54">
      <c r="A22" s="64">
        <v>17</v>
      </c>
      <c r="B22" s="65" t="s">
        <v>106</v>
      </c>
      <c r="C22" s="65" t="s">
        <v>106</v>
      </c>
      <c r="D22" s="65" t="s">
        <v>104</v>
      </c>
      <c r="E22" s="65" t="s">
        <v>101</v>
      </c>
      <c r="F22" s="66">
        <v>73.06</v>
      </c>
      <c r="G22" s="67">
        <f t="shared" si="0"/>
        <v>7.08740324390911</v>
      </c>
      <c r="H22" s="67">
        <f t="shared" si="1"/>
        <v>517.805681</v>
      </c>
      <c r="I22" s="75">
        <v>3</v>
      </c>
      <c r="J22" s="75">
        <v>3</v>
      </c>
      <c r="K22" s="76">
        <f t="shared" si="2"/>
        <v>491.650857</v>
      </c>
      <c r="L22" s="76">
        <f t="shared" si="3"/>
        <v>53.290857</v>
      </c>
      <c r="M22" s="75">
        <v>0</v>
      </c>
      <c r="N22" s="77">
        <v>0</v>
      </c>
      <c r="O22" s="75">
        <v>0</v>
      </c>
      <c r="P22" s="67">
        <f t="shared" si="4"/>
        <v>146.12</v>
      </c>
      <c r="Q22" s="77">
        <v>464.514824</v>
      </c>
      <c r="R22" s="67">
        <f t="shared" si="5"/>
        <v>438.36</v>
      </c>
      <c r="S22" s="67">
        <v>0</v>
      </c>
      <c r="T22" s="76">
        <f t="shared" si="6"/>
        <v>0</v>
      </c>
      <c r="U22" s="76"/>
      <c r="V22" s="77">
        <v>0</v>
      </c>
      <c r="W22" s="75">
        <v>0</v>
      </c>
      <c r="X22" s="76"/>
      <c r="Y22" s="77">
        <v>0</v>
      </c>
      <c r="Z22" s="77">
        <v>0</v>
      </c>
      <c r="AA22" s="67">
        <f t="shared" si="7"/>
        <v>0</v>
      </c>
      <c r="AB22" s="77">
        <v>0</v>
      </c>
      <c r="AC22" s="67">
        <f t="shared" si="8"/>
        <v>0</v>
      </c>
      <c r="AD22" s="77">
        <v>0</v>
      </c>
      <c r="AE22" s="67">
        <f t="shared" si="9"/>
        <v>0</v>
      </c>
      <c r="AF22" s="82">
        <v>0</v>
      </c>
      <c r="AG22" s="67">
        <f t="shared" si="10"/>
        <v>0</v>
      </c>
      <c r="AH22" s="77">
        <v>0</v>
      </c>
      <c r="AI22" s="67">
        <f t="shared" si="11"/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53.290857</v>
      </c>
      <c r="AP22" s="67">
        <f t="shared" si="12"/>
        <v>146.12</v>
      </c>
      <c r="AQ22" s="91">
        <f t="shared" si="13"/>
        <v>0.29224</v>
      </c>
      <c r="AR22" s="92">
        <f t="shared" si="14"/>
        <v>0</v>
      </c>
      <c r="AS22" s="67">
        <f t="shared" si="15"/>
        <v>0.14612</v>
      </c>
      <c r="AT22" s="75">
        <v>0</v>
      </c>
      <c r="AU22" s="67">
        <f t="shared" si="16"/>
        <v>0</v>
      </c>
      <c r="AV22" s="71">
        <f t="shared" si="17"/>
        <v>0.125245714285714</v>
      </c>
      <c r="AW22" s="71"/>
      <c r="AX22" s="67"/>
      <c r="AY22" s="67">
        <f t="shared" si="18"/>
        <v>0.00426326856</v>
      </c>
      <c r="AZ22" s="67"/>
      <c r="BA22" s="67">
        <f t="shared" si="19"/>
        <v>0.125245714285714</v>
      </c>
      <c r="BB22" s="75"/>
    </row>
    <row r="23" spans="1:54">
      <c r="A23" s="64">
        <v>18</v>
      </c>
      <c r="B23" s="65" t="s">
        <v>107</v>
      </c>
      <c r="C23" s="65" t="s">
        <v>107</v>
      </c>
      <c r="D23" s="65" t="s">
        <v>97</v>
      </c>
      <c r="E23" s="65" t="s">
        <v>101</v>
      </c>
      <c r="F23" s="66">
        <v>66.79</v>
      </c>
      <c r="G23" s="67">
        <f t="shared" si="0"/>
        <v>7.49090369815841</v>
      </c>
      <c r="H23" s="67">
        <f t="shared" si="1"/>
        <v>500.317458</v>
      </c>
      <c r="I23" s="75">
        <v>3</v>
      </c>
      <c r="J23" s="75">
        <v>3</v>
      </c>
      <c r="K23" s="76">
        <f t="shared" si="2"/>
        <v>497.936739</v>
      </c>
      <c r="L23" s="76">
        <f t="shared" si="3"/>
        <v>97.196739</v>
      </c>
      <c r="M23" s="75">
        <v>0</v>
      </c>
      <c r="N23" s="77">
        <v>0</v>
      </c>
      <c r="O23" s="75">
        <v>0</v>
      </c>
      <c r="P23" s="67">
        <f t="shared" si="4"/>
        <v>133.58</v>
      </c>
      <c r="Q23" s="77">
        <v>403.120719</v>
      </c>
      <c r="R23" s="67">
        <f t="shared" si="5"/>
        <v>400.74</v>
      </c>
      <c r="S23" s="67">
        <v>0</v>
      </c>
      <c r="T23" s="76">
        <f t="shared" si="6"/>
        <v>2.076414</v>
      </c>
      <c r="U23" s="76"/>
      <c r="V23" s="77">
        <v>0</v>
      </c>
      <c r="W23" s="75">
        <v>0</v>
      </c>
      <c r="X23" s="76"/>
      <c r="Y23" s="77">
        <v>0</v>
      </c>
      <c r="Z23" s="77">
        <v>0</v>
      </c>
      <c r="AA23" s="67">
        <f t="shared" si="7"/>
        <v>0</v>
      </c>
      <c r="AB23" s="77">
        <v>0</v>
      </c>
      <c r="AC23" s="67">
        <f t="shared" si="8"/>
        <v>0</v>
      </c>
      <c r="AD23" s="77">
        <v>0</v>
      </c>
      <c r="AE23" s="67">
        <f t="shared" si="9"/>
        <v>0</v>
      </c>
      <c r="AF23" s="82">
        <v>0</v>
      </c>
      <c r="AG23" s="67">
        <f t="shared" si="10"/>
        <v>0</v>
      </c>
      <c r="AH23" s="77">
        <v>0</v>
      </c>
      <c r="AI23" s="67">
        <f t="shared" si="11"/>
        <v>0</v>
      </c>
      <c r="AJ23" s="77">
        <v>2.076414</v>
      </c>
      <c r="AK23" s="77">
        <v>0</v>
      </c>
      <c r="AL23" s="77">
        <v>0</v>
      </c>
      <c r="AM23" s="77">
        <v>0</v>
      </c>
      <c r="AN23" s="77">
        <v>0</v>
      </c>
      <c r="AO23" s="77">
        <v>95.120325</v>
      </c>
      <c r="AP23" s="67">
        <f t="shared" si="12"/>
        <v>133.58</v>
      </c>
      <c r="AQ23" s="91">
        <f t="shared" si="13"/>
        <v>0.26716</v>
      </c>
      <c r="AR23" s="92">
        <f t="shared" si="14"/>
        <v>0</v>
      </c>
      <c r="AS23" s="67">
        <f t="shared" si="15"/>
        <v>0.13358</v>
      </c>
      <c r="AT23" s="75">
        <v>0</v>
      </c>
      <c r="AU23" s="67">
        <f t="shared" si="16"/>
        <v>0.0002768552</v>
      </c>
      <c r="AV23" s="71">
        <f t="shared" si="17"/>
        <v>0.114497142857143</v>
      </c>
      <c r="AW23" s="71"/>
      <c r="AX23" s="67"/>
      <c r="AY23" s="67">
        <f t="shared" si="18"/>
        <v>0.007609626</v>
      </c>
      <c r="AZ23" s="67"/>
      <c r="BA23" s="67">
        <f t="shared" si="19"/>
        <v>0.114773998057143</v>
      </c>
      <c r="BB23" s="75"/>
    </row>
    <row r="24" spans="1:54">
      <c r="A24" s="64">
        <v>19</v>
      </c>
      <c r="B24" s="65" t="s">
        <v>108</v>
      </c>
      <c r="C24" s="65" t="s">
        <v>108</v>
      </c>
      <c r="D24" s="65" t="s">
        <v>97</v>
      </c>
      <c r="E24" s="65" t="s">
        <v>101</v>
      </c>
      <c r="F24" s="66">
        <v>39.94</v>
      </c>
      <c r="G24" s="67">
        <f t="shared" si="0"/>
        <v>7.63049066099149</v>
      </c>
      <c r="H24" s="67">
        <f t="shared" si="1"/>
        <v>304.761797</v>
      </c>
      <c r="I24" s="75">
        <v>3</v>
      </c>
      <c r="J24" s="75">
        <v>3</v>
      </c>
      <c r="K24" s="76">
        <f t="shared" si="2"/>
        <v>252.112339</v>
      </c>
      <c r="L24" s="76">
        <f t="shared" si="3"/>
        <v>12.472339</v>
      </c>
      <c r="M24" s="75">
        <v>0</v>
      </c>
      <c r="N24" s="77">
        <v>0</v>
      </c>
      <c r="O24" s="75">
        <v>0</v>
      </c>
      <c r="P24" s="67">
        <f t="shared" si="4"/>
        <v>79.88</v>
      </c>
      <c r="Q24" s="77">
        <v>292.289458</v>
      </c>
      <c r="R24" s="67">
        <f t="shared" si="5"/>
        <v>239.64</v>
      </c>
      <c r="S24" s="67">
        <v>0</v>
      </c>
      <c r="T24" s="76">
        <f t="shared" si="6"/>
        <v>4.693533</v>
      </c>
      <c r="U24" s="76"/>
      <c r="V24" s="77">
        <v>0</v>
      </c>
      <c r="W24" s="75">
        <v>0</v>
      </c>
      <c r="X24" s="76"/>
      <c r="Y24" s="77">
        <v>0</v>
      </c>
      <c r="Z24" s="77">
        <v>0</v>
      </c>
      <c r="AA24" s="67">
        <f t="shared" si="7"/>
        <v>0</v>
      </c>
      <c r="AB24" s="77">
        <v>0</v>
      </c>
      <c r="AC24" s="67">
        <f t="shared" si="8"/>
        <v>0</v>
      </c>
      <c r="AD24" s="77">
        <v>0</v>
      </c>
      <c r="AE24" s="67">
        <f t="shared" si="9"/>
        <v>0</v>
      </c>
      <c r="AF24" s="82">
        <v>0</v>
      </c>
      <c r="AG24" s="67">
        <f t="shared" si="10"/>
        <v>0</v>
      </c>
      <c r="AH24" s="77">
        <v>0</v>
      </c>
      <c r="AI24" s="67">
        <f t="shared" si="11"/>
        <v>0</v>
      </c>
      <c r="AJ24" s="77">
        <v>4.693533</v>
      </c>
      <c r="AK24" s="77">
        <v>0</v>
      </c>
      <c r="AL24" s="77">
        <v>0</v>
      </c>
      <c r="AM24" s="77">
        <v>0</v>
      </c>
      <c r="AN24" s="77">
        <v>0</v>
      </c>
      <c r="AO24" s="77">
        <v>7.778806</v>
      </c>
      <c r="AP24" s="67">
        <f t="shared" si="12"/>
        <v>79.88</v>
      </c>
      <c r="AQ24" s="91">
        <f t="shared" si="13"/>
        <v>0.15976</v>
      </c>
      <c r="AR24" s="92">
        <f t="shared" si="14"/>
        <v>0</v>
      </c>
      <c r="AS24" s="67">
        <f t="shared" si="15"/>
        <v>0.07988</v>
      </c>
      <c r="AT24" s="75">
        <v>0</v>
      </c>
      <c r="AU24" s="67">
        <f t="shared" si="16"/>
        <v>0.0006258044</v>
      </c>
      <c r="AV24" s="71">
        <f t="shared" si="17"/>
        <v>0.0684685714285714</v>
      </c>
      <c r="AW24" s="71"/>
      <c r="AX24" s="67"/>
      <c r="AY24" s="67">
        <f t="shared" si="18"/>
        <v>0.00062230448</v>
      </c>
      <c r="AZ24" s="67"/>
      <c r="BA24" s="67">
        <f t="shared" si="19"/>
        <v>0.0690943758285714</v>
      </c>
      <c r="BB24" s="75"/>
    </row>
    <row r="25" spans="1:54">
      <c r="A25" s="64">
        <v>20</v>
      </c>
      <c r="B25" s="65" t="s">
        <v>109</v>
      </c>
      <c r="C25" s="65" t="s">
        <v>109</v>
      </c>
      <c r="D25" s="65" t="s">
        <v>101</v>
      </c>
      <c r="E25" s="65" t="s">
        <v>104</v>
      </c>
      <c r="F25" s="66">
        <v>65.66</v>
      </c>
      <c r="G25" s="67">
        <f t="shared" si="0"/>
        <v>5.48894859884252</v>
      </c>
      <c r="H25" s="67">
        <f t="shared" si="1"/>
        <v>360.404365</v>
      </c>
      <c r="I25" s="75">
        <v>3</v>
      </c>
      <c r="J25" s="75">
        <v>3</v>
      </c>
      <c r="K25" s="76">
        <f t="shared" si="2"/>
        <v>400.103376</v>
      </c>
      <c r="L25" s="76">
        <f t="shared" si="3"/>
        <v>6.143376</v>
      </c>
      <c r="M25" s="75">
        <v>0</v>
      </c>
      <c r="N25" s="77">
        <v>0</v>
      </c>
      <c r="O25" s="75">
        <v>0</v>
      </c>
      <c r="P25" s="67">
        <f t="shared" si="4"/>
        <v>131.32</v>
      </c>
      <c r="Q25" s="77">
        <v>354.260989</v>
      </c>
      <c r="R25" s="67">
        <f t="shared" si="5"/>
        <v>393.96</v>
      </c>
      <c r="S25" s="67">
        <v>0</v>
      </c>
      <c r="T25" s="76">
        <f t="shared" si="6"/>
        <v>6.143376</v>
      </c>
      <c r="U25" s="76"/>
      <c r="V25" s="77">
        <v>0</v>
      </c>
      <c r="W25" s="75">
        <v>0</v>
      </c>
      <c r="X25" s="76"/>
      <c r="Y25" s="77">
        <v>0</v>
      </c>
      <c r="Z25" s="77">
        <v>0</v>
      </c>
      <c r="AA25" s="67">
        <f t="shared" si="7"/>
        <v>0</v>
      </c>
      <c r="AB25" s="77">
        <v>0</v>
      </c>
      <c r="AC25" s="67">
        <f t="shared" si="8"/>
        <v>0</v>
      </c>
      <c r="AD25" s="77">
        <v>0</v>
      </c>
      <c r="AE25" s="67">
        <f t="shared" si="9"/>
        <v>0</v>
      </c>
      <c r="AF25" s="82">
        <v>0</v>
      </c>
      <c r="AG25" s="67">
        <f t="shared" si="10"/>
        <v>0</v>
      </c>
      <c r="AH25" s="77">
        <v>0</v>
      </c>
      <c r="AI25" s="67">
        <f t="shared" si="11"/>
        <v>0</v>
      </c>
      <c r="AJ25" s="77">
        <v>6.143376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67">
        <f t="shared" si="12"/>
        <v>131.32</v>
      </c>
      <c r="AQ25" s="91">
        <f t="shared" si="13"/>
        <v>0.26264</v>
      </c>
      <c r="AR25" s="92">
        <f t="shared" si="14"/>
        <v>0</v>
      </c>
      <c r="AS25" s="67">
        <f t="shared" si="15"/>
        <v>0.13132</v>
      </c>
      <c r="AT25" s="75">
        <v>0</v>
      </c>
      <c r="AU25" s="67">
        <f t="shared" si="16"/>
        <v>0.0008191168</v>
      </c>
      <c r="AV25" s="71">
        <f t="shared" si="17"/>
        <v>0.11256</v>
      </c>
      <c r="AW25" s="71"/>
      <c r="AX25" s="67"/>
      <c r="AY25" s="67">
        <f t="shared" si="18"/>
        <v>0</v>
      </c>
      <c r="AZ25" s="67"/>
      <c r="BA25" s="67">
        <f t="shared" si="19"/>
        <v>0.1133791168</v>
      </c>
      <c r="BB25" s="75"/>
    </row>
    <row r="26" spans="1:54">
      <c r="A26" s="64">
        <v>21</v>
      </c>
      <c r="B26" s="65" t="s">
        <v>110</v>
      </c>
      <c r="C26" s="65" t="s">
        <v>110</v>
      </c>
      <c r="D26" s="65" t="s">
        <v>101</v>
      </c>
      <c r="E26" s="65" t="s">
        <v>104</v>
      </c>
      <c r="F26" s="66">
        <v>60.23</v>
      </c>
      <c r="G26" s="67">
        <f t="shared" si="0"/>
        <v>5.28033020089656</v>
      </c>
      <c r="H26" s="67">
        <f t="shared" si="1"/>
        <v>318.034288</v>
      </c>
      <c r="I26" s="75">
        <v>3</v>
      </c>
      <c r="J26" s="75">
        <v>3</v>
      </c>
      <c r="K26" s="76">
        <f t="shared" si="2"/>
        <v>387.624944</v>
      </c>
      <c r="L26" s="76">
        <f t="shared" si="3"/>
        <v>26.244944</v>
      </c>
      <c r="M26" s="75">
        <v>0</v>
      </c>
      <c r="N26" s="77">
        <v>0</v>
      </c>
      <c r="O26" s="75">
        <v>0</v>
      </c>
      <c r="P26" s="67">
        <f t="shared" si="4"/>
        <v>120.46</v>
      </c>
      <c r="Q26" s="77">
        <v>291.789344</v>
      </c>
      <c r="R26" s="67">
        <f t="shared" si="5"/>
        <v>361.38</v>
      </c>
      <c r="S26" s="67">
        <v>0</v>
      </c>
      <c r="T26" s="76">
        <f t="shared" si="6"/>
        <v>0</v>
      </c>
      <c r="U26" s="76"/>
      <c r="V26" s="77">
        <v>0</v>
      </c>
      <c r="W26" s="75">
        <v>0</v>
      </c>
      <c r="X26" s="76"/>
      <c r="Y26" s="77">
        <v>0</v>
      </c>
      <c r="Z26" s="77">
        <v>0</v>
      </c>
      <c r="AA26" s="67">
        <f t="shared" si="7"/>
        <v>0</v>
      </c>
      <c r="AB26" s="77">
        <v>0</v>
      </c>
      <c r="AC26" s="67">
        <f t="shared" si="8"/>
        <v>0</v>
      </c>
      <c r="AD26" s="77">
        <v>0</v>
      </c>
      <c r="AE26" s="67">
        <f t="shared" si="9"/>
        <v>0</v>
      </c>
      <c r="AF26" s="82">
        <v>0</v>
      </c>
      <c r="AG26" s="67">
        <f t="shared" si="10"/>
        <v>0</v>
      </c>
      <c r="AH26" s="77">
        <v>0</v>
      </c>
      <c r="AI26" s="67">
        <f t="shared" si="11"/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26.244944</v>
      </c>
      <c r="AP26" s="67">
        <f t="shared" si="12"/>
        <v>120.46</v>
      </c>
      <c r="AQ26" s="91">
        <f t="shared" si="13"/>
        <v>0.24092</v>
      </c>
      <c r="AR26" s="92">
        <f t="shared" si="14"/>
        <v>0</v>
      </c>
      <c r="AS26" s="67">
        <f t="shared" si="15"/>
        <v>0.12046</v>
      </c>
      <c r="AT26" s="75">
        <v>0</v>
      </c>
      <c r="AU26" s="67">
        <f t="shared" si="16"/>
        <v>0</v>
      </c>
      <c r="AV26" s="71">
        <f t="shared" si="17"/>
        <v>0.103251428571429</v>
      </c>
      <c r="AW26" s="71"/>
      <c r="AX26" s="67"/>
      <c r="AY26" s="67">
        <f t="shared" si="18"/>
        <v>0.00209959552</v>
      </c>
      <c r="AZ26" s="67"/>
      <c r="BA26" s="67">
        <f t="shared" si="19"/>
        <v>0.103251428571429</v>
      </c>
      <c r="BB26" s="75"/>
    </row>
    <row r="27" s="51" customFormat="1" ht="13.5" customHeight="1" spans="1:60">
      <c r="A27" s="68">
        <v>22</v>
      </c>
      <c r="B27" s="69" t="s">
        <v>111</v>
      </c>
      <c r="C27" s="69" t="s">
        <v>111</v>
      </c>
      <c r="D27" s="69" t="s">
        <v>112</v>
      </c>
      <c r="E27" s="69" t="s">
        <v>113</v>
      </c>
      <c r="F27" s="70">
        <v>320.84</v>
      </c>
      <c r="G27" s="71">
        <f t="shared" si="0"/>
        <v>41.6302225314799</v>
      </c>
      <c r="H27" s="71">
        <f t="shared" si="1"/>
        <v>13356.640597</v>
      </c>
      <c r="I27" s="78">
        <v>1</v>
      </c>
      <c r="J27" s="78">
        <v>2</v>
      </c>
      <c r="K27" s="79">
        <f t="shared" si="2"/>
        <v>10425.897135</v>
      </c>
      <c r="L27" s="79">
        <f t="shared" si="3"/>
        <v>8500.857135</v>
      </c>
      <c r="M27" s="78">
        <v>2</v>
      </c>
      <c r="N27" s="80">
        <v>0</v>
      </c>
      <c r="O27" s="78">
        <v>0</v>
      </c>
      <c r="P27" s="71">
        <f t="shared" si="4"/>
        <v>641.68</v>
      </c>
      <c r="Q27" s="80">
        <v>4855.783462</v>
      </c>
      <c r="R27" s="71">
        <f t="shared" si="5"/>
        <v>1925.04</v>
      </c>
      <c r="S27" s="71">
        <v>0</v>
      </c>
      <c r="T27" s="79">
        <f t="shared" si="6"/>
        <v>1715.278404</v>
      </c>
      <c r="U27" s="79"/>
      <c r="V27" s="80">
        <v>0</v>
      </c>
      <c r="W27" s="78">
        <v>0</v>
      </c>
      <c r="X27" s="79"/>
      <c r="Y27" s="80">
        <v>1614.68971</v>
      </c>
      <c r="Z27" s="80">
        <v>0</v>
      </c>
      <c r="AA27" s="71">
        <f t="shared" si="7"/>
        <v>0</v>
      </c>
      <c r="AB27" s="80">
        <v>0</v>
      </c>
      <c r="AC27" s="71">
        <f t="shared" si="8"/>
        <v>0</v>
      </c>
      <c r="AD27" s="80">
        <v>0</v>
      </c>
      <c r="AE27" s="71">
        <f t="shared" si="9"/>
        <v>0</v>
      </c>
      <c r="AF27" s="83">
        <v>0</v>
      </c>
      <c r="AG27" s="71">
        <f t="shared" si="10"/>
        <v>0</v>
      </c>
      <c r="AH27" s="80">
        <v>50.294347</v>
      </c>
      <c r="AI27" s="71">
        <f t="shared" si="11"/>
        <v>100.588694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6785.578731</v>
      </c>
      <c r="AP27" s="71">
        <f t="shared" si="12"/>
        <v>641.68</v>
      </c>
      <c r="AQ27" s="93">
        <f t="shared" si="13"/>
        <v>0</v>
      </c>
      <c r="AR27" s="94">
        <f t="shared" si="14"/>
        <v>1.28336</v>
      </c>
      <c r="AS27" s="71">
        <f t="shared" si="15"/>
        <v>0.96252</v>
      </c>
      <c r="AT27" s="78">
        <v>4</v>
      </c>
      <c r="AU27" s="71">
        <f t="shared" si="16"/>
        <v>0.263888985230769</v>
      </c>
      <c r="AV27" s="71">
        <f t="shared" si="17"/>
        <v>0.770016</v>
      </c>
      <c r="AW27" s="96">
        <v>1</v>
      </c>
      <c r="AX27" s="71"/>
      <c r="AY27" s="71">
        <f t="shared" si="18"/>
        <v>0.54284629848</v>
      </c>
      <c r="AZ27" s="71"/>
      <c r="BA27" s="67">
        <f t="shared" si="19"/>
        <v>2.03390498523077</v>
      </c>
      <c r="BB27" s="78"/>
      <c r="BH27" s="99"/>
    </row>
    <row r="28" s="51" customFormat="1" ht="13.5" customHeight="1" spans="1:60">
      <c r="A28" s="68">
        <v>23</v>
      </c>
      <c r="B28" s="69" t="s">
        <v>111</v>
      </c>
      <c r="C28" s="69" t="s">
        <v>111</v>
      </c>
      <c r="D28" s="69" t="s">
        <v>102</v>
      </c>
      <c r="E28" s="69" t="s">
        <v>86</v>
      </c>
      <c r="F28" s="70">
        <v>331.04</v>
      </c>
      <c r="G28" s="71">
        <f t="shared" si="0"/>
        <v>38.8489986436684</v>
      </c>
      <c r="H28" s="71">
        <f t="shared" si="1"/>
        <v>12860.572511</v>
      </c>
      <c r="I28" s="78">
        <v>1</v>
      </c>
      <c r="J28" s="78">
        <v>1</v>
      </c>
      <c r="K28" s="79">
        <f t="shared" si="2"/>
        <v>9837.411334</v>
      </c>
      <c r="L28" s="79">
        <f t="shared" si="3"/>
        <v>7851.171334</v>
      </c>
      <c r="M28" s="78">
        <v>2</v>
      </c>
      <c r="N28" s="80">
        <v>0</v>
      </c>
      <c r="O28" s="78">
        <v>0</v>
      </c>
      <c r="P28" s="71">
        <f t="shared" si="4"/>
        <v>662.08</v>
      </c>
      <c r="Q28" s="80">
        <v>5009.401177</v>
      </c>
      <c r="R28" s="71">
        <f t="shared" si="5"/>
        <v>1986.24</v>
      </c>
      <c r="S28" s="71">
        <v>0</v>
      </c>
      <c r="T28" s="79">
        <f t="shared" si="6"/>
        <v>4702.845484</v>
      </c>
      <c r="U28" s="79"/>
      <c r="V28" s="80">
        <v>0</v>
      </c>
      <c r="W28" s="78">
        <v>0</v>
      </c>
      <c r="X28" s="79"/>
      <c r="Y28" s="80">
        <v>1330.875714</v>
      </c>
      <c r="Z28" s="80">
        <v>52.783336</v>
      </c>
      <c r="AA28" s="71">
        <f t="shared" si="7"/>
        <v>105.566672</v>
      </c>
      <c r="AB28" s="80">
        <v>0</v>
      </c>
      <c r="AC28" s="71">
        <f t="shared" si="8"/>
        <v>0</v>
      </c>
      <c r="AD28" s="80">
        <v>0</v>
      </c>
      <c r="AE28" s="71">
        <f t="shared" si="9"/>
        <v>0</v>
      </c>
      <c r="AF28" s="83">
        <v>0</v>
      </c>
      <c r="AG28" s="71">
        <f t="shared" si="10"/>
        <v>0</v>
      </c>
      <c r="AH28" s="80">
        <v>0</v>
      </c>
      <c r="AI28" s="71">
        <f t="shared" si="11"/>
        <v>0</v>
      </c>
      <c r="AJ28" s="80">
        <v>3371.96977</v>
      </c>
      <c r="AK28" s="80">
        <v>0</v>
      </c>
      <c r="AL28" s="80">
        <v>0</v>
      </c>
      <c r="AM28" s="80">
        <v>0</v>
      </c>
      <c r="AN28" s="80">
        <v>0</v>
      </c>
      <c r="AO28" s="80">
        <v>3042.759178</v>
      </c>
      <c r="AP28" s="71">
        <f t="shared" si="12"/>
        <v>662.08</v>
      </c>
      <c r="AQ28" s="93">
        <f t="shared" si="13"/>
        <v>0</v>
      </c>
      <c r="AR28" s="94">
        <f t="shared" si="14"/>
        <v>1.98624</v>
      </c>
      <c r="AS28" s="71">
        <f t="shared" si="15"/>
        <v>1.32416</v>
      </c>
      <c r="AT28" s="78">
        <v>6</v>
      </c>
      <c r="AU28" s="71">
        <f t="shared" si="16"/>
        <v>0.855062815272727</v>
      </c>
      <c r="AV28" s="71">
        <f t="shared" si="17"/>
        <v>1.13499428571429</v>
      </c>
      <c r="AW28" s="97"/>
      <c r="AX28" s="71"/>
      <c r="AY28" s="71">
        <f t="shared" si="18"/>
        <v>0.24342073424</v>
      </c>
      <c r="AZ28" s="71"/>
      <c r="BA28" s="67">
        <f t="shared" si="19"/>
        <v>1.99005710098701</v>
      </c>
      <c r="BB28" s="78"/>
      <c r="BH28" s="99"/>
    </row>
    <row r="29" s="51" customFormat="1" ht="13.5" customHeight="1" spans="1:60">
      <c r="A29" s="68">
        <v>24</v>
      </c>
      <c r="B29" s="69" t="s">
        <v>111</v>
      </c>
      <c r="C29" s="69" t="s">
        <v>111</v>
      </c>
      <c r="D29" s="69" t="s">
        <v>112</v>
      </c>
      <c r="E29" s="69" t="s">
        <v>114</v>
      </c>
      <c r="F29" s="70">
        <v>796.61</v>
      </c>
      <c r="G29" s="71">
        <f t="shared" si="0"/>
        <v>31.1578485921593</v>
      </c>
      <c r="H29" s="71">
        <f t="shared" si="1"/>
        <v>24820.653767</v>
      </c>
      <c r="I29" s="78">
        <v>1</v>
      </c>
      <c r="J29" s="78">
        <v>2</v>
      </c>
      <c r="K29" s="79">
        <f t="shared" si="2"/>
        <v>17550.833355</v>
      </c>
      <c r="L29" s="79">
        <f t="shared" si="3"/>
        <v>12771.173355</v>
      </c>
      <c r="M29" s="78">
        <v>2</v>
      </c>
      <c r="N29" s="80">
        <v>0</v>
      </c>
      <c r="O29" s="78">
        <v>0</v>
      </c>
      <c r="P29" s="71">
        <f t="shared" si="4"/>
        <v>1593.22</v>
      </c>
      <c r="Q29" s="80">
        <v>12049.480412</v>
      </c>
      <c r="R29" s="71">
        <f t="shared" si="5"/>
        <v>4779.66</v>
      </c>
      <c r="S29" s="71">
        <v>0</v>
      </c>
      <c r="T29" s="79">
        <f t="shared" si="6"/>
        <v>6212.929363</v>
      </c>
      <c r="U29" s="79"/>
      <c r="V29" s="80">
        <v>0</v>
      </c>
      <c r="W29" s="78">
        <v>0</v>
      </c>
      <c r="X29" s="79"/>
      <c r="Y29" s="80">
        <v>3464.05085</v>
      </c>
      <c r="Z29" s="80">
        <v>63.679795</v>
      </c>
      <c r="AA29" s="71">
        <f t="shared" si="7"/>
        <v>127.35959</v>
      </c>
      <c r="AB29" s="80">
        <v>0</v>
      </c>
      <c r="AC29" s="71">
        <f t="shared" si="8"/>
        <v>0</v>
      </c>
      <c r="AD29" s="80">
        <v>0</v>
      </c>
      <c r="AE29" s="71">
        <f t="shared" si="9"/>
        <v>0</v>
      </c>
      <c r="AF29" s="83">
        <v>0</v>
      </c>
      <c r="AG29" s="71">
        <f t="shared" si="10"/>
        <v>0</v>
      </c>
      <c r="AH29" s="80">
        <v>0</v>
      </c>
      <c r="AI29" s="71">
        <f t="shared" si="11"/>
        <v>0</v>
      </c>
      <c r="AJ29" s="80">
        <v>2443.101716</v>
      </c>
      <c r="AK29" s="80">
        <v>305.776797</v>
      </c>
      <c r="AL29" s="80">
        <v>0</v>
      </c>
      <c r="AM29" s="80">
        <v>0</v>
      </c>
      <c r="AN29" s="80">
        <v>0</v>
      </c>
      <c r="AO29" s="80">
        <v>6430.884402</v>
      </c>
      <c r="AP29" s="71">
        <f t="shared" si="12"/>
        <v>1593.22</v>
      </c>
      <c r="AQ29" s="93">
        <f t="shared" si="13"/>
        <v>0</v>
      </c>
      <c r="AR29" s="94">
        <f t="shared" si="14"/>
        <v>3.18644</v>
      </c>
      <c r="AS29" s="71">
        <f t="shared" si="15"/>
        <v>2.38983</v>
      </c>
      <c r="AT29" s="78">
        <v>10</v>
      </c>
      <c r="AU29" s="71">
        <f t="shared" si="16"/>
        <v>0.955835286615385</v>
      </c>
      <c r="AV29" s="71">
        <f t="shared" si="17"/>
        <v>1.911864</v>
      </c>
      <c r="AW29" s="97"/>
      <c r="AX29" s="71"/>
      <c r="AY29" s="71">
        <f t="shared" si="18"/>
        <v>0.51447075216</v>
      </c>
      <c r="AZ29" s="71"/>
      <c r="BA29" s="67">
        <f t="shared" si="19"/>
        <v>2.86769928661538</v>
      </c>
      <c r="BB29" s="78"/>
      <c r="BH29" s="99"/>
    </row>
    <row r="30" s="51" customFormat="1" ht="13.5" customHeight="1" spans="1:60">
      <c r="A30" s="68">
        <v>25</v>
      </c>
      <c r="B30" s="69" t="s">
        <v>111</v>
      </c>
      <c r="C30" s="69" t="s">
        <v>111</v>
      </c>
      <c r="D30" s="69" t="s">
        <v>114</v>
      </c>
      <c r="E30" s="69" t="s">
        <v>102</v>
      </c>
      <c r="F30" s="70">
        <v>338.03</v>
      </c>
      <c r="G30" s="71">
        <f t="shared" si="0"/>
        <v>52.1898589858888</v>
      </c>
      <c r="H30" s="71">
        <f t="shared" si="1"/>
        <v>17641.738033</v>
      </c>
      <c r="I30" s="78">
        <v>1</v>
      </c>
      <c r="J30" s="78">
        <v>1</v>
      </c>
      <c r="K30" s="79">
        <f t="shared" si="2"/>
        <v>14584.449751</v>
      </c>
      <c r="L30" s="79">
        <f t="shared" si="3"/>
        <v>12556.269751</v>
      </c>
      <c r="M30" s="78">
        <v>2</v>
      </c>
      <c r="N30" s="80">
        <v>0</v>
      </c>
      <c r="O30" s="78">
        <v>0</v>
      </c>
      <c r="P30" s="71">
        <f t="shared" si="4"/>
        <v>676.06</v>
      </c>
      <c r="Q30" s="80">
        <v>5085.468282</v>
      </c>
      <c r="R30" s="71">
        <f t="shared" si="5"/>
        <v>2028.18</v>
      </c>
      <c r="S30" s="71">
        <v>0</v>
      </c>
      <c r="T30" s="79">
        <f t="shared" si="6"/>
        <v>9178.431646</v>
      </c>
      <c r="U30" s="79"/>
      <c r="V30" s="80">
        <v>0</v>
      </c>
      <c r="W30" s="78">
        <v>0</v>
      </c>
      <c r="X30" s="79"/>
      <c r="Y30" s="80">
        <v>1345.339476</v>
      </c>
      <c r="Z30" s="80">
        <v>6.635899</v>
      </c>
      <c r="AA30" s="71">
        <f t="shared" si="7"/>
        <v>13.271798</v>
      </c>
      <c r="AB30" s="80">
        <v>0</v>
      </c>
      <c r="AC30" s="71">
        <f t="shared" si="8"/>
        <v>0</v>
      </c>
      <c r="AD30" s="80">
        <v>0</v>
      </c>
      <c r="AE30" s="71">
        <f t="shared" si="9"/>
        <v>0</v>
      </c>
      <c r="AF30" s="83">
        <v>0</v>
      </c>
      <c r="AG30" s="71">
        <f t="shared" si="10"/>
        <v>0</v>
      </c>
      <c r="AH30" s="80">
        <v>0</v>
      </c>
      <c r="AI30" s="71">
        <f t="shared" si="11"/>
        <v>0</v>
      </c>
      <c r="AJ30" s="80">
        <v>6087.91907</v>
      </c>
      <c r="AK30" s="80">
        <v>1745.1731</v>
      </c>
      <c r="AL30" s="80">
        <v>0</v>
      </c>
      <c r="AM30" s="80">
        <v>0</v>
      </c>
      <c r="AN30" s="80">
        <v>0</v>
      </c>
      <c r="AO30" s="80">
        <v>3364.566307</v>
      </c>
      <c r="AP30" s="71">
        <f t="shared" si="12"/>
        <v>676.06</v>
      </c>
      <c r="AQ30" s="93">
        <f t="shared" si="13"/>
        <v>0</v>
      </c>
      <c r="AR30" s="94">
        <f t="shared" si="14"/>
        <v>2.02818</v>
      </c>
      <c r="AS30" s="71">
        <f t="shared" si="15"/>
        <v>1.35212</v>
      </c>
      <c r="AT30" s="78">
        <v>12</v>
      </c>
      <c r="AU30" s="71">
        <f t="shared" si="16"/>
        <v>1.66880575381818</v>
      </c>
      <c r="AV30" s="71">
        <f t="shared" si="17"/>
        <v>1.15896</v>
      </c>
      <c r="AW30" s="98"/>
      <c r="AX30" s="71"/>
      <c r="AY30" s="71">
        <f t="shared" si="18"/>
        <v>0.26916530456</v>
      </c>
      <c r="AZ30" s="71"/>
      <c r="BA30" s="67">
        <f t="shared" si="19"/>
        <v>2.82776575381818</v>
      </c>
      <c r="BB30" s="78"/>
      <c r="BH30" s="99"/>
    </row>
    <row r="31" spans="1:54">
      <c r="A31" s="64">
        <v>26</v>
      </c>
      <c r="B31" s="65" t="s">
        <v>115</v>
      </c>
      <c r="C31" s="65" t="s">
        <v>115</v>
      </c>
      <c r="D31" s="65" t="s">
        <v>116</v>
      </c>
      <c r="E31" s="65" t="s">
        <v>117</v>
      </c>
      <c r="F31" s="66">
        <v>981.2</v>
      </c>
      <c r="G31" s="67">
        <f t="shared" si="0"/>
        <v>17.1317664033836</v>
      </c>
      <c r="H31" s="67">
        <f t="shared" si="1"/>
        <v>16809.689195</v>
      </c>
      <c r="I31" s="75">
        <v>3</v>
      </c>
      <c r="J31" s="75">
        <v>3</v>
      </c>
      <c r="K31" s="76">
        <f t="shared" si="2"/>
        <v>7407.28888</v>
      </c>
      <c r="L31" s="76">
        <f t="shared" si="3"/>
        <v>726.820314</v>
      </c>
      <c r="M31" s="75">
        <v>0</v>
      </c>
      <c r="N31" s="77">
        <v>0</v>
      </c>
      <c r="O31" s="75">
        <v>0</v>
      </c>
      <c r="P31" s="67">
        <f t="shared" si="4"/>
        <v>1962.4</v>
      </c>
      <c r="Q31" s="77">
        <v>15289.600315</v>
      </c>
      <c r="R31" s="67">
        <f t="shared" si="5"/>
        <v>5887.2</v>
      </c>
      <c r="S31" s="67">
        <v>0</v>
      </c>
      <c r="T31" s="76">
        <f t="shared" si="6"/>
        <v>103.787608</v>
      </c>
      <c r="U31" s="76"/>
      <c r="V31" s="77">
        <v>103.787608</v>
      </c>
      <c r="W31" s="75">
        <v>1</v>
      </c>
      <c r="X31" s="76"/>
      <c r="Y31" s="77">
        <v>0</v>
      </c>
      <c r="Z31" s="77">
        <v>0</v>
      </c>
      <c r="AA31" s="67">
        <f t="shared" si="7"/>
        <v>0</v>
      </c>
      <c r="AB31" s="77">
        <v>396.634283</v>
      </c>
      <c r="AC31" s="67">
        <f t="shared" si="8"/>
        <v>793.268566</v>
      </c>
      <c r="AD31" s="77">
        <v>45.778037</v>
      </c>
      <c r="AE31" s="67">
        <f t="shared" si="9"/>
        <v>91.556074</v>
      </c>
      <c r="AF31" s="82">
        <v>0</v>
      </c>
      <c r="AG31" s="67">
        <f t="shared" si="10"/>
        <v>0</v>
      </c>
      <c r="AH31" s="77">
        <v>0</v>
      </c>
      <c r="AI31" s="67">
        <f t="shared" si="11"/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531.476632</v>
      </c>
      <c r="AP31" s="67">
        <f t="shared" si="12"/>
        <v>1962.4</v>
      </c>
      <c r="AQ31" s="91">
        <f t="shared" si="13"/>
        <v>3.9248</v>
      </c>
      <c r="AR31" s="92">
        <f t="shared" si="14"/>
        <v>0</v>
      </c>
      <c r="AS31" s="67">
        <f t="shared" si="15"/>
        <v>1.9624</v>
      </c>
      <c r="AT31" s="75">
        <v>0</v>
      </c>
      <c r="AU31" s="67">
        <f t="shared" si="16"/>
        <v>0.0138383477333333</v>
      </c>
      <c r="AV31" s="71">
        <f t="shared" si="17"/>
        <v>1.68205714285714</v>
      </c>
      <c r="AW31" s="71"/>
      <c r="AX31" s="67"/>
      <c r="AY31" s="67">
        <f t="shared" si="18"/>
        <v>0.04251813056</v>
      </c>
      <c r="AZ31" s="67"/>
      <c r="BA31" s="67">
        <f t="shared" si="19"/>
        <v>1.69589549059048</v>
      </c>
      <c r="BB31" s="75"/>
    </row>
    <row r="32" spans="1:54">
      <c r="A32" s="64">
        <v>27</v>
      </c>
      <c r="B32" s="65" t="s">
        <v>118</v>
      </c>
      <c r="C32" s="65" t="s">
        <v>118</v>
      </c>
      <c r="D32" s="65" t="s">
        <v>111</v>
      </c>
      <c r="E32" s="65" t="s">
        <v>119</v>
      </c>
      <c r="F32" s="66">
        <v>161.62</v>
      </c>
      <c r="G32" s="67">
        <f t="shared" si="0"/>
        <v>14.7676354225962</v>
      </c>
      <c r="H32" s="67">
        <f t="shared" si="1"/>
        <v>2386.745237</v>
      </c>
      <c r="I32" s="75">
        <v>3</v>
      </c>
      <c r="J32" s="75">
        <v>3</v>
      </c>
      <c r="K32" s="76">
        <f t="shared" si="2"/>
        <v>2798.614727</v>
      </c>
      <c r="L32" s="76">
        <f t="shared" si="3"/>
        <v>1828.894727</v>
      </c>
      <c r="M32" s="75">
        <v>0</v>
      </c>
      <c r="N32" s="77">
        <v>0</v>
      </c>
      <c r="O32" s="75">
        <v>0</v>
      </c>
      <c r="P32" s="67">
        <f t="shared" si="4"/>
        <v>323.24</v>
      </c>
      <c r="Q32" s="77">
        <v>557.85051</v>
      </c>
      <c r="R32" s="67">
        <f t="shared" si="5"/>
        <v>969.72</v>
      </c>
      <c r="S32" s="67">
        <v>0</v>
      </c>
      <c r="T32" s="76">
        <f t="shared" si="6"/>
        <v>746.778923</v>
      </c>
      <c r="U32" s="76"/>
      <c r="V32" s="77">
        <v>0</v>
      </c>
      <c r="W32" s="75">
        <v>0</v>
      </c>
      <c r="X32" s="76"/>
      <c r="Y32" s="77">
        <v>746.778923</v>
      </c>
      <c r="Z32" s="77">
        <v>0</v>
      </c>
      <c r="AA32" s="67">
        <f t="shared" si="7"/>
        <v>0</v>
      </c>
      <c r="AB32" s="77">
        <v>0</v>
      </c>
      <c r="AC32" s="67">
        <f t="shared" si="8"/>
        <v>0</v>
      </c>
      <c r="AD32" s="77">
        <v>0</v>
      </c>
      <c r="AE32" s="67">
        <f t="shared" si="9"/>
        <v>0</v>
      </c>
      <c r="AF32" s="82">
        <v>0</v>
      </c>
      <c r="AG32" s="67">
        <f t="shared" si="10"/>
        <v>0</v>
      </c>
      <c r="AH32" s="77">
        <v>0</v>
      </c>
      <c r="AI32" s="67">
        <f t="shared" si="11"/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1082.115804</v>
      </c>
      <c r="AP32" s="67">
        <f t="shared" si="12"/>
        <v>323.24</v>
      </c>
      <c r="AQ32" s="91">
        <f t="shared" si="13"/>
        <v>0.64648</v>
      </c>
      <c r="AR32" s="92">
        <f t="shared" si="14"/>
        <v>0</v>
      </c>
      <c r="AS32" s="67">
        <f t="shared" si="15"/>
        <v>0.32324</v>
      </c>
      <c r="AT32" s="75">
        <v>0</v>
      </c>
      <c r="AU32" s="67">
        <f t="shared" si="16"/>
        <v>0.0995705230666667</v>
      </c>
      <c r="AV32" s="71">
        <f t="shared" si="17"/>
        <v>0.277062857142857</v>
      </c>
      <c r="AW32" s="71"/>
      <c r="AX32" s="67"/>
      <c r="AY32" s="67">
        <f t="shared" si="18"/>
        <v>0.08656926432</v>
      </c>
      <c r="AZ32" s="67"/>
      <c r="BA32" s="67">
        <f t="shared" si="19"/>
        <v>0.376633380209524</v>
      </c>
      <c r="BB32" s="75"/>
    </row>
    <row r="33" spans="1:54">
      <c r="A33" s="64">
        <v>28</v>
      </c>
      <c r="B33" s="65" t="s">
        <v>120</v>
      </c>
      <c r="C33" s="65" t="s">
        <v>120</v>
      </c>
      <c r="D33" s="65" t="s">
        <v>121</v>
      </c>
      <c r="E33" s="65" t="s">
        <v>119</v>
      </c>
      <c r="F33" s="66">
        <v>179.75</v>
      </c>
      <c r="G33" s="67">
        <f t="shared" si="0"/>
        <v>10.9905195104312</v>
      </c>
      <c r="H33" s="67">
        <f t="shared" si="1"/>
        <v>1975.545882</v>
      </c>
      <c r="I33" s="75">
        <v>3</v>
      </c>
      <c r="J33" s="75">
        <v>3</v>
      </c>
      <c r="K33" s="76">
        <f t="shared" si="2"/>
        <v>2330.738816</v>
      </c>
      <c r="L33" s="76">
        <f t="shared" si="3"/>
        <v>1252.238816</v>
      </c>
      <c r="M33" s="75">
        <v>0</v>
      </c>
      <c r="N33" s="77">
        <v>0</v>
      </c>
      <c r="O33" s="75">
        <v>0</v>
      </c>
      <c r="P33" s="67">
        <f t="shared" si="4"/>
        <v>359.5</v>
      </c>
      <c r="Q33" s="77">
        <v>723.307066</v>
      </c>
      <c r="R33" s="67">
        <f t="shared" si="5"/>
        <v>1078.5</v>
      </c>
      <c r="S33" s="67">
        <v>0</v>
      </c>
      <c r="T33" s="76">
        <f t="shared" si="6"/>
        <v>636.334596</v>
      </c>
      <c r="U33" s="76"/>
      <c r="V33" s="77">
        <v>0</v>
      </c>
      <c r="W33" s="75">
        <v>0</v>
      </c>
      <c r="X33" s="76"/>
      <c r="Y33" s="77">
        <v>636.334596</v>
      </c>
      <c r="Z33" s="77">
        <v>0</v>
      </c>
      <c r="AA33" s="67">
        <f t="shared" si="7"/>
        <v>0</v>
      </c>
      <c r="AB33" s="77">
        <v>0</v>
      </c>
      <c r="AC33" s="67">
        <f t="shared" si="8"/>
        <v>0</v>
      </c>
      <c r="AD33" s="77">
        <v>0</v>
      </c>
      <c r="AE33" s="67">
        <f t="shared" si="9"/>
        <v>0</v>
      </c>
      <c r="AF33" s="82">
        <v>0</v>
      </c>
      <c r="AG33" s="67">
        <f t="shared" si="10"/>
        <v>0</v>
      </c>
      <c r="AH33" s="77">
        <v>0</v>
      </c>
      <c r="AI33" s="67">
        <f t="shared" si="11"/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615.90422</v>
      </c>
      <c r="AP33" s="67">
        <f t="shared" si="12"/>
        <v>359.5</v>
      </c>
      <c r="AQ33" s="91">
        <f t="shared" si="13"/>
        <v>0.719</v>
      </c>
      <c r="AR33" s="92">
        <f t="shared" si="14"/>
        <v>0</v>
      </c>
      <c r="AS33" s="67">
        <f t="shared" si="15"/>
        <v>0.3595</v>
      </c>
      <c r="AT33" s="75">
        <v>0</v>
      </c>
      <c r="AU33" s="67">
        <f t="shared" si="16"/>
        <v>0.0848446128</v>
      </c>
      <c r="AV33" s="71">
        <f t="shared" si="17"/>
        <v>0.308142857142857</v>
      </c>
      <c r="AW33" s="71"/>
      <c r="AX33" s="67"/>
      <c r="AY33" s="67">
        <f t="shared" si="18"/>
        <v>0.0492723376</v>
      </c>
      <c r="AZ33" s="67"/>
      <c r="BA33" s="67">
        <f t="shared" si="19"/>
        <v>0.392987469942857</v>
      </c>
      <c r="BB33" s="75"/>
    </row>
    <row r="34" spans="1:54">
      <c r="A34" s="64">
        <v>29</v>
      </c>
      <c r="B34" s="65" t="s">
        <v>122</v>
      </c>
      <c r="C34" s="65" t="s">
        <v>122</v>
      </c>
      <c r="D34" s="65" t="s">
        <v>121</v>
      </c>
      <c r="E34" s="65" t="s">
        <v>119</v>
      </c>
      <c r="F34" s="66">
        <v>167.46</v>
      </c>
      <c r="G34" s="67">
        <f t="shared" si="0"/>
        <v>10.242967646005</v>
      </c>
      <c r="H34" s="67">
        <f t="shared" si="1"/>
        <v>1715.287362</v>
      </c>
      <c r="I34" s="75">
        <v>3</v>
      </c>
      <c r="J34" s="75">
        <v>3</v>
      </c>
      <c r="K34" s="76">
        <f t="shared" si="2"/>
        <v>2037.487626</v>
      </c>
      <c r="L34" s="76">
        <f t="shared" si="3"/>
        <v>1032.727626</v>
      </c>
      <c r="M34" s="75">
        <v>0</v>
      </c>
      <c r="N34" s="77">
        <v>0</v>
      </c>
      <c r="O34" s="75">
        <v>0</v>
      </c>
      <c r="P34" s="67">
        <f t="shared" si="4"/>
        <v>334.92</v>
      </c>
      <c r="Q34" s="77">
        <v>682.559736</v>
      </c>
      <c r="R34" s="67">
        <f t="shared" si="5"/>
        <v>1004.76</v>
      </c>
      <c r="S34" s="67">
        <v>0</v>
      </c>
      <c r="T34" s="76">
        <f t="shared" si="6"/>
        <v>730.849998</v>
      </c>
      <c r="U34" s="76"/>
      <c r="V34" s="77">
        <v>0</v>
      </c>
      <c r="W34" s="75">
        <v>0</v>
      </c>
      <c r="X34" s="76"/>
      <c r="Y34" s="77">
        <v>730.849998</v>
      </c>
      <c r="Z34" s="77">
        <v>0</v>
      </c>
      <c r="AA34" s="67">
        <f t="shared" si="7"/>
        <v>0</v>
      </c>
      <c r="AB34" s="77">
        <v>0</v>
      </c>
      <c r="AC34" s="67">
        <f t="shared" si="8"/>
        <v>0</v>
      </c>
      <c r="AD34" s="77">
        <v>0</v>
      </c>
      <c r="AE34" s="67">
        <f t="shared" si="9"/>
        <v>0</v>
      </c>
      <c r="AF34" s="82">
        <v>0</v>
      </c>
      <c r="AG34" s="67">
        <f t="shared" si="10"/>
        <v>0</v>
      </c>
      <c r="AH34" s="77">
        <v>0</v>
      </c>
      <c r="AI34" s="67">
        <f t="shared" si="11"/>
        <v>0</v>
      </c>
      <c r="AJ34" s="77">
        <v>0</v>
      </c>
      <c r="AK34" s="77">
        <v>0</v>
      </c>
      <c r="AL34" s="77">
        <v>0</v>
      </c>
      <c r="AM34" s="77">
        <v>0</v>
      </c>
      <c r="AN34" s="77">
        <v>0</v>
      </c>
      <c r="AO34" s="77">
        <v>301.877628</v>
      </c>
      <c r="AP34" s="67">
        <f t="shared" si="12"/>
        <v>334.92</v>
      </c>
      <c r="AQ34" s="91">
        <f t="shared" si="13"/>
        <v>0.66984</v>
      </c>
      <c r="AR34" s="92">
        <f t="shared" si="14"/>
        <v>0</v>
      </c>
      <c r="AS34" s="67">
        <f t="shared" si="15"/>
        <v>0.33492</v>
      </c>
      <c r="AT34" s="75">
        <v>0</v>
      </c>
      <c r="AU34" s="67">
        <f t="shared" si="16"/>
        <v>0.0974466664</v>
      </c>
      <c r="AV34" s="71">
        <f t="shared" si="17"/>
        <v>0.287074285714286</v>
      </c>
      <c r="AW34" s="71"/>
      <c r="AX34" s="67"/>
      <c r="AY34" s="67">
        <f t="shared" si="18"/>
        <v>0.02415021024</v>
      </c>
      <c r="AZ34" s="67"/>
      <c r="BA34" s="67">
        <f t="shared" si="19"/>
        <v>0.384520952114286</v>
      </c>
      <c r="BB34" s="75"/>
    </row>
    <row r="35" spans="1:54">
      <c r="A35" s="64">
        <v>30</v>
      </c>
      <c r="B35" s="65" t="s">
        <v>123</v>
      </c>
      <c r="C35" s="65" t="s">
        <v>123</v>
      </c>
      <c r="D35" s="65" t="s">
        <v>124</v>
      </c>
      <c r="E35" s="65" t="s">
        <v>119</v>
      </c>
      <c r="F35" s="66">
        <v>210.32</v>
      </c>
      <c r="G35" s="67">
        <f t="shared" si="0"/>
        <v>7.67668161848612</v>
      </c>
      <c r="H35" s="67">
        <f t="shared" si="1"/>
        <v>1614.559678</v>
      </c>
      <c r="I35" s="75">
        <v>3</v>
      </c>
      <c r="J35" s="75">
        <v>3</v>
      </c>
      <c r="K35" s="76">
        <f t="shared" si="2"/>
        <v>2252.566419</v>
      </c>
      <c r="L35" s="76">
        <f t="shared" si="3"/>
        <v>990.646419</v>
      </c>
      <c r="M35" s="75">
        <v>0</v>
      </c>
      <c r="N35" s="77">
        <v>0</v>
      </c>
      <c r="O35" s="75">
        <v>0</v>
      </c>
      <c r="P35" s="67">
        <f t="shared" si="4"/>
        <v>420.64</v>
      </c>
      <c r="Q35" s="77">
        <v>623.913259</v>
      </c>
      <c r="R35" s="67">
        <f t="shared" si="5"/>
        <v>1261.92</v>
      </c>
      <c r="S35" s="67">
        <v>0</v>
      </c>
      <c r="T35" s="76">
        <f t="shared" si="6"/>
        <v>530.347968</v>
      </c>
      <c r="U35" s="76"/>
      <c r="V35" s="77">
        <v>0</v>
      </c>
      <c r="W35" s="75">
        <v>0</v>
      </c>
      <c r="X35" s="76"/>
      <c r="Y35" s="77">
        <v>530.347968</v>
      </c>
      <c r="Z35" s="77">
        <v>0</v>
      </c>
      <c r="AA35" s="67">
        <f t="shared" si="7"/>
        <v>0</v>
      </c>
      <c r="AB35" s="77">
        <v>0</v>
      </c>
      <c r="AC35" s="67">
        <f t="shared" si="8"/>
        <v>0</v>
      </c>
      <c r="AD35" s="77">
        <v>0</v>
      </c>
      <c r="AE35" s="67">
        <f t="shared" si="9"/>
        <v>0</v>
      </c>
      <c r="AF35" s="82">
        <v>0</v>
      </c>
      <c r="AG35" s="67">
        <f t="shared" si="10"/>
        <v>0</v>
      </c>
      <c r="AH35" s="77">
        <v>0</v>
      </c>
      <c r="AI35" s="67">
        <f t="shared" si="11"/>
        <v>0</v>
      </c>
      <c r="AJ35" s="77">
        <v>0</v>
      </c>
      <c r="AK35" s="77">
        <v>0</v>
      </c>
      <c r="AL35" s="77">
        <v>0</v>
      </c>
      <c r="AM35" s="77">
        <v>0</v>
      </c>
      <c r="AN35" s="77">
        <v>0</v>
      </c>
      <c r="AO35" s="77">
        <v>460.298451</v>
      </c>
      <c r="AP35" s="67">
        <f t="shared" si="12"/>
        <v>420.64</v>
      </c>
      <c r="AQ35" s="91">
        <f t="shared" si="13"/>
        <v>0.84128</v>
      </c>
      <c r="AR35" s="92">
        <f t="shared" si="14"/>
        <v>0</v>
      </c>
      <c r="AS35" s="67">
        <f t="shared" si="15"/>
        <v>0.42064</v>
      </c>
      <c r="AT35" s="75">
        <v>0</v>
      </c>
      <c r="AU35" s="67">
        <f t="shared" si="16"/>
        <v>0.0707130624</v>
      </c>
      <c r="AV35" s="71">
        <f t="shared" si="17"/>
        <v>0.360548571428571</v>
      </c>
      <c r="AW35" s="71"/>
      <c r="AX35" s="67"/>
      <c r="AY35" s="67">
        <f t="shared" si="18"/>
        <v>0.03682387608</v>
      </c>
      <c r="AZ35" s="67"/>
      <c r="BA35" s="67">
        <f t="shared" si="19"/>
        <v>0.431261633828571</v>
      </c>
      <c r="BB35" s="75"/>
    </row>
    <row r="36" spans="1:54">
      <c r="A36" s="64">
        <v>31</v>
      </c>
      <c r="B36" s="65" t="s">
        <v>124</v>
      </c>
      <c r="C36" s="65" t="s">
        <v>124</v>
      </c>
      <c r="D36" s="65" t="s">
        <v>125</v>
      </c>
      <c r="E36" s="65" t="s">
        <v>119</v>
      </c>
      <c r="F36" s="66">
        <v>213.4</v>
      </c>
      <c r="G36" s="67">
        <f t="shared" si="0"/>
        <v>8.34001036551078</v>
      </c>
      <c r="H36" s="67">
        <f t="shared" si="1"/>
        <v>1779.758212</v>
      </c>
      <c r="I36" s="75">
        <v>3</v>
      </c>
      <c r="J36" s="75">
        <v>3</v>
      </c>
      <c r="K36" s="76">
        <f t="shared" si="2"/>
        <v>2131.012674</v>
      </c>
      <c r="L36" s="76">
        <f t="shared" si="3"/>
        <v>850.612674</v>
      </c>
      <c r="M36" s="75">
        <v>0</v>
      </c>
      <c r="N36" s="77">
        <v>0</v>
      </c>
      <c r="O36" s="75">
        <v>0</v>
      </c>
      <c r="P36" s="67">
        <f t="shared" si="4"/>
        <v>426.8</v>
      </c>
      <c r="Q36" s="77">
        <v>929.145538</v>
      </c>
      <c r="R36" s="67">
        <f t="shared" si="5"/>
        <v>1280.4</v>
      </c>
      <c r="S36" s="67">
        <v>0</v>
      </c>
      <c r="T36" s="76">
        <f t="shared" si="6"/>
        <v>582.419393</v>
      </c>
      <c r="U36" s="76"/>
      <c r="V36" s="77">
        <v>0</v>
      </c>
      <c r="W36" s="75">
        <v>0</v>
      </c>
      <c r="X36" s="76"/>
      <c r="Y36" s="77">
        <v>582.419393</v>
      </c>
      <c r="Z36" s="77">
        <v>0</v>
      </c>
      <c r="AA36" s="67">
        <f t="shared" si="7"/>
        <v>0</v>
      </c>
      <c r="AB36" s="77">
        <v>0</v>
      </c>
      <c r="AC36" s="67">
        <f t="shared" si="8"/>
        <v>0</v>
      </c>
      <c r="AD36" s="77">
        <v>0</v>
      </c>
      <c r="AE36" s="67">
        <f t="shared" si="9"/>
        <v>0</v>
      </c>
      <c r="AF36" s="82">
        <v>0</v>
      </c>
      <c r="AG36" s="67">
        <f t="shared" si="10"/>
        <v>0</v>
      </c>
      <c r="AH36" s="77">
        <v>0</v>
      </c>
      <c r="AI36" s="67">
        <f t="shared" si="11"/>
        <v>0</v>
      </c>
      <c r="AJ36" s="77">
        <v>0</v>
      </c>
      <c r="AK36" s="77">
        <v>0</v>
      </c>
      <c r="AL36" s="77">
        <v>0</v>
      </c>
      <c r="AM36" s="77">
        <v>0</v>
      </c>
      <c r="AN36" s="77">
        <v>0</v>
      </c>
      <c r="AO36" s="77">
        <v>268.193281</v>
      </c>
      <c r="AP36" s="67">
        <f t="shared" si="12"/>
        <v>426.8</v>
      </c>
      <c r="AQ36" s="91">
        <f t="shared" si="13"/>
        <v>0.8536</v>
      </c>
      <c r="AR36" s="92">
        <f t="shared" si="14"/>
        <v>0</v>
      </c>
      <c r="AS36" s="67">
        <f t="shared" si="15"/>
        <v>0.4268</v>
      </c>
      <c r="AT36" s="75">
        <v>0</v>
      </c>
      <c r="AU36" s="67">
        <f t="shared" si="16"/>
        <v>0.0776559190666667</v>
      </c>
      <c r="AV36" s="71">
        <f t="shared" si="17"/>
        <v>0.365828571428571</v>
      </c>
      <c r="AW36" s="71"/>
      <c r="AX36" s="67"/>
      <c r="AY36" s="67">
        <f t="shared" si="18"/>
        <v>0.02145546248</v>
      </c>
      <c r="AZ36" s="67"/>
      <c r="BA36" s="67">
        <f t="shared" si="19"/>
        <v>0.443484490495238</v>
      </c>
      <c r="BB36" s="75"/>
    </row>
    <row r="37" spans="1:54">
      <c r="A37" s="64">
        <v>32</v>
      </c>
      <c r="B37" s="65" t="s">
        <v>125</v>
      </c>
      <c r="C37" s="65" t="s">
        <v>125</v>
      </c>
      <c r="D37" s="65" t="s">
        <v>111</v>
      </c>
      <c r="E37" s="65" t="s">
        <v>119</v>
      </c>
      <c r="F37" s="66">
        <v>282.95</v>
      </c>
      <c r="G37" s="67">
        <f t="shared" si="0"/>
        <v>7.65495043293868</v>
      </c>
      <c r="H37" s="67">
        <f t="shared" si="1"/>
        <v>2165.968225</v>
      </c>
      <c r="I37" s="75">
        <v>3</v>
      </c>
      <c r="J37" s="75">
        <v>3</v>
      </c>
      <c r="K37" s="76">
        <f t="shared" si="2"/>
        <v>2457.915575</v>
      </c>
      <c r="L37" s="76">
        <f t="shared" si="3"/>
        <v>760.215575</v>
      </c>
      <c r="M37" s="75">
        <v>0</v>
      </c>
      <c r="N37" s="77">
        <v>0</v>
      </c>
      <c r="O37" s="75">
        <v>0</v>
      </c>
      <c r="P37" s="67">
        <f t="shared" si="4"/>
        <v>565.9</v>
      </c>
      <c r="Q37" s="77">
        <v>1405.75265</v>
      </c>
      <c r="R37" s="67">
        <f t="shared" si="5"/>
        <v>1697.7</v>
      </c>
      <c r="S37" s="67">
        <v>0</v>
      </c>
      <c r="T37" s="76">
        <f t="shared" si="6"/>
        <v>472.97469</v>
      </c>
      <c r="U37" s="76"/>
      <c r="V37" s="77">
        <v>55.083625</v>
      </c>
      <c r="W37" s="75">
        <v>0</v>
      </c>
      <c r="X37" s="76"/>
      <c r="Y37" s="77">
        <v>417.891065</v>
      </c>
      <c r="Z37" s="77">
        <v>0</v>
      </c>
      <c r="AA37" s="67">
        <f t="shared" si="7"/>
        <v>0</v>
      </c>
      <c r="AB37" s="77">
        <v>0</v>
      </c>
      <c r="AC37" s="67">
        <f t="shared" si="8"/>
        <v>0</v>
      </c>
      <c r="AD37" s="77">
        <v>36.530908</v>
      </c>
      <c r="AE37" s="67">
        <f t="shared" si="9"/>
        <v>73.061816</v>
      </c>
      <c r="AF37" s="82">
        <v>0</v>
      </c>
      <c r="AG37" s="67">
        <f t="shared" si="10"/>
        <v>0</v>
      </c>
      <c r="AH37" s="77">
        <v>0</v>
      </c>
      <c r="AI37" s="67">
        <f t="shared" si="11"/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214.179069</v>
      </c>
      <c r="AP37" s="67">
        <f t="shared" si="12"/>
        <v>565.9</v>
      </c>
      <c r="AQ37" s="91">
        <f t="shared" si="13"/>
        <v>1.1318</v>
      </c>
      <c r="AR37" s="92">
        <f t="shared" si="14"/>
        <v>0</v>
      </c>
      <c r="AS37" s="67">
        <f t="shared" si="15"/>
        <v>0.5659</v>
      </c>
      <c r="AT37" s="75">
        <v>0</v>
      </c>
      <c r="AU37" s="67">
        <f t="shared" si="16"/>
        <v>0.063063292</v>
      </c>
      <c r="AV37" s="71">
        <f t="shared" si="17"/>
        <v>0.485057142857143</v>
      </c>
      <c r="AW37" s="71"/>
      <c r="AX37" s="67"/>
      <c r="AY37" s="67">
        <f t="shared" si="18"/>
        <v>0.01713432552</v>
      </c>
      <c r="AZ37" s="67"/>
      <c r="BA37" s="67">
        <f t="shared" si="19"/>
        <v>0.548120434857143</v>
      </c>
      <c r="BB37" s="75"/>
    </row>
    <row r="38" spans="1:54">
      <c r="A38" s="64">
        <v>33</v>
      </c>
      <c r="B38" s="65" t="s">
        <v>126</v>
      </c>
      <c r="C38" s="65" t="s">
        <v>126</v>
      </c>
      <c r="D38" s="65" t="s">
        <v>125</v>
      </c>
      <c r="E38" s="65" t="s">
        <v>119</v>
      </c>
      <c r="F38" s="66">
        <v>111.04</v>
      </c>
      <c r="G38" s="67">
        <f t="shared" si="0"/>
        <v>8.6858229917147</v>
      </c>
      <c r="H38" s="67">
        <f t="shared" si="1"/>
        <v>964.473785</v>
      </c>
      <c r="I38" s="75">
        <v>3</v>
      </c>
      <c r="J38" s="75">
        <v>3</v>
      </c>
      <c r="K38" s="76">
        <f t="shared" si="2"/>
        <v>1124.968974</v>
      </c>
      <c r="L38" s="76">
        <f t="shared" si="3"/>
        <v>458.728974</v>
      </c>
      <c r="M38" s="75">
        <v>0</v>
      </c>
      <c r="N38" s="77">
        <v>0</v>
      </c>
      <c r="O38" s="75">
        <v>0</v>
      </c>
      <c r="P38" s="67">
        <f t="shared" si="4"/>
        <v>222.08</v>
      </c>
      <c r="Q38" s="77">
        <v>505.744811</v>
      </c>
      <c r="R38" s="67">
        <f t="shared" si="5"/>
        <v>666.24</v>
      </c>
      <c r="S38" s="67">
        <v>0</v>
      </c>
      <c r="T38" s="76">
        <f t="shared" si="6"/>
        <v>164.234818</v>
      </c>
      <c r="U38" s="76"/>
      <c r="V38" s="77">
        <v>0</v>
      </c>
      <c r="W38" s="75">
        <v>0</v>
      </c>
      <c r="X38" s="76"/>
      <c r="Y38" s="77">
        <v>164.234818</v>
      </c>
      <c r="Z38" s="77">
        <v>0</v>
      </c>
      <c r="AA38" s="67">
        <f t="shared" si="7"/>
        <v>0</v>
      </c>
      <c r="AB38" s="77">
        <v>0</v>
      </c>
      <c r="AC38" s="67">
        <f t="shared" si="8"/>
        <v>0</v>
      </c>
      <c r="AD38" s="77">
        <v>0</v>
      </c>
      <c r="AE38" s="67">
        <f t="shared" si="9"/>
        <v>0</v>
      </c>
      <c r="AF38" s="82">
        <v>0</v>
      </c>
      <c r="AG38" s="67">
        <f t="shared" si="10"/>
        <v>0</v>
      </c>
      <c r="AH38" s="77">
        <v>0</v>
      </c>
      <c r="AI38" s="67">
        <f t="shared" si="11"/>
        <v>0</v>
      </c>
      <c r="AJ38" s="77">
        <v>0</v>
      </c>
      <c r="AK38" s="77">
        <v>0</v>
      </c>
      <c r="AL38" s="77">
        <v>0</v>
      </c>
      <c r="AM38" s="77">
        <v>0</v>
      </c>
      <c r="AN38" s="77">
        <v>0</v>
      </c>
      <c r="AO38" s="77">
        <v>294.494156</v>
      </c>
      <c r="AP38" s="67">
        <f t="shared" si="12"/>
        <v>222.08</v>
      </c>
      <c r="AQ38" s="91">
        <f t="shared" si="13"/>
        <v>0.44416</v>
      </c>
      <c r="AR38" s="92">
        <f t="shared" si="14"/>
        <v>0</v>
      </c>
      <c r="AS38" s="67">
        <f t="shared" si="15"/>
        <v>0.22208</v>
      </c>
      <c r="AT38" s="75">
        <v>0</v>
      </c>
      <c r="AU38" s="67">
        <f t="shared" si="16"/>
        <v>0.0218979757333333</v>
      </c>
      <c r="AV38" s="71">
        <f t="shared" si="17"/>
        <v>0.190354285714286</v>
      </c>
      <c r="AW38" s="71"/>
      <c r="AX38" s="67"/>
      <c r="AY38" s="67">
        <f t="shared" si="18"/>
        <v>0.02355953248</v>
      </c>
      <c r="AZ38" s="67"/>
      <c r="BA38" s="67">
        <f t="shared" si="19"/>
        <v>0.212252261447619</v>
      </c>
      <c r="BB38" s="75"/>
    </row>
    <row r="39" s="51" customFormat="1" ht="13.5" customHeight="1" spans="1:60">
      <c r="A39" s="68">
        <v>34</v>
      </c>
      <c r="B39" s="69" t="s">
        <v>119</v>
      </c>
      <c r="C39" s="69" t="s">
        <v>119</v>
      </c>
      <c r="D39" s="69" t="s">
        <v>111</v>
      </c>
      <c r="E39" s="69" t="s">
        <v>88</v>
      </c>
      <c r="F39" s="70">
        <v>675.06</v>
      </c>
      <c r="G39" s="71">
        <f t="shared" si="0"/>
        <v>27.3506180517287</v>
      </c>
      <c r="H39" s="71">
        <f t="shared" si="1"/>
        <v>18463.308222</v>
      </c>
      <c r="I39" s="78">
        <v>2</v>
      </c>
      <c r="J39" s="78">
        <v>2</v>
      </c>
      <c r="K39" s="79">
        <f t="shared" si="2"/>
        <v>17632.355766</v>
      </c>
      <c r="L39" s="79">
        <f t="shared" si="3"/>
        <v>13581.995766</v>
      </c>
      <c r="M39" s="78">
        <v>2</v>
      </c>
      <c r="N39" s="80">
        <v>0</v>
      </c>
      <c r="O39" s="78">
        <v>0</v>
      </c>
      <c r="P39" s="71">
        <f t="shared" si="4"/>
        <v>1350.12</v>
      </c>
      <c r="Q39" s="80">
        <v>4881.312456</v>
      </c>
      <c r="R39" s="71">
        <f t="shared" si="5"/>
        <v>4050.36</v>
      </c>
      <c r="S39" s="71">
        <v>0</v>
      </c>
      <c r="T39" s="79">
        <f t="shared" si="6"/>
        <v>4169.658315</v>
      </c>
      <c r="U39" s="79"/>
      <c r="V39" s="80">
        <v>0</v>
      </c>
      <c r="W39" s="78">
        <v>0</v>
      </c>
      <c r="X39" s="79"/>
      <c r="Y39" s="80">
        <v>1914.959819</v>
      </c>
      <c r="Z39" s="80">
        <v>62.42545</v>
      </c>
      <c r="AA39" s="71">
        <f t="shared" si="7"/>
        <v>124.8509</v>
      </c>
      <c r="AB39" s="80">
        <v>0</v>
      </c>
      <c r="AC39" s="71">
        <f t="shared" si="8"/>
        <v>0</v>
      </c>
      <c r="AD39" s="80">
        <v>0</v>
      </c>
      <c r="AE39" s="71">
        <f t="shared" si="9"/>
        <v>0</v>
      </c>
      <c r="AF39" s="83">
        <v>0</v>
      </c>
      <c r="AG39" s="71">
        <f t="shared" si="10"/>
        <v>0</v>
      </c>
      <c r="AH39" s="80">
        <v>0</v>
      </c>
      <c r="AI39" s="71">
        <f t="shared" si="11"/>
        <v>0</v>
      </c>
      <c r="AJ39" s="80">
        <v>1995.64365</v>
      </c>
      <c r="AK39" s="80">
        <v>259.054846</v>
      </c>
      <c r="AL39" s="80">
        <v>0</v>
      </c>
      <c r="AM39" s="80">
        <v>0</v>
      </c>
      <c r="AN39" s="80">
        <v>0</v>
      </c>
      <c r="AO39" s="80">
        <v>9287.486551</v>
      </c>
      <c r="AP39" s="71">
        <f t="shared" si="12"/>
        <v>1350.12</v>
      </c>
      <c r="AQ39" s="93">
        <f t="shared" si="13"/>
        <v>0</v>
      </c>
      <c r="AR39" s="94">
        <f t="shared" si="14"/>
        <v>2.70024</v>
      </c>
      <c r="AS39" s="71">
        <f t="shared" si="15"/>
        <v>2.02518</v>
      </c>
      <c r="AT39" s="78">
        <v>0</v>
      </c>
      <c r="AU39" s="71">
        <f t="shared" si="16"/>
        <v>0.641485894615385</v>
      </c>
      <c r="AV39" s="71">
        <f t="shared" si="17"/>
        <v>1.620144</v>
      </c>
      <c r="AW39" s="96">
        <v>1</v>
      </c>
      <c r="AX39" s="71"/>
      <c r="AY39" s="71">
        <f t="shared" si="18"/>
        <v>0.74299892408</v>
      </c>
      <c r="AZ39" s="71"/>
      <c r="BA39" s="67">
        <f t="shared" si="19"/>
        <v>3.26162989461538</v>
      </c>
      <c r="BB39" s="78"/>
      <c r="BH39" s="99"/>
    </row>
    <row r="40" s="51" customFormat="1" ht="13.5" customHeight="1" spans="1:60">
      <c r="A40" s="68">
        <v>35</v>
      </c>
      <c r="B40" s="69" t="s">
        <v>119</v>
      </c>
      <c r="C40" s="69" t="s">
        <v>119</v>
      </c>
      <c r="D40" s="69" t="s">
        <v>92</v>
      </c>
      <c r="E40" s="69" t="s">
        <v>111</v>
      </c>
      <c r="F40" s="70">
        <v>235.19</v>
      </c>
      <c r="G40" s="71">
        <f t="shared" si="0"/>
        <v>18.4986038862197</v>
      </c>
      <c r="H40" s="71">
        <f t="shared" si="1"/>
        <v>4350.686648</v>
      </c>
      <c r="I40" s="78">
        <v>2</v>
      </c>
      <c r="J40" s="78">
        <v>2</v>
      </c>
      <c r="K40" s="79">
        <f t="shared" si="2"/>
        <v>2893.636325</v>
      </c>
      <c r="L40" s="79">
        <f t="shared" si="3"/>
        <v>1482.496325</v>
      </c>
      <c r="M40" s="78">
        <v>2</v>
      </c>
      <c r="N40" s="80">
        <v>0</v>
      </c>
      <c r="O40" s="78">
        <v>0</v>
      </c>
      <c r="P40" s="71">
        <f t="shared" si="4"/>
        <v>470.38</v>
      </c>
      <c r="Q40" s="80">
        <v>2868.190323</v>
      </c>
      <c r="R40" s="71">
        <f t="shared" si="5"/>
        <v>1411.14</v>
      </c>
      <c r="S40" s="71">
        <v>0</v>
      </c>
      <c r="T40" s="79">
        <f t="shared" si="6"/>
        <v>1482.496325</v>
      </c>
      <c r="U40" s="79"/>
      <c r="V40" s="80">
        <v>0</v>
      </c>
      <c r="W40" s="78">
        <v>0</v>
      </c>
      <c r="X40" s="79"/>
      <c r="Y40" s="80">
        <v>1482.496325</v>
      </c>
      <c r="Z40" s="80">
        <v>0</v>
      </c>
      <c r="AA40" s="71">
        <f t="shared" si="7"/>
        <v>0</v>
      </c>
      <c r="AB40" s="80">
        <v>0</v>
      </c>
      <c r="AC40" s="71">
        <f t="shared" si="8"/>
        <v>0</v>
      </c>
      <c r="AD40" s="80">
        <v>0</v>
      </c>
      <c r="AE40" s="71">
        <f t="shared" si="9"/>
        <v>0</v>
      </c>
      <c r="AF40" s="83">
        <v>0</v>
      </c>
      <c r="AG40" s="71">
        <f t="shared" si="10"/>
        <v>0</v>
      </c>
      <c r="AH40" s="80">
        <v>0</v>
      </c>
      <c r="AI40" s="71">
        <f t="shared" si="11"/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71">
        <f t="shared" si="12"/>
        <v>470.38</v>
      </c>
      <c r="AQ40" s="93">
        <f t="shared" si="13"/>
        <v>0</v>
      </c>
      <c r="AR40" s="94">
        <f t="shared" si="14"/>
        <v>0.94076</v>
      </c>
      <c r="AS40" s="71">
        <f t="shared" si="15"/>
        <v>0.70557</v>
      </c>
      <c r="AT40" s="78">
        <v>0</v>
      </c>
      <c r="AU40" s="71">
        <f t="shared" si="16"/>
        <v>0.228076357692308</v>
      </c>
      <c r="AV40" s="71">
        <f t="shared" si="17"/>
        <v>0.564456</v>
      </c>
      <c r="AW40" s="98"/>
      <c r="AX40" s="71"/>
      <c r="AY40" s="71">
        <f t="shared" si="18"/>
        <v>0</v>
      </c>
      <c r="AZ40" s="71"/>
      <c r="BA40" s="67">
        <f t="shared" si="19"/>
        <v>0.792532357692308</v>
      </c>
      <c r="BB40" s="78"/>
      <c r="BH40" s="99"/>
    </row>
    <row r="41" spans="1:54">
      <c r="A41" s="64">
        <v>36</v>
      </c>
      <c r="B41" s="65" t="s">
        <v>127</v>
      </c>
      <c r="C41" s="65" t="s">
        <v>127</v>
      </c>
      <c r="D41" s="65" t="s">
        <v>119</v>
      </c>
      <c r="E41" s="65" t="s">
        <v>114</v>
      </c>
      <c r="F41" s="66">
        <v>214.81</v>
      </c>
      <c r="G41" s="67">
        <f t="shared" si="0"/>
        <v>10.829396485266</v>
      </c>
      <c r="H41" s="67">
        <f t="shared" si="1"/>
        <v>2326.262659</v>
      </c>
      <c r="I41" s="75">
        <v>3</v>
      </c>
      <c r="J41" s="75">
        <v>3</v>
      </c>
      <c r="K41" s="76">
        <f t="shared" si="2"/>
        <v>1897.770569</v>
      </c>
      <c r="L41" s="76">
        <f t="shared" si="3"/>
        <v>608.910569</v>
      </c>
      <c r="M41" s="75">
        <v>0</v>
      </c>
      <c r="N41" s="77">
        <v>0</v>
      </c>
      <c r="O41" s="75">
        <v>0</v>
      </c>
      <c r="P41" s="67">
        <f t="shared" si="4"/>
        <v>429.62</v>
      </c>
      <c r="Q41" s="77">
        <v>1717.35209</v>
      </c>
      <c r="R41" s="67">
        <f t="shared" si="5"/>
        <v>1288.86</v>
      </c>
      <c r="S41" s="67">
        <v>0</v>
      </c>
      <c r="T41" s="76">
        <f t="shared" si="6"/>
        <v>593.633278</v>
      </c>
      <c r="U41" s="76"/>
      <c r="V41" s="77">
        <v>0</v>
      </c>
      <c r="W41" s="75">
        <v>0</v>
      </c>
      <c r="X41" s="76"/>
      <c r="Y41" s="77">
        <v>224.635679</v>
      </c>
      <c r="Z41" s="77">
        <v>0</v>
      </c>
      <c r="AA41" s="67">
        <f t="shared" si="7"/>
        <v>0</v>
      </c>
      <c r="AB41" s="77">
        <v>0</v>
      </c>
      <c r="AC41" s="67">
        <f t="shared" si="8"/>
        <v>0</v>
      </c>
      <c r="AD41" s="77">
        <v>0</v>
      </c>
      <c r="AE41" s="67">
        <f t="shared" si="9"/>
        <v>0</v>
      </c>
      <c r="AF41" s="82">
        <v>0</v>
      </c>
      <c r="AG41" s="67">
        <f t="shared" si="10"/>
        <v>0</v>
      </c>
      <c r="AH41" s="77">
        <v>0</v>
      </c>
      <c r="AI41" s="67">
        <f t="shared" si="11"/>
        <v>0</v>
      </c>
      <c r="AJ41" s="77">
        <v>368.997599</v>
      </c>
      <c r="AK41" s="77">
        <v>0</v>
      </c>
      <c r="AL41" s="77">
        <v>0</v>
      </c>
      <c r="AM41" s="77">
        <v>0</v>
      </c>
      <c r="AN41" s="77">
        <v>0</v>
      </c>
      <c r="AO41" s="77">
        <v>15.277291</v>
      </c>
      <c r="AP41" s="67">
        <f t="shared" si="12"/>
        <v>429.62</v>
      </c>
      <c r="AQ41" s="91">
        <f t="shared" si="13"/>
        <v>0.85924</v>
      </c>
      <c r="AR41" s="92">
        <f t="shared" si="14"/>
        <v>0</v>
      </c>
      <c r="AS41" s="67">
        <f t="shared" si="15"/>
        <v>0.42962</v>
      </c>
      <c r="AT41" s="75">
        <v>0</v>
      </c>
      <c r="AU41" s="67">
        <f t="shared" si="16"/>
        <v>0.0791511037333333</v>
      </c>
      <c r="AV41" s="71">
        <f t="shared" si="17"/>
        <v>0.368245714285714</v>
      </c>
      <c r="AW41" s="71"/>
      <c r="AX41" s="67"/>
      <c r="AY41" s="67">
        <f t="shared" si="18"/>
        <v>0.00122218328</v>
      </c>
      <c r="AZ41" s="67"/>
      <c r="BA41" s="67">
        <f t="shared" si="19"/>
        <v>0.447396818019048</v>
      </c>
      <c r="BB41" s="75"/>
    </row>
    <row r="42" spans="1:54">
      <c r="A42" s="64">
        <v>37</v>
      </c>
      <c r="B42" s="65" t="s">
        <v>128</v>
      </c>
      <c r="C42" s="65" t="s">
        <v>128</v>
      </c>
      <c r="D42" s="65" t="s">
        <v>111</v>
      </c>
      <c r="E42" s="65" t="s">
        <v>129</v>
      </c>
      <c r="F42" s="66">
        <v>232.57</v>
      </c>
      <c r="G42" s="67">
        <f t="shared" si="0"/>
        <v>6.77325046652621</v>
      </c>
      <c r="H42" s="67">
        <f t="shared" si="1"/>
        <v>1575.254861</v>
      </c>
      <c r="I42" s="75">
        <v>3</v>
      </c>
      <c r="J42" s="75">
        <v>3</v>
      </c>
      <c r="K42" s="76">
        <f t="shared" si="2"/>
        <v>1849.829558</v>
      </c>
      <c r="L42" s="76">
        <f t="shared" si="3"/>
        <v>454.409558</v>
      </c>
      <c r="M42" s="75">
        <v>0</v>
      </c>
      <c r="N42" s="77">
        <v>0</v>
      </c>
      <c r="O42" s="75">
        <v>0</v>
      </c>
      <c r="P42" s="67">
        <f t="shared" si="4"/>
        <v>465.14</v>
      </c>
      <c r="Q42" s="77">
        <v>1120.845303</v>
      </c>
      <c r="R42" s="67">
        <f t="shared" si="5"/>
        <v>1395.42</v>
      </c>
      <c r="S42" s="67">
        <v>0</v>
      </c>
      <c r="T42" s="76">
        <f t="shared" si="6"/>
        <v>283.949681</v>
      </c>
      <c r="U42" s="76"/>
      <c r="V42" s="77">
        <v>0</v>
      </c>
      <c r="W42" s="75">
        <v>0</v>
      </c>
      <c r="X42" s="76"/>
      <c r="Y42" s="77">
        <v>283.949681</v>
      </c>
      <c r="Z42" s="77">
        <v>0</v>
      </c>
      <c r="AA42" s="67">
        <f t="shared" si="7"/>
        <v>0</v>
      </c>
      <c r="AB42" s="77">
        <v>0</v>
      </c>
      <c r="AC42" s="67">
        <f t="shared" si="8"/>
        <v>0</v>
      </c>
      <c r="AD42" s="77">
        <v>0</v>
      </c>
      <c r="AE42" s="67">
        <f t="shared" si="9"/>
        <v>0</v>
      </c>
      <c r="AF42" s="82">
        <v>0</v>
      </c>
      <c r="AG42" s="67">
        <f t="shared" si="10"/>
        <v>0</v>
      </c>
      <c r="AH42" s="77">
        <v>0</v>
      </c>
      <c r="AI42" s="67">
        <f t="shared" si="11"/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170.459877</v>
      </c>
      <c r="AP42" s="67">
        <f t="shared" si="12"/>
        <v>465.14</v>
      </c>
      <c r="AQ42" s="91">
        <f t="shared" si="13"/>
        <v>0.93028</v>
      </c>
      <c r="AR42" s="92">
        <f t="shared" si="14"/>
        <v>0</v>
      </c>
      <c r="AS42" s="67">
        <f t="shared" si="15"/>
        <v>0.46514</v>
      </c>
      <c r="AT42" s="75">
        <v>0</v>
      </c>
      <c r="AU42" s="67">
        <f t="shared" si="16"/>
        <v>0.0378599574666667</v>
      </c>
      <c r="AV42" s="71">
        <f t="shared" si="17"/>
        <v>0.398691428571429</v>
      </c>
      <c r="AW42" s="71"/>
      <c r="AX42" s="67"/>
      <c r="AY42" s="67">
        <f t="shared" si="18"/>
        <v>0.01363679016</v>
      </c>
      <c r="AZ42" s="67"/>
      <c r="BA42" s="67">
        <f t="shared" si="19"/>
        <v>0.436551386038095</v>
      </c>
      <c r="BB42" s="75"/>
    </row>
    <row r="43" spans="1:54">
      <c r="A43" s="64">
        <v>38</v>
      </c>
      <c r="B43" s="65" t="s">
        <v>129</v>
      </c>
      <c r="C43" s="65" t="s">
        <v>129</v>
      </c>
      <c r="D43" s="65" t="s">
        <v>128</v>
      </c>
      <c r="E43" s="65" t="s">
        <v>102</v>
      </c>
      <c r="F43" s="66">
        <v>112.61</v>
      </c>
      <c r="G43" s="67">
        <f t="shared" si="0"/>
        <v>12.2937287363467</v>
      </c>
      <c r="H43" s="67">
        <f t="shared" si="1"/>
        <v>1384.396793</v>
      </c>
      <c r="I43" s="75">
        <v>3</v>
      </c>
      <c r="J43" s="75">
        <v>3</v>
      </c>
      <c r="K43" s="76">
        <f t="shared" si="2"/>
        <v>1159.469862</v>
      </c>
      <c r="L43" s="76">
        <f t="shared" si="3"/>
        <v>483.809862</v>
      </c>
      <c r="M43" s="75">
        <v>0</v>
      </c>
      <c r="N43" s="77">
        <v>0</v>
      </c>
      <c r="O43" s="75">
        <v>0</v>
      </c>
      <c r="P43" s="67">
        <f t="shared" si="4"/>
        <v>225.22</v>
      </c>
      <c r="Q43" s="77">
        <v>900.586931</v>
      </c>
      <c r="R43" s="67">
        <f t="shared" si="5"/>
        <v>675.66</v>
      </c>
      <c r="S43" s="67">
        <v>0</v>
      </c>
      <c r="T43" s="76">
        <f t="shared" si="6"/>
        <v>36.351799</v>
      </c>
      <c r="U43" s="76"/>
      <c r="V43" s="77">
        <v>0</v>
      </c>
      <c r="W43" s="75">
        <v>0</v>
      </c>
      <c r="X43" s="76"/>
      <c r="Y43" s="77">
        <v>0</v>
      </c>
      <c r="Z43" s="77">
        <v>0</v>
      </c>
      <c r="AA43" s="67">
        <f t="shared" si="7"/>
        <v>0</v>
      </c>
      <c r="AB43" s="77">
        <v>0</v>
      </c>
      <c r="AC43" s="67">
        <f t="shared" si="8"/>
        <v>0</v>
      </c>
      <c r="AD43" s="77">
        <v>0</v>
      </c>
      <c r="AE43" s="67">
        <f t="shared" si="9"/>
        <v>0</v>
      </c>
      <c r="AF43" s="82">
        <v>0</v>
      </c>
      <c r="AG43" s="67">
        <f t="shared" si="10"/>
        <v>0</v>
      </c>
      <c r="AH43" s="77">
        <v>0</v>
      </c>
      <c r="AI43" s="67">
        <f t="shared" si="11"/>
        <v>0</v>
      </c>
      <c r="AJ43" s="77">
        <v>36.351799</v>
      </c>
      <c r="AK43" s="77">
        <v>0</v>
      </c>
      <c r="AL43" s="77">
        <v>0</v>
      </c>
      <c r="AM43" s="77">
        <v>0</v>
      </c>
      <c r="AN43" s="77">
        <v>0</v>
      </c>
      <c r="AO43" s="77">
        <v>447.458063</v>
      </c>
      <c r="AP43" s="67">
        <f t="shared" si="12"/>
        <v>225.22</v>
      </c>
      <c r="AQ43" s="91">
        <f t="shared" si="13"/>
        <v>0.45044</v>
      </c>
      <c r="AR43" s="92">
        <f t="shared" si="14"/>
        <v>0</v>
      </c>
      <c r="AS43" s="67">
        <f t="shared" si="15"/>
        <v>0.22522</v>
      </c>
      <c r="AT43" s="75">
        <v>0</v>
      </c>
      <c r="AU43" s="67">
        <f t="shared" si="16"/>
        <v>0.00484690653333333</v>
      </c>
      <c r="AV43" s="71">
        <f t="shared" si="17"/>
        <v>0.193045714285714</v>
      </c>
      <c r="AW43" s="71"/>
      <c r="AX43" s="67"/>
      <c r="AY43" s="67">
        <f t="shared" si="18"/>
        <v>0.03579664504</v>
      </c>
      <c r="AZ43" s="67"/>
      <c r="BA43" s="67">
        <f t="shared" si="19"/>
        <v>0.197892620819048</v>
      </c>
      <c r="BB43" s="75"/>
    </row>
    <row r="44" spans="1:54">
      <c r="A44" s="64">
        <v>39</v>
      </c>
      <c r="B44" s="65" t="s">
        <v>130</v>
      </c>
      <c r="C44" s="65" t="s">
        <v>130</v>
      </c>
      <c r="D44" s="65" t="s">
        <v>128</v>
      </c>
      <c r="E44" s="65" t="s">
        <v>129</v>
      </c>
      <c r="F44" s="66">
        <v>52.94</v>
      </c>
      <c r="G44" s="67">
        <f t="shared" si="0"/>
        <v>19.0693223271628</v>
      </c>
      <c r="H44" s="67">
        <f t="shared" si="1"/>
        <v>1009.529924</v>
      </c>
      <c r="I44" s="75">
        <v>3</v>
      </c>
      <c r="J44" s="75">
        <v>3</v>
      </c>
      <c r="K44" s="76">
        <f t="shared" si="2"/>
        <v>994.495322</v>
      </c>
      <c r="L44" s="76">
        <f t="shared" si="3"/>
        <v>676.855322</v>
      </c>
      <c r="M44" s="75">
        <v>0</v>
      </c>
      <c r="N44" s="77">
        <v>0</v>
      </c>
      <c r="O44" s="75">
        <v>0</v>
      </c>
      <c r="P44" s="67">
        <f t="shared" si="4"/>
        <v>105.88</v>
      </c>
      <c r="Q44" s="77">
        <v>332.674602</v>
      </c>
      <c r="R44" s="67">
        <f t="shared" si="5"/>
        <v>317.64</v>
      </c>
      <c r="S44" s="67">
        <v>0</v>
      </c>
      <c r="T44" s="76">
        <f t="shared" si="6"/>
        <v>61.349151</v>
      </c>
      <c r="U44" s="76"/>
      <c r="V44" s="77">
        <v>0</v>
      </c>
      <c r="W44" s="75">
        <v>0</v>
      </c>
      <c r="X44" s="76"/>
      <c r="Y44" s="77">
        <v>0</v>
      </c>
      <c r="Z44" s="77">
        <v>0</v>
      </c>
      <c r="AA44" s="67">
        <f t="shared" si="7"/>
        <v>0</v>
      </c>
      <c r="AB44" s="77">
        <v>0</v>
      </c>
      <c r="AC44" s="67">
        <f t="shared" si="8"/>
        <v>0</v>
      </c>
      <c r="AD44" s="77">
        <v>0</v>
      </c>
      <c r="AE44" s="67">
        <f t="shared" si="9"/>
        <v>0</v>
      </c>
      <c r="AF44" s="82">
        <v>0</v>
      </c>
      <c r="AG44" s="67">
        <f t="shared" si="10"/>
        <v>0</v>
      </c>
      <c r="AH44" s="77">
        <v>0</v>
      </c>
      <c r="AI44" s="67">
        <f t="shared" si="11"/>
        <v>0</v>
      </c>
      <c r="AJ44" s="77">
        <v>61.349151</v>
      </c>
      <c r="AK44" s="77">
        <v>0</v>
      </c>
      <c r="AL44" s="77">
        <v>0</v>
      </c>
      <c r="AM44" s="77">
        <v>0</v>
      </c>
      <c r="AN44" s="77">
        <v>0</v>
      </c>
      <c r="AO44" s="77">
        <v>615.506171</v>
      </c>
      <c r="AP44" s="67">
        <f t="shared" si="12"/>
        <v>105.88</v>
      </c>
      <c r="AQ44" s="91">
        <f t="shared" si="13"/>
        <v>0.21176</v>
      </c>
      <c r="AR44" s="92">
        <f t="shared" si="14"/>
        <v>0</v>
      </c>
      <c r="AS44" s="67">
        <f t="shared" si="15"/>
        <v>0.10588</v>
      </c>
      <c r="AT44" s="75">
        <v>0</v>
      </c>
      <c r="AU44" s="67">
        <f t="shared" si="16"/>
        <v>0.0081798868</v>
      </c>
      <c r="AV44" s="71">
        <f t="shared" si="17"/>
        <v>0.0907542857142857</v>
      </c>
      <c r="AW44" s="71"/>
      <c r="AX44" s="67"/>
      <c r="AY44" s="67">
        <f t="shared" si="18"/>
        <v>0.04924049368</v>
      </c>
      <c r="AZ44" s="67"/>
      <c r="BA44" s="67">
        <f t="shared" si="19"/>
        <v>0.0989341725142857</v>
      </c>
      <c r="BB44" s="75"/>
    </row>
    <row r="45" spans="1:54">
      <c r="A45" s="64">
        <v>40</v>
      </c>
      <c r="B45" s="65" t="s">
        <v>131</v>
      </c>
      <c r="C45" s="65" t="s">
        <v>131</v>
      </c>
      <c r="D45" s="65" t="s">
        <v>128</v>
      </c>
      <c r="E45" s="65" t="s">
        <v>132</v>
      </c>
      <c r="F45" s="66">
        <v>51.04</v>
      </c>
      <c r="G45" s="67">
        <f t="shared" si="0"/>
        <v>19.6295080329154</v>
      </c>
      <c r="H45" s="67">
        <f t="shared" si="1"/>
        <v>1001.89009</v>
      </c>
      <c r="I45" s="75">
        <v>3</v>
      </c>
      <c r="J45" s="75">
        <v>3</v>
      </c>
      <c r="K45" s="76">
        <f t="shared" si="2"/>
        <v>1059.17634</v>
      </c>
      <c r="L45" s="76">
        <f t="shared" si="3"/>
        <v>752.93634</v>
      </c>
      <c r="M45" s="75">
        <v>0</v>
      </c>
      <c r="N45" s="77">
        <v>0</v>
      </c>
      <c r="O45" s="75">
        <v>0</v>
      </c>
      <c r="P45" s="67">
        <f t="shared" si="4"/>
        <v>102.08</v>
      </c>
      <c r="Q45" s="77">
        <v>248.95375</v>
      </c>
      <c r="R45" s="67">
        <f t="shared" si="5"/>
        <v>306.24</v>
      </c>
      <c r="S45" s="67">
        <v>0</v>
      </c>
      <c r="T45" s="76">
        <f t="shared" si="6"/>
        <v>211.179806</v>
      </c>
      <c r="U45" s="76"/>
      <c r="V45" s="77">
        <v>0</v>
      </c>
      <c r="W45" s="75">
        <v>0</v>
      </c>
      <c r="X45" s="76"/>
      <c r="Y45" s="77">
        <v>0</v>
      </c>
      <c r="Z45" s="77">
        <v>0</v>
      </c>
      <c r="AA45" s="67">
        <f t="shared" si="7"/>
        <v>0</v>
      </c>
      <c r="AB45" s="77">
        <v>0</v>
      </c>
      <c r="AC45" s="67">
        <f t="shared" si="8"/>
        <v>0</v>
      </c>
      <c r="AD45" s="77">
        <v>0</v>
      </c>
      <c r="AE45" s="67">
        <f t="shared" si="9"/>
        <v>0</v>
      </c>
      <c r="AF45" s="82">
        <v>0</v>
      </c>
      <c r="AG45" s="67">
        <f t="shared" si="10"/>
        <v>0</v>
      </c>
      <c r="AH45" s="77">
        <v>0</v>
      </c>
      <c r="AI45" s="67">
        <f t="shared" si="11"/>
        <v>0</v>
      </c>
      <c r="AJ45" s="77">
        <v>56.425481</v>
      </c>
      <c r="AK45" s="77">
        <v>154.754325</v>
      </c>
      <c r="AL45" s="77">
        <v>0</v>
      </c>
      <c r="AM45" s="77">
        <v>0</v>
      </c>
      <c r="AN45" s="77">
        <v>0</v>
      </c>
      <c r="AO45" s="77">
        <v>541.756534</v>
      </c>
      <c r="AP45" s="67">
        <f t="shared" si="12"/>
        <v>102.08</v>
      </c>
      <c r="AQ45" s="91">
        <f t="shared" si="13"/>
        <v>0.20416</v>
      </c>
      <c r="AR45" s="92">
        <f t="shared" si="14"/>
        <v>0</v>
      </c>
      <c r="AS45" s="67">
        <f t="shared" si="15"/>
        <v>0.10208</v>
      </c>
      <c r="AT45" s="75">
        <v>0</v>
      </c>
      <c r="AU45" s="67">
        <f t="shared" si="16"/>
        <v>0.0281573074666667</v>
      </c>
      <c r="AV45" s="71">
        <f t="shared" si="17"/>
        <v>0.0874971428571428</v>
      </c>
      <c r="AW45" s="71"/>
      <c r="AX45" s="67"/>
      <c r="AY45" s="67">
        <f t="shared" si="18"/>
        <v>0.04334052272</v>
      </c>
      <c r="AZ45" s="67"/>
      <c r="BA45" s="67">
        <f t="shared" si="19"/>
        <v>0.115654450323809</v>
      </c>
      <c r="BB45" s="75"/>
    </row>
    <row r="46" spans="1:54">
      <c r="A46" s="64">
        <v>41</v>
      </c>
      <c r="B46" s="65" t="s">
        <v>133</v>
      </c>
      <c r="C46" s="65" t="s">
        <v>133</v>
      </c>
      <c r="D46" s="65" t="s">
        <v>119</v>
      </c>
      <c r="E46" s="65" t="s">
        <v>127</v>
      </c>
      <c r="F46" s="66">
        <v>154.88</v>
      </c>
      <c r="G46" s="67">
        <f t="shared" si="0"/>
        <v>14.8837656508264</v>
      </c>
      <c r="H46" s="67">
        <f t="shared" si="1"/>
        <v>2305.197624</v>
      </c>
      <c r="I46" s="75">
        <v>3</v>
      </c>
      <c r="J46" s="75">
        <v>3</v>
      </c>
      <c r="K46" s="76">
        <f t="shared" si="2"/>
        <v>2031.637392</v>
      </c>
      <c r="L46" s="76">
        <f t="shared" si="3"/>
        <v>1102.357392</v>
      </c>
      <c r="M46" s="75">
        <v>0</v>
      </c>
      <c r="N46" s="77">
        <v>0</v>
      </c>
      <c r="O46" s="75">
        <v>0</v>
      </c>
      <c r="P46" s="67">
        <f t="shared" si="4"/>
        <v>309.76</v>
      </c>
      <c r="Q46" s="77">
        <v>1202.840232</v>
      </c>
      <c r="R46" s="67">
        <f t="shared" si="5"/>
        <v>929.28</v>
      </c>
      <c r="S46" s="67">
        <v>0</v>
      </c>
      <c r="T46" s="76">
        <f t="shared" si="6"/>
        <v>1102.357392</v>
      </c>
      <c r="U46" s="76"/>
      <c r="V46" s="77">
        <v>0</v>
      </c>
      <c r="W46" s="75">
        <v>0</v>
      </c>
      <c r="X46" s="76"/>
      <c r="Y46" s="77">
        <v>1102.357392</v>
      </c>
      <c r="Z46" s="77">
        <v>0</v>
      </c>
      <c r="AA46" s="67">
        <f t="shared" si="7"/>
        <v>0</v>
      </c>
      <c r="AB46" s="77">
        <v>0</v>
      </c>
      <c r="AC46" s="67">
        <f t="shared" si="8"/>
        <v>0</v>
      </c>
      <c r="AD46" s="77">
        <v>0</v>
      </c>
      <c r="AE46" s="67">
        <f t="shared" si="9"/>
        <v>0</v>
      </c>
      <c r="AF46" s="82">
        <v>0</v>
      </c>
      <c r="AG46" s="67">
        <f t="shared" si="10"/>
        <v>0</v>
      </c>
      <c r="AH46" s="77">
        <v>0</v>
      </c>
      <c r="AI46" s="67">
        <f t="shared" si="11"/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67">
        <f t="shared" si="12"/>
        <v>309.76</v>
      </c>
      <c r="AQ46" s="91">
        <f t="shared" si="13"/>
        <v>0.61952</v>
      </c>
      <c r="AR46" s="92">
        <f t="shared" si="14"/>
        <v>0</v>
      </c>
      <c r="AS46" s="67">
        <f t="shared" si="15"/>
        <v>0.30976</v>
      </c>
      <c r="AT46" s="75">
        <v>0</v>
      </c>
      <c r="AU46" s="67">
        <f t="shared" si="16"/>
        <v>0.1469809856</v>
      </c>
      <c r="AV46" s="71">
        <f t="shared" si="17"/>
        <v>0.265508571428571</v>
      </c>
      <c r="AW46" s="71"/>
      <c r="AX46" s="67"/>
      <c r="AY46" s="67">
        <f t="shared" si="18"/>
        <v>0</v>
      </c>
      <c r="AZ46" s="67"/>
      <c r="BA46" s="67">
        <f t="shared" si="19"/>
        <v>0.412489557028571</v>
      </c>
      <c r="BB46" s="75"/>
    </row>
    <row r="47" spans="1:54">
      <c r="A47" s="64">
        <v>42</v>
      </c>
      <c r="B47" s="65" t="s">
        <v>134</v>
      </c>
      <c r="C47" s="65" t="s">
        <v>134</v>
      </c>
      <c r="D47" s="65" t="s">
        <v>80</v>
      </c>
      <c r="E47" s="65" t="s">
        <v>135</v>
      </c>
      <c r="F47" s="66">
        <v>515.2</v>
      </c>
      <c r="G47" s="67">
        <f t="shared" si="0"/>
        <v>13.8995397612578</v>
      </c>
      <c r="H47" s="67">
        <f t="shared" si="1"/>
        <v>7161.042885</v>
      </c>
      <c r="I47" s="75">
        <v>2</v>
      </c>
      <c r="J47" s="78">
        <v>3</v>
      </c>
      <c r="K47" s="76">
        <f t="shared" si="2"/>
        <v>6343.752348</v>
      </c>
      <c r="L47" s="76">
        <f t="shared" si="3"/>
        <v>3191.058674</v>
      </c>
      <c r="M47" s="75">
        <v>2</v>
      </c>
      <c r="N47" s="77">
        <v>0</v>
      </c>
      <c r="O47" s="75">
        <v>0</v>
      </c>
      <c r="P47" s="67">
        <f t="shared" si="4"/>
        <v>1030.4</v>
      </c>
      <c r="Q47" s="77">
        <v>3908.490537</v>
      </c>
      <c r="R47" s="67">
        <f t="shared" si="5"/>
        <v>3091.2</v>
      </c>
      <c r="S47" s="67">
        <v>0</v>
      </c>
      <c r="T47" s="76">
        <f t="shared" si="6"/>
        <v>1978.699742</v>
      </c>
      <c r="U47" s="76"/>
      <c r="V47" s="77">
        <v>0</v>
      </c>
      <c r="W47" s="75">
        <v>0</v>
      </c>
      <c r="X47" s="76"/>
      <c r="Y47" s="77">
        <v>703.423889</v>
      </c>
      <c r="Z47" s="77">
        <v>0</v>
      </c>
      <c r="AA47" s="67">
        <f t="shared" si="7"/>
        <v>0</v>
      </c>
      <c r="AB47" s="77">
        <v>30.746837</v>
      </c>
      <c r="AC47" s="67">
        <f t="shared" si="8"/>
        <v>61.493674</v>
      </c>
      <c r="AD47" s="77">
        <v>0</v>
      </c>
      <c r="AE47" s="67">
        <f t="shared" si="9"/>
        <v>0</v>
      </c>
      <c r="AF47" s="82">
        <v>0</v>
      </c>
      <c r="AG47" s="67">
        <f t="shared" si="10"/>
        <v>0</v>
      </c>
      <c r="AH47" s="77">
        <v>0</v>
      </c>
      <c r="AI47" s="67">
        <f t="shared" si="11"/>
        <v>0</v>
      </c>
      <c r="AJ47" s="77">
        <v>1275.275853</v>
      </c>
      <c r="AK47" s="77">
        <v>0</v>
      </c>
      <c r="AL47" s="77">
        <v>0</v>
      </c>
      <c r="AM47" s="77">
        <v>0</v>
      </c>
      <c r="AN47" s="77">
        <v>0</v>
      </c>
      <c r="AO47" s="77">
        <v>1212.358932</v>
      </c>
      <c r="AP47" s="67">
        <f t="shared" si="12"/>
        <v>1030.4</v>
      </c>
      <c r="AQ47" s="91">
        <f t="shared" si="13"/>
        <v>2.0608</v>
      </c>
      <c r="AR47" s="92">
        <f t="shared" si="14"/>
        <v>0</v>
      </c>
      <c r="AS47" s="67">
        <f t="shared" si="15"/>
        <v>1.0304</v>
      </c>
      <c r="AT47" s="75">
        <v>0</v>
      </c>
      <c r="AU47" s="67">
        <f t="shared" si="16"/>
        <v>0.263826632266667</v>
      </c>
      <c r="AV47" s="71">
        <f t="shared" si="17"/>
        <v>0.8832</v>
      </c>
      <c r="AW47" s="71"/>
      <c r="AX47" s="67"/>
      <c r="AY47" s="67">
        <f t="shared" si="18"/>
        <v>0.09698871456</v>
      </c>
      <c r="AZ47" s="67"/>
      <c r="BA47" s="67">
        <f t="shared" si="19"/>
        <v>1.14702663226667</v>
      </c>
      <c r="BB47" s="75"/>
    </row>
    <row r="48" spans="1:54">
      <c r="A48" s="64">
        <v>43</v>
      </c>
      <c r="B48" s="65" t="s">
        <v>136</v>
      </c>
      <c r="C48" s="65" t="s">
        <v>136</v>
      </c>
      <c r="D48" s="65" t="s">
        <v>137</v>
      </c>
      <c r="E48" s="65" t="s">
        <v>138</v>
      </c>
      <c r="F48" s="66">
        <v>239.65</v>
      </c>
      <c r="G48" s="67">
        <f t="shared" si="0"/>
        <v>9.01893335697893</v>
      </c>
      <c r="H48" s="67">
        <f t="shared" si="1"/>
        <v>2161.387379</v>
      </c>
      <c r="I48" s="75">
        <v>2</v>
      </c>
      <c r="J48" s="78">
        <v>3</v>
      </c>
      <c r="K48" s="76">
        <f t="shared" si="2"/>
        <v>2428.663001</v>
      </c>
      <c r="L48" s="76">
        <f t="shared" si="3"/>
        <v>990.763001</v>
      </c>
      <c r="M48" s="75">
        <v>0</v>
      </c>
      <c r="N48" s="77">
        <v>0</v>
      </c>
      <c r="O48" s="75">
        <v>0</v>
      </c>
      <c r="P48" s="67">
        <f t="shared" si="4"/>
        <v>479.3</v>
      </c>
      <c r="Q48" s="77">
        <v>1170.624378</v>
      </c>
      <c r="R48" s="67">
        <f t="shared" si="5"/>
        <v>1437.9</v>
      </c>
      <c r="S48" s="67">
        <v>0</v>
      </c>
      <c r="T48" s="76">
        <f t="shared" si="6"/>
        <v>762.44899</v>
      </c>
      <c r="U48" s="76"/>
      <c r="V48" s="77">
        <v>0</v>
      </c>
      <c r="W48" s="75">
        <v>0</v>
      </c>
      <c r="X48" s="76"/>
      <c r="Y48" s="77">
        <v>689.434496</v>
      </c>
      <c r="Z48" s="77">
        <v>0</v>
      </c>
      <c r="AA48" s="67">
        <f t="shared" si="7"/>
        <v>0</v>
      </c>
      <c r="AB48" s="77">
        <v>0</v>
      </c>
      <c r="AC48" s="67">
        <f t="shared" si="8"/>
        <v>0</v>
      </c>
      <c r="AD48" s="77">
        <v>0</v>
      </c>
      <c r="AE48" s="67">
        <f t="shared" si="9"/>
        <v>0</v>
      </c>
      <c r="AF48" s="82">
        <v>0</v>
      </c>
      <c r="AG48" s="67">
        <f t="shared" si="10"/>
        <v>0</v>
      </c>
      <c r="AH48" s="77">
        <v>36.507247</v>
      </c>
      <c r="AI48" s="67">
        <f t="shared" si="11"/>
        <v>73.014494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  <c r="AO48" s="77">
        <v>228.314011</v>
      </c>
      <c r="AP48" s="67">
        <f t="shared" si="12"/>
        <v>479.3</v>
      </c>
      <c r="AQ48" s="91">
        <f t="shared" si="13"/>
        <v>0.9586</v>
      </c>
      <c r="AR48" s="92">
        <f t="shared" si="14"/>
        <v>0</v>
      </c>
      <c r="AS48" s="67">
        <f t="shared" si="15"/>
        <v>0.4793</v>
      </c>
      <c r="AT48" s="75">
        <v>0</v>
      </c>
      <c r="AU48" s="67">
        <f t="shared" si="16"/>
        <v>0.101659865333333</v>
      </c>
      <c r="AV48" s="71">
        <f t="shared" si="17"/>
        <v>0.410828571428571</v>
      </c>
      <c r="AW48" s="71"/>
      <c r="AX48" s="67"/>
      <c r="AY48" s="67">
        <f t="shared" si="18"/>
        <v>0.01826512088</v>
      </c>
      <c r="AZ48" s="67"/>
      <c r="BA48" s="67">
        <f t="shared" si="19"/>
        <v>0.512488436761905</v>
      </c>
      <c r="BB48" s="75"/>
    </row>
    <row r="49" spans="1:54">
      <c r="A49" s="64">
        <v>44</v>
      </c>
      <c r="B49" s="65" t="s">
        <v>85</v>
      </c>
      <c r="C49" s="65" t="s">
        <v>85</v>
      </c>
      <c r="D49" s="65" t="s">
        <v>139</v>
      </c>
      <c r="E49" s="65" t="s">
        <v>140</v>
      </c>
      <c r="F49" s="66">
        <v>549.04</v>
      </c>
      <c r="G49" s="67">
        <f t="shared" si="0"/>
        <v>35.1258081669824</v>
      </c>
      <c r="H49" s="67">
        <f t="shared" si="1"/>
        <v>19285.473716</v>
      </c>
      <c r="I49" s="75">
        <v>2</v>
      </c>
      <c r="J49" s="78">
        <v>3</v>
      </c>
      <c r="K49" s="76">
        <f t="shared" si="2"/>
        <v>14460.695358</v>
      </c>
      <c r="L49" s="76">
        <f t="shared" si="3"/>
        <v>11166.455358</v>
      </c>
      <c r="M49" s="75">
        <v>0</v>
      </c>
      <c r="N49" s="77">
        <v>0</v>
      </c>
      <c r="O49" s="75">
        <v>0</v>
      </c>
      <c r="P49" s="67">
        <f t="shared" si="4"/>
        <v>1098.08</v>
      </c>
      <c r="Q49" s="77">
        <v>8119.018358</v>
      </c>
      <c r="R49" s="67">
        <f t="shared" si="5"/>
        <v>3294.24</v>
      </c>
      <c r="S49" s="67">
        <v>0</v>
      </c>
      <c r="T49" s="76">
        <f t="shared" si="6"/>
        <v>7179.486072</v>
      </c>
      <c r="U49" s="76"/>
      <c r="V49" s="77">
        <v>0</v>
      </c>
      <c r="W49" s="75">
        <v>0</v>
      </c>
      <c r="X49" s="76"/>
      <c r="Y49" s="77">
        <v>1859.632388</v>
      </c>
      <c r="Z49" s="77">
        <v>0</v>
      </c>
      <c r="AA49" s="67">
        <f t="shared" si="7"/>
        <v>0</v>
      </c>
      <c r="AB49" s="77">
        <v>0</v>
      </c>
      <c r="AC49" s="67">
        <f t="shared" si="8"/>
        <v>0</v>
      </c>
      <c r="AD49" s="77">
        <v>0</v>
      </c>
      <c r="AE49" s="67">
        <f t="shared" si="9"/>
        <v>0</v>
      </c>
      <c r="AF49" s="82">
        <v>0</v>
      </c>
      <c r="AG49" s="67">
        <f t="shared" si="10"/>
        <v>0</v>
      </c>
      <c r="AH49" s="77">
        <v>0</v>
      </c>
      <c r="AI49" s="67">
        <f t="shared" si="11"/>
        <v>0</v>
      </c>
      <c r="AJ49" s="77">
        <v>5319.853684</v>
      </c>
      <c r="AK49" s="77">
        <v>0</v>
      </c>
      <c r="AL49" s="77">
        <v>0</v>
      </c>
      <c r="AM49" s="77">
        <v>0</v>
      </c>
      <c r="AN49" s="77">
        <v>0</v>
      </c>
      <c r="AO49" s="77">
        <v>3986.969286</v>
      </c>
      <c r="AP49" s="67">
        <f t="shared" si="12"/>
        <v>1098.08</v>
      </c>
      <c r="AQ49" s="91">
        <f t="shared" si="13"/>
        <v>2.19616</v>
      </c>
      <c r="AR49" s="92">
        <f t="shared" si="14"/>
        <v>0</v>
      </c>
      <c r="AS49" s="67">
        <f t="shared" si="15"/>
        <v>1.09808</v>
      </c>
      <c r="AT49" s="75">
        <v>0</v>
      </c>
      <c r="AU49" s="67">
        <f t="shared" si="16"/>
        <v>0.9572648096</v>
      </c>
      <c r="AV49" s="71">
        <f t="shared" si="17"/>
        <v>0.941211428571428</v>
      </c>
      <c r="AW49" s="71"/>
      <c r="AX49" s="67"/>
      <c r="AY49" s="67">
        <f t="shared" si="18"/>
        <v>0.31895754288</v>
      </c>
      <c r="AZ49" s="67"/>
      <c r="BA49" s="67">
        <f t="shared" si="19"/>
        <v>1.89847623817143</v>
      </c>
      <c r="BB49" s="75"/>
    </row>
    <row r="50" spans="1:54">
      <c r="A50" s="64">
        <v>45</v>
      </c>
      <c r="B50" s="65" t="s">
        <v>85</v>
      </c>
      <c r="C50" s="65" t="s">
        <v>85</v>
      </c>
      <c r="D50" s="65" t="s">
        <v>140</v>
      </c>
      <c r="E50" s="65" t="s">
        <v>83</v>
      </c>
      <c r="F50" s="66">
        <v>337.03</v>
      </c>
      <c r="G50" s="67">
        <f t="shared" si="0"/>
        <v>30.673764833991</v>
      </c>
      <c r="H50" s="67">
        <f t="shared" si="1"/>
        <v>10337.978962</v>
      </c>
      <c r="I50" s="75">
        <v>2</v>
      </c>
      <c r="J50" s="78">
        <v>3</v>
      </c>
      <c r="K50" s="76">
        <f t="shared" si="2"/>
        <v>7248.381165</v>
      </c>
      <c r="L50" s="76">
        <f t="shared" si="3"/>
        <v>5226.201165</v>
      </c>
      <c r="M50" s="75">
        <v>2</v>
      </c>
      <c r="N50" s="77">
        <v>0</v>
      </c>
      <c r="O50" s="75">
        <v>0</v>
      </c>
      <c r="P50" s="67">
        <f t="shared" si="4"/>
        <v>674.06</v>
      </c>
      <c r="Q50" s="77">
        <v>5111.777797</v>
      </c>
      <c r="R50" s="67">
        <f t="shared" si="5"/>
        <v>2022.18</v>
      </c>
      <c r="S50" s="67">
        <v>0</v>
      </c>
      <c r="T50" s="76">
        <f t="shared" si="6"/>
        <v>3442.227682</v>
      </c>
      <c r="U50" s="76"/>
      <c r="V50" s="77">
        <v>0</v>
      </c>
      <c r="W50" s="75">
        <v>0</v>
      </c>
      <c r="X50" s="76"/>
      <c r="Y50" s="77">
        <v>1325.408733</v>
      </c>
      <c r="Z50" s="77">
        <v>0</v>
      </c>
      <c r="AA50" s="67">
        <f t="shared" si="7"/>
        <v>0</v>
      </c>
      <c r="AB50" s="77">
        <v>0</v>
      </c>
      <c r="AC50" s="67">
        <f t="shared" si="8"/>
        <v>0</v>
      </c>
      <c r="AD50" s="77">
        <v>0</v>
      </c>
      <c r="AE50" s="67">
        <f t="shared" si="9"/>
        <v>0</v>
      </c>
      <c r="AF50" s="82">
        <v>0</v>
      </c>
      <c r="AG50" s="67">
        <f t="shared" si="10"/>
        <v>0</v>
      </c>
      <c r="AH50" s="77">
        <v>0</v>
      </c>
      <c r="AI50" s="67">
        <f t="shared" si="11"/>
        <v>0</v>
      </c>
      <c r="AJ50" s="77">
        <v>2116.818949</v>
      </c>
      <c r="AK50" s="77">
        <v>0</v>
      </c>
      <c r="AL50" s="77">
        <v>0</v>
      </c>
      <c r="AM50" s="77">
        <v>0</v>
      </c>
      <c r="AN50" s="77">
        <v>0</v>
      </c>
      <c r="AO50" s="77">
        <v>1783.973483</v>
      </c>
      <c r="AP50" s="67">
        <f t="shared" si="12"/>
        <v>674.06</v>
      </c>
      <c r="AQ50" s="91">
        <f t="shared" si="13"/>
        <v>1.34812</v>
      </c>
      <c r="AR50" s="92">
        <f t="shared" si="14"/>
        <v>0</v>
      </c>
      <c r="AS50" s="67">
        <f t="shared" si="15"/>
        <v>0.67406</v>
      </c>
      <c r="AT50" s="75">
        <v>0</v>
      </c>
      <c r="AU50" s="67">
        <f t="shared" si="16"/>
        <v>0.458963690933333</v>
      </c>
      <c r="AV50" s="71">
        <f t="shared" si="17"/>
        <v>0.577765714285714</v>
      </c>
      <c r="AW50" s="71"/>
      <c r="AX50" s="67"/>
      <c r="AY50" s="67">
        <f t="shared" si="18"/>
        <v>0.14271787864</v>
      </c>
      <c r="AZ50" s="67"/>
      <c r="BA50" s="67">
        <f t="shared" si="19"/>
        <v>1.03672940521905</v>
      </c>
      <c r="BB50" s="75"/>
    </row>
    <row r="51" spans="1:54">
      <c r="A51" s="64">
        <v>46</v>
      </c>
      <c r="B51" s="65" t="s">
        <v>85</v>
      </c>
      <c r="C51" s="65" t="s">
        <v>141</v>
      </c>
      <c r="D51" s="65"/>
      <c r="E51" s="65"/>
      <c r="F51" s="66">
        <v>30.76</v>
      </c>
      <c r="G51" s="67">
        <f t="shared" si="0"/>
        <v>17.5530554616385</v>
      </c>
      <c r="H51" s="67">
        <f t="shared" si="1"/>
        <v>539.931986</v>
      </c>
      <c r="I51" s="75">
        <v>2</v>
      </c>
      <c r="J51" s="78">
        <v>3</v>
      </c>
      <c r="K51" s="76">
        <f t="shared" si="2"/>
        <v>184.56</v>
      </c>
      <c r="L51" s="76">
        <f t="shared" si="3"/>
        <v>0</v>
      </c>
      <c r="M51" s="75">
        <v>0</v>
      </c>
      <c r="N51" s="77">
        <v>0</v>
      </c>
      <c r="O51" s="75">
        <v>0</v>
      </c>
      <c r="P51" s="67">
        <f t="shared" si="4"/>
        <v>61.52</v>
      </c>
      <c r="Q51" s="77">
        <v>539.931986</v>
      </c>
      <c r="R51" s="67">
        <f t="shared" si="5"/>
        <v>184.56</v>
      </c>
      <c r="S51" s="67">
        <v>0</v>
      </c>
      <c r="T51" s="76">
        <f t="shared" si="6"/>
        <v>0</v>
      </c>
      <c r="U51" s="76"/>
      <c r="V51" s="77">
        <v>0</v>
      </c>
      <c r="W51" s="75">
        <v>0</v>
      </c>
      <c r="X51" s="76"/>
      <c r="Y51" s="77">
        <v>0</v>
      </c>
      <c r="Z51" s="77">
        <v>0</v>
      </c>
      <c r="AA51" s="67">
        <f t="shared" si="7"/>
        <v>0</v>
      </c>
      <c r="AB51" s="77">
        <v>0</v>
      </c>
      <c r="AC51" s="67">
        <f t="shared" si="8"/>
        <v>0</v>
      </c>
      <c r="AD51" s="77">
        <v>0</v>
      </c>
      <c r="AE51" s="67">
        <f t="shared" si="9"/>
        <v>0</v>
      </c>
      <c r="AF51" s="82">
        <v>0</v>
      </c>
      <c r="AG51" s="67">
        <f t="shared" si="10"/>
        <v>0</v>
      </c>
      <c r="AH51" s="77">
        <v>0</v>
      </c>
      <c r="AI51" s="67">
        <f t="shared" si="11"/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  <c r="AO51" s="77">
        <v>0</v>
      </c>
      <c r="AP51" s="67">
        <f t="shared" si="12"/>
        <v>61.52</v>
      </c>
      <c r="AQ51" s="91">
        <f t="shared" si="13"/>
        <v>0.12304</v>
      </c>
      <c r="AR51" s="92">
        <f t="shared" si="14"/>
        <v>0</v>
      </c>
      <c r="AS51" s="67">
        <f t="shared" si="15"/>
        <v>0.06152</v>
      </c>
      <c r="AT51" s="75">
        <v>0</v>
      </c>
      <c r="AU51" s="67">
        <f t="shared" si="16"/>
        <v>0</v>
      </c>
      <c r="AV51" s="71">
        <f t="shared" si="17"/>
        <v>0.0527314285714286</v>
      </c>
      <c r="AW51" s="71"/>
      <c r="AX51" s="67"/>
      <c r="AY51" s="67">
        <f t="shared" si="18"/>
        <v>0</v>
      </c>
      <c r="AZ51" s="67"/>
      <c r="BA51" s="67">
        <f t="shared" si="19"/>
        <v>0.0527314285714286</v>
      </c>
      <c r="BB51" s="75"/>
    </row>
    <row r="52" spans="1:54">
      <c r="A52" s="64">
        <v>47</v>
      </c>
      <c r="B52" s="65" t="s">
        <v>85</v>
      </c>
      <c r="C52" s="65" t="s">
        <v>85</v>
      </c>
      <c r="D52" s="65" t="s">
        <v>138</v>
      </c>
      <c r="E52" s="65" t="s">
        <v>139</v>
      </c>
      <c r="F52" s="66">
        <v>167.75</v>
      </c>
      <c r="G52" s="67">
        <f t="shared" si="0"/>
        <v>8.42002529955291</v>
      </c>
      <c r="H52" s="67">
        <f t="shared" si="1"/>
        <v>1412.459244</v>
      </c>
      <c r="I52" s="75">
        <v>2</v>
      </c>
      <c r="J52" s="78">
        <v>3</v>
      </c>
      <c r="K52" s="76">
        <f t="shared" si="2"/>
        <v>1365.211175</v>
      </c>
      <c r="L52" s="76">
        <f t="shared" si="3"/>
        <v>358.711175</v>
      </c>
      <c r="M52" s="75">
        <v>0</v>
      </c>
      <c r="N52" s="77">
        <v>0</v>
      </c>
      <c r="O52" s="75">
        <v>0</v>
      </c>
      <c r="P52" s="67">
        <f t="shared" si="4"/>
        <v>335.5</v>
      </c>
      <c r="Q52" s="77">
        <v>1053.748069</v>
      </c>
      <c r="R52" s="67">
        <f t="shared" si="5"/>
        <v>1006.5</v>
      </c>
      <c r="S52" s="67">
        <v>0</v>
      </c>
      <c r="T52" s="76">
        <f t="shared" si="6"/>
        <v>358.711175</v>
      </c>
      <c r="U52" s="76"/>
      <c r="V52" s="77">
        <v>0</v>
      </c>
      <c r="W52" s="75">
        <v>0</v>
      </c>
      <c r="X52" s="76"/>
      <c r="Y52" s="77">
        <v>265.842347</v>
      </c>
      <c r="Z52" s="77">
        <v>0</v>
      </c>
      <c r="AA52" s="67">
        <f t="shared" si="7"/>
        <v>0</v>
      </c>
      <c r="AB52" s="77">
        <v>0</v>
      </c>
      <c r="AC52" s="67">
        <f t="shared" si="8"/>
        <v>0</v>
      </c>
      <c r="AD52" s="77">
        <v>0</v>
      </c>
      <c r="AE52" s="67">
        <f t="shared" si="9"/>
        <v>0</v>
      </c>
      <c r="AF52" s="82">
        <v>0</v>
      </c>
      <c r="AG52" s="67">
        <f t="shared" si="10"/>
        <v>0</v>
      </c>
      <c r="AH52" s="77">
        <v>0</v>
      </c>
      <c r="AI52" s="67">
        <f t="shared" si="11"/>
        <v>0</v>
      </c>
      <c r="AJ52" s="77">
        <v>92.868828</v>
      </c>
      <c r="AK52" s="77">
        <v>0</v>
      </c>
      <c r="AL52" s="77">
        <v>0</v>
      </c>
      <c r="AM52" s="77">
        <v>0</v>
      </c>
      <c r="AN52" s="77">
        <v>0</v>
      </c>
      <c r="AO52" s="77">
        <v>0</v>
      </c>
      <c r="AP52" s="67">
        <f t="shared" si="12"/>
        <v>335.5</v>
      </c>
      <c r="AQ52" s="91">
        <f t="shared" si="13"/>
        <v>0.671</v>
      </c>
      <c r="AR52" s="92">
        <f t="shared" si="14"/>
        <v>0</v>
      </c>
      <c r="AS52" s="67">
        <f t="shared" si="15"/>
        <v>0.3355</v>
      </c>
      <c r="AT52" s="75">
        <v>0</v>
      </c>
      <c r="AU52" s="67">
        <f t="shared" si="16"/>
        <v>0.0478281566666667</v>
      </c>
      <c r="AV52" s="71">
        <f t="shared" si="17"/>
        <v>0.287571428571429</v>
      </c>
      <c r="AW52" s="71"/>
      <c r="AX52" s="67"/>
      <c r="AY52" s="67">
        <f t="shared" si="18"/>
        <v>0</v>
      </c>
      <c r="AZ52" s="67"/>
      <c r="BA52" s="67">
        <f t="shared" si="19"/>
        <v>0.335399585238095</v>
      </c>
      <c r="BB52" s="75"/>
    </row>
    <row r="53" spans="1:54">
      <c r="A53" s="64">
        <v>48</v>
      </c>
      <c r="B53" s="65" t="s">
        <v>135</v>
      </c>
      <c r="C53" s="65" t="s">
        <v>135</v>
      </c>
      <c r="D53" s="65" t="s">
        <v>142</v>
      </c>
      <c r="E53" s="65" t="s">
        <v>143</v>
      </c>
      <c r="F53" s="66">
        <v>207.7</v>
      </c>
      <c r="G53" s="67">
        <f t="shared" si="0"/>
        <v>27.5122966971594</v>
      </c>
      <c r="H53" s="67">
        <f t="shared" si="1"/>
        <v>5714.304024</v>
      </c>
      <c r="I53" s="75">
        <v>3</v>
      </c>
      <c r="J53" s="75">
        <v>3</v>
      </c>
      <c r="K53" s="76">
        <f t="shared" si="2"/>
        <v>5142.300544</v>
      </c>
      <c r="L53" s="76">
        <f t="shared" si="3"/>
        <v>3896.100544</v>
      </c>
      <c r="M53" s="75">
        <v>2</v>
      </c>
      <c r="N53" s="77">
        <v>0</v>
      </c>
      <c r="O53" s="75">
        <v>0</v>
      </c>
      <c r="P53" s="67">
        <f t="shared" si="4"/>
        <v>415.4</v>
      </c>
      <c r="Q53" s="77">
        <v>1818.20348</v>
      </c>
      <c r="R53" s="67">
        <f t="shared" si="5"/>
        <v>1246.2</v>
      </c>
      <c r="S53" s="67">
        <v>0</v>
      </c>
      <c r="T53" s="76">
        <f t="shared" si="6"/>
        <v>1912.379062</v>
      </c>
      <c r="U53" s="76"/>
      <c r="V53" s="77">
        <v>0</v>
      </c>
      <c r="W53" s="75">
        <v>0</v>
      </c>
      <c r="X53" s="76"/>
      <c r="Y53" s="77">
        <v>695.269337</v>
      </c>
      <c r="Z53" s="77">
        <v>0</v>
      </c>
      <c r="AA53" s="67">
        <f t="shared" si="7"/>
        <v>0</v>
      </c>
      <c r="AB53" s="77">
        <v>0</v>
      </c>
      <c r="AC53" s="67">
        <f t="shared" si="8"/>
        <v>0</v>
      </c>
      <c r="AD53" s="77">
        <v>0</v>
      </c>
      <c r="AE53" s="67">
        <f t="shared" si="9"/>
        <v>0</v>
      </c>
      <c r="AF53" s="82">
        <v>0</v>
      </c>
      <c r="AG53" s="67">
        <f t="shared" si="10"/>
        <v>0</v>
      </c>
      <c r="AH53" s="77">
        <v>200.188585</v>
      </c>
      <c r="AI53" s="67">
        <f t="shared" si="11"/>
        <v>400.37717</v>
      </c>
      <c r="AJ53" s="77">
        <v>816.732555</v>
      </c>
      <c r="AK53" s="77">
        <v>0</v>
      </c>
      <c r="AL53" s="77">
        <v>0</v>
      </c>
      <c r="AM53" s="77">
        <v>0</v>
      </c>
      <c r="AN53" s="77">
        <v>0</v>
      </c>
      <c r="AO53" s="77">
        <v>1983.721482</v>
      </c>
      <c r="AP53" s="67">
        <f t="shared" si="12"/>
        <v>415.4</v>
      </c>
      <c r="AQ53" s="91">
        <f t="shared" si="13"/>
        <v>0.8308</v>
      </c>
      <c r="AR53" s="92">
        <f t="shared" si="14"/>
        <v>0</v>
      </c>
      <c r="AS53" s="67">
        <f t="shared" si="15"/>
        <v>0.4154</v>
      </c>
      <c r="AT53" s="75">
        <v>0</v>
      </c>
      <c r="AU53" s="67">
        <f t="shared" si="16"/>
        <v>0.254983874933333</v>
      </c>
      <c r="AV53" s="71">
        <f t="shared" si="17"/>
        <v>0.356057142857143</v>
      </c>
      <c r="AW53" s="71"/>
      <c r="AX53" s="67"/>
      <c r="AY53" s="67">
        <f t="shared" si="18"/>
        <v>0.15869771856</v>
      </c>
      <c r="AZ53" s="67"/>
      <c r="BA53" s="67">
        <f t="shared" si="19"/>
        <v>0.611041017790476</v>
      </c>
      <c r="BB53" s="75"/>
    </row>
    <row r="54" spans="1:54">
      <c r="A54" s="64">
        <v>49</v>
      </c>
      <c r="B54" s="65" t="s">
        <v>135</v>
      </c>
      <c r="C54" s="65" t="s">
        <v>135</v>
      </c>
      <c r="D54" s="65" t="s">
        <v>143</v>
      </c>
      <c r="E54" s="65" t="s">
        <v>91</v>
      </c>
      <c r="F54" s="66">
        <v>311.1</v>
      </c>
      <c r="G54" s="67">
        <f t="shared" si="0"/>
        <v>29.5184703985857</v>
      </c>
      <c r="H54" s="67">
        <f t="shared" si="1"/>
        <v>9183.196141</v>
      </c>
      <c r="I54" s="75">
        <v>3</v>
      </c>
      <c r="J54" s="75">
        <v>3</v>
      </c>
      <c r="K54" s="76">
        <f t="shared" si="2"/>
        <v>8271.890503</v>
      </c>
      <c r="L54" s="76">
        <f t="shared" si="3"/>
        <v>6405.290503</v>
      </c>
      <c r="M54" s="75">
        <v>0</v>
      </c>
      <c r="N54" s="77">
        <v>0</v>
      </c>
      <c r="O54" s="75">
        <v>0</v>
      </c>
      <c r="P54" s="67">
        <f t="shared" si="4"/>
        <v>622.2</v>
      </c>
      <c r="Q54" s="77">
        <v>2777.905638</v>
      </c>
      <c r="R54" s="67">
        <f t="shared" si="5"/>
        <v>1866.6</v>
      </c>
      <c r="S54" s="67">
        <v>0</v>
      </c>
      <c r="T54" s="76">
        <f t="shared" si="6"/>
        <v>1729.353546</v>
      </c>
      <c r="U54" s="76"/>
      <c r="V54" s="77">
        <v>0</v>
      </c>
      <c r="W54" s="75">
        <v>0</v>
      </c>
      <c r="X54" s="76"/>
      <c r="Y54" s="77">
        <v>481.977426</v>
      </c>
      <c r="Z54" s="77">
        <v>0</v>
      </c>
      <c r="AA54" s="67">
        <f t="shared" si="7"/>
        <v>0</v>
      </c>
      <c r="AB54" s="77">
        <v>0</v>
      </c>
      <c r="AC54" s="67">
        <f t="shared" si="8"/>
        <v>0</v>
      </c>
      <c r="AD54" s="77">
        <v>0</v>
      </c>
      <c r="AE54" s="67">
        <f t="shared" si="9"/>
        <v>0</v>
      </c>
      <c r="AF54" s="82">
        <v>0</v>
      </c>
      <c r="AG54" s="67">
        <f t="shared" si="10"/>
        <v>0</v>
      </c>
      <c r="AH54" s="77">
        <v>320.783171</v>
      </c>
      <c r="AI54" s="67">
        <f t="shared" si="11"/>
        <v>641.566342</v>
      </c>
      <c r="AJ54" s="77">
        <v>605.809778</v>
      </c>
      <c r="AK54" s="77">
        <v>0</v>
      </c>
      <c r="AL54" s="77">
        <v>0</v>
      </c>
      <c r="AM54" s="77">
        <v>0</v>
      </c>
      <c r="AN54" s="77">
        <v>0</v>
      </c>
      <c r="AO54" s="77">
        <v>4675.936957</v>
      </c>
      <c r="AP54" s="67">
        <f t="shared" si="12"/>
        <v>622.2</v>
      </c>
      <c r="AQ54" s="91">
        <f t="shared" si="13"/>
        <v>1.2444</v>
      </c>
      <c r="AR54" s="92">
        <f t="shared" si="14"/>
        <v>0</v>
      </c>
      <c r="AS54" s="67">
        <f t="shared" si="15"/>
        <v>0.6222</v>
      </c>
      <c r="AT54" s="75">
        <v>0</v>
      </c>
      <c r="AU54" s="67">
        <f t="shared" si="16"/>
        <v>0.2305804728</v>
      </c>
      <c r="AV54" s="71">
        <f t="shared" si="17"/>
        <v>0.533314285714286</v>
      </c>
      <c r="AW54" s="71"/>
      <c r="AX54" s="67"/>
      <c r="AY54" s="67">
        <f t="shared" si="18"/>
        <v>0.37407495656</v>
      </c>
      <c r="AZ54" s="67"/>
      <c r="BA54" s="67">
        <f t="shared" si="19"/>
        <v>0.763894758514286</v>
      </c>
      <c r="BB54" s="75"/>
    </row>
    <row r="55" spans="1:54">
      <c r="A55" s="64">
        <v>50</v>
      </c>
      <c r="B55" s="65" t="s">
        <v>135</v>
      </c>
      <c r="C55" s="65" t="s">
        <v>135</v>
      </c>
      <c r="D55" s="65" t="s">
        <v>144</v>
      </c>
      <c r="E55" s="65" t="s">
        <v>142</v>
      </c>
      <c r="F55" s="66">
        <v>174.95</v>
      </c>
      <c r="G55" s="67">
        <f t="shared" si="0"/>
        <v>36.5002649842812</v>
      </c>
      <c r="H55" s="67">
        <f t="shared" si="1"/>
        <v>6385.721359</v>
      </c>
      <c r="I55" s="75">
        <v>3</v>
      </c>
      <c r="J55" s="75">
        <v>3</v>
      </c>
      <c r="K55" s="76">
        <f t="shared" si="2"/>
        <v>5875.560888</v>
      </c>
      <c r="L55" s="76">
        <f t="shared" si="3"/>
        <v>4825.860888</v>
      </c>
      <c r="M55" s="75">
        <v>2</v>
      </c>
      <c r="N55" s="77">
        <v>0</v>
      </c>
      <c r="O55" s="75">
        <v>0</v>
      </c>
      <c r="P55" s="67">
        <f t="shared" si="4"/>
        <v>349.9</v>
      </c>
      <c r="Q55" s="77">
        <v>1559.860471</v>
      </c>
      <c r="R55" s="67">
        <f t="shared" si="5"/>
        <v>1049.7</v>
      </c>
      <c r="S55" s="67">
        <v>0</v>
      </c>
      <c r="T55" s="76">
        <f t="shared" si="6"/>
        <v>1490.587927</v>
      </c>
      <c r="U55" s="76"/>
      <c r="V55" s="77">
        <v>0</v>
      </c>
      <c r="W55" s="75">
        <v>0</v>
      </c>
      <c r="X55" s="76"/>
      <c r="Y55" s="77">
        <v>379.893128</v>
      </c>
      <c r="Z55" s="77">
        <v>0</v>
      </c>
      <c r="AA55" s="67">
        <f t="shared" si="7"/>
        <v>0</v>
      </c>
      <c r="AB55" s="77">
        <v>0</v>
      </c>
      <c r="AC55" s="67">
        <f t="shared" si="8"/>
        <v>0</v>
      </c>
      <c r="AD55" s="77">
        <v>0</v>
      </c>
      <c r="AE55" s="67">
        <f t="shared" si="9"/>
        <v>0</v>
      </c>
      <c r="AF55" s="82">
        <v>0</v>
      </c>
      <c r="AG55" s="67">
        <f t="shared" si="10"/>
        <v>0</v>
      </c>
      <c r="AH55" s="77">
        <v>145.02385</v>
      </c>
      <c r="AI55" s="67">
        <f t="shared" si="11"/>
        <v>290.0477</v>
      </c>
      <c r="AJ55" s="77">
        <v>820.647099</v>
      </c>
      <c r="AK55" s="77">
        <v>0</v>
      </c>
      <c r="AL55" s="77">
        <v>0</v>
      </c>
      <c r="AM55" s="77">
        <v>0</v>
      </c>
      <c r="AN55" s="77">
        <v>0</v>
      </c>
      <c r="AO55" s="77">
        <v>3335.272961</v>
      </c>
      <c r="AP55" s="67">
        <f t="shared" si="12"/>
        <v>349.9</v>
      </c>
      <c r="AQ55" s="91">
        <f t="shared" si="13"/>
        <v>0.6998</v>
      </c>
      <c r="AR55" s="92">
        <f t="shared" si="14"/>
        <v>0</v>
      </c>
      <c r="AS55" s="67">
        <f t="shared" si="15"/>
        <v>0.3499</v>
      </c>
      <c r="AT55" s="75">
        <v>0</v>
      </c>
      <c r="AU55" s="67">
        <f t="shared" si="16"/>
        <v>0.198745056933333</v>
      </c>
      <c r="AV55" s="71">
        <f t="shared" si="17"/>
        <v>0.299914285714286</v>
      </c>
      <c r="AW55" s="71"/>
      <c r="AX55" s="67"/>
      <c r="AY55" s="67">
        <f t="shared" si="18"/>
        <v>0.26682183688</v>
      </c>
      <c r="AZ55" s="67"/>
      <c r="BA55" s="67">
        <f t="shared" si="19"/>
        <v>0.498659342647619</v>
      </c>
      <c r="BB55" s="75"/>
    </row>
    <row r="56" spans="1:54">
      <c r="A56" s="64">
        <v>51</v>
      </c>
      <c r="B56" s="65" t="s">
        <v>135</v>
      </c>
      <c r="C56" s="65" t="s">
        <v>145</v>
      </c>
      <c r="D56" s="65"/>
      <c r="E56" s="65"/>
      <c r="F56" s="66">
        <v>19.71</v>
      </c>
      <c r="G56" s="67">
        <f t="shared" si="0"/>
        <v>11.3614258751903</v>
      </c>
      <c r="H56" s="67">
        <f t="shared" si="1"/>
        <v>223.933704</v>
      </c>
      <c r="I56" s="75">
        <v>3</v>
      </c>
      <c r="J56" s="75">
        <v>3</v>
      </c>
      <c r="K56" s="76">
        <f t="shared" si="2"/>
        <v>118.26</v>
      </c>
      <c r="L56" s="76">
        <f t="shared" si="3"/>
        <v>0</v>
      </c>
      <c r="M56" s="75">
        <v>0</v>
      </c>
      <c r="N56" s="77">
        <v>0</v>
      </c>
      <c r="O56" s="75">
        <v>0</v>
      </c>
      <c r="P56" s="67">
        <f t="shared" si="4"/>
        <v>39.42</v>
      </c>
      <c r="Q56" s="77">
        <v>223.933704</v>
      </c>
      <c r="R56" s="67">
        <f t="shared" si="5"/>
        <v>118.26</v>
      </c>
      <c r="S56" s="67">
        <v>0</v>
      </c>
      <c r="T56" s="76">
        <f t="shared" si="6"/>
        <v>0</v>
      </c>
      <c r="U56" s="76"/>
      <c r="V56" s="77">
        <v>0</v>
      </c>
      <c r="W56" s="75">
        <v>0</v>
      </c>
      <c r="X56" s="76"/>
      <c r="Y56" s="77">
        <v>0</v>
      </c>
      <c r="Z56" s="77">
        <v>0</v>
      </c>
      <c r="AA56" s="67">
        <f t="shared" si="7"/>
        <v>0</v>
      </c>
      <c r="AB56" s="77">
        <v>0</v>
      </c>
      <c r="AC56" s="67">
        <f t="shared" si="8"/>
        <v>0</v>
      </c>
      <c r="AD56" s="77">
        <v>0</v>
      </c>
      <c r="AE56" s="67">
        <f t="shared" si="9"/>
        <v>0</v>
      </c>
      <c r="AF56" s="82">
        <v>0</v>
      </c>
      <c r="AG56" s="67">
        <f t="shared" si="10"/>
        <v>0</v>
      </c>
      <c r="AH56" s="77">
        <v>0</v>
      </c>
      <c r="AI56" s="67">
        <f t="shared" si="11"/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  <c r="AO56" s="77">
        <v>0</v>
      </c>
      <c r="AP56" s="67">
        <f t="shared" si="12"/>
        <v>39.42</v>
      </c>
      <c r="AQ56" s="91">
        <f t="shared" si="13"/>
        <v>0.07884</v>
      </c>
      <c r="AR56" s="92">
        <f t="shared" si="14"/>
        <v>0</v>
      </c>
      <c r="AS56" s="67">
        <f t="shared" si="15"/>
        <v>0.03942</v>
      </c>
      <c r="AT56" s="75">
        <v>0</v>
      </c>
      <c r="AU56" s="67">
        <f t="shared" si="16"/>
        <v>0</v>
      </c>
      <c r="AV56" s="71">
        <f t="shared" si="17"/>
        <v>0.0337885714285714</v>
      </c>
      <c r="AW56" s="71"/>
      <c r="AX56" s="67"/>
      <c r="AY56" s="67">
        <f t="shared" si="18"/>
        <v>0</v>
      </c>
      <c r="AZ56" s="67"/>
      <c r="BA56" s="67">
        <f t="shared" si="19"/>
        <v>0.0337885714285714</v>
      </c>
      <c r="BB56" s="75"/>
    </row>
    <row r="57" spans="1:54">
      <c r="A57" s="64">
        <v>52</v>
      </c>
      <c r="B57" s="65" t="s">
        <v>135</v>
      </c>
      <c r="C57" s="65" t="s">
        <v>146</v>
      </c>
      <c r="D57" s="65"/>
      <c r="E57" s="65"/>
      <c r="F57" s="66">
        <v>14.46</v>
      </c>
      <c r="G57" s="67">
        <f t="shared" si="0"/>
        <v>10.1015012448133</v>
      </c>
      <c r="H57" s="67">
        <f t="shared" si="1"/>
        <v>146.067708</v>
      </c>
      <c r="I57" s="75">
        <v>3</v>
      </c>
      <c r="J57" s="75">
        <v>3</v>
      </c>
      <c r="K57" s="76">
        <f t="shared" si="2"/>
        <v>86.76</v>
      </c>
      <c r="L57" s="76">
        <f t="shared" si="3"/>
        <v>0</v>
      </c>
      <c r="M57" s="75">
        <v>0</v>
      </c>
      <c r="N57" s="77">
        <v>0</v>
      </c>
      <c r="O57" s="75">
        <v>0</v>
      </c>
      <c r="P57" s="67">
        <f t="shared" si="4"/>
        <v>28.92</v>
      </c>
      <c r="Q57" s="77">
        <v>146.067708</v>
      </c>
      <c r="R57" s="67">
        <f t="shared" si="5"/>
        <v>86.76</v>
      </c>
      <c r="S57" s="67">
        <v>0</v>
      </c>
      <c r="T57" s="76">
        <f t="shared" si="6"/>
        <v>0</v>
      </c>
      <c r="U57" s="76"/>
      <c r="V57" s="77">
        <v>0</v>
      </c>
      <c r="W57" s="75">
        <v>0</v>
      </c>
      <c r="X57" s="76"/>
      <c r="Y57" s="77">
        <v>0</v>
      </c>
      <c r="Z57" s="77">
        <v>0</v>
      </c>
      <c r="AA57" s="67">
        <f t="shared" si="7"/>
        <v>0</v>
      </c>
      <c r="AB57" s="77">
        <v>0</v>
      </c>
      <c r="AC57" s="67">
        <f t="shared" si="8"/>
        <v>0</v>
      </c>
      <c r="AD57" s="77">
        <v>0</v>
      </c>
      <c r="AE57" s="67">
        <f t="shared" si="9"/>
        <v>0</v>
      </c>
      <c r="AF57" s="82">
        <v>0</v>
      </c>
      <c r="AG57" s="67">
        <f t="shared" si="10"/>
        <v>0</v>
      </c>
      <c r="AH57" s="77">
        <v>0</v>
      </c>
      <c r="AI57" s="67">
        <f t="shared" si="11"/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  <c r="AO57" s="77">
        <v>0</v>
      </c>
      <c r="AP57" s="67">
        <f t="shared" si="12"/>
        <v>28.92</v>
      </c>
      <c r="AQ57" s="91">
        <f t="shared" si="13"/>
        <v>0.05784</v>
      </c>
      <c r="AR57" s="92">
        <f t="shared" si="14"/>
        <v>0</v>
      </c>
      <c r="AS57" s="67">
        <f t="shared" si="15"/>
        <v>0.02892</v>
      </c>
      <c r="AT57" s="75">
        <v>0</v>
      </c>
      <c r="AU57" s="67">
        <f t="shared" si="16"/>
        <v>0</v>
      </c>
      <c r="AV57" s="71">
        <f t="shared" si="17"/>
        <v>0.0247885714285714</v>
      </c>
      <c r="AW57" s="71"/>
      <c r="AX57" s="67"/>
      <c r="AY57" s="67">
        <f t="shared" si="18"/>
        <v>0</v>
      </c>
      <c r="AZ57" s="67"/>
      <c r="BA57" s="67">
        <f t="shared" si="19"/>
        <v>0.0247885714285714</v>
      </c>
      <c r="BB57" s="75"/>
    </row>
    <row r="58" spans="1:54">
      <c r="A58" s="64">
        <v>53</v>
      </c>
      <c r="B58" s="65" t="s">
        <v>135</v>
      </c>
      <c r="C58" s="65" t="s">
        <v>147</v>
      </c>
      <c r="D58" s="65"/>
      <c r="E58" s="65"/>
      <c r="F58" s="66">
        <v>33.09</v>
      </c>
      <c r="G58" s="67">
        <f t="shared" si="0"/>
        <v>13.5744231489876</v>
      </c>
      <c r="H58" s="67">
        <f t="shared" si="1"/>
        <v>449.177662</v>
      </c>
      <c r="I58" s="75">
        <v>3</v>
      </c>
      <c r="J58" s="75">
        <v>3</v>
      </c>
      <c r="K58" s="76">
        <f t="shared" si="2"/>
        <v>198.54</v>
      </c>
      <c r="L58" s="76">
        <f t="shared" si="3"/>
        <v>0</v>
      </c>
      <c r="M58" s="75">
        <v>0</v>
      </c>
      <c r="N58" s="77">
        <v>0</v>
      </c>
      <c r="O58" s="75">
        <v>0</v>
      </c>
      <c r="P58" s="67">
        <f t="shared" si="4"/>
        <v>66.18</v>
      </c>
      <c r="Q58" s="77">
        <v>449.177662</v>
      </c>
      <c r="R58" s="67">
        <f t="shared" si="5"/>
        <v>198.54</v>
      </c>
      <c r="S58" s="67">
        <v>0</v>
      </c>
      <c r="T58" s="76">
        <f t="shared" si="6"/>
        <v>0</v>
      </c>
      <c r="U58" s="76"/>
      <c r="V58" s="77">
        <v>0</v>
      </c>
      <c r="W58" s="75">
        <v>0</v>
      </c>
      <c r="X58" s="76"/>
      <c r="Y58" s="77">
        <v>0</v>
      </c>
      <c r="Z58" s="77">
        <v>0</v>
      </c>
      <c r="AA58" s="67">
        <f t="shared" si="7"/>
        <v>0</v>
      </c>
      <c r="AB58" s="77">
        <v>0</v>
      </c>
      <c r="AC58" s="67">
        <f t="shared" si="8"/>
        <v>0</v>
      </c>
      <c r="AD58" s="77">
        <v>0</v>
      </c>
      <c r="AE58" s="67">
        <f t="shared" si="9"/>
        <v>0</v>
      </c>
      <c r="AF58" s="82">
        <v>0</v>
      </c>
      <c r="AG58" s="67">
        <f t="shared" si="10"/>
        <v>0</v>
      </c>
      <c r="AH58" s="77">
        <v>0</v>
      </c>
      <c r="AI58" s="67">
        <f t="shared" si="11"/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  <c r="AO58" s="77">
        <v>0</v>
      </c>
      <c r="AP58" s="67">
        <f t="shared" si="12"/>
        <v>66.18</v>
      </c>
      <c r="AQ58" s="91">
        <f t="shared" si="13"/>
        <v>0.13236</v>
      </c>
      <c r="AR58" s="92">
        <f t="shared" si="14"/>
        <v>0</v>
      </c>
      <c r="AS58" s="67">
        <f t="shared" si="15"/>
        <v>0.06618</v>
      </c>
      <c r="AT58" s="75">
        <v>0</v>
      </c>
      <c r="AU58" s="67">
        <f t="shared" si="16"/>
        <v>0</v>
      </c>
      <c r="AV58" s="71">
        <f t="shared" si="17"/>
        <v>0.0567257142857143</v>
      </c>
      <c r="AW58" s="71"/>
      <c r="AX58" s="67"/>
      <c r="AY58" s="67">
        <f t="shared" si="18"/>
        <v>0</v>
      </c>
      <c r="AZ58" s="67"/>
      <c r="BA58" s="67">
        <f t="shared" si="19"/>
        <v>0.0567257142857143</v>
      </c>
      <c r="BB58" s="75"/>
    </row>
    <row r="59" spans="1:54">
      <c r="A59" s="64">
        <v>54</v>
      </c>
      <c r="B59" s="65" t="s">
        <v>135</v>
      </c>
      <c r="C59" s="65" t="s">
        <v>135</v>
      </c>
      <c r="D59" s="65" t="s">
        <v>91</v>
      </c>
      <c r="E59" s="65" t="s">
        <v>92</v>
      </c>
      <c r="F59" s="66">
        <v>253.81</v>
      </c>
      <c r="G59" s="67">
        <f t="shared" si="0"/>
        <v>24.1290334108191</v>
      </c>
      <c r="H59" s="67">
        <f t="shared" si="1"/>
        <v>6124.18997</v>
      </c>
      <c r="I59" s="75">
        <v>3</v>
      </c>
      <c r="J59" s="75">
        <v>3</v>
      </c>
      <c r="K59" s="76">
        <f t="shared" si="2"/>
        <v>5356.439603</v>
      </c>
      <c r="L59" s="76">
        <f t="shared" si="3"/>
        <v>3833.579603</v>
      </c>
      <c r="M59" s="75">
        <v>2</v>
      </c>
      <c r="N59" s="77">
        <v>0</v>
      </c>
      <c r="O59" s="75">
        <v>0</v>
      </c>
      <c r="P59" s="67">
        <f t="shared" si="4"/>
        <v>507.62</v>
      </c>
      <c r="Q59" s="77">
        <v>2290.610367</v>
      </c>
      <c r="R59" s="67">
        <f t="shared" si="5"/>
        <v>1522.86</v>
      </c>
      <c r="S59" s="67">
        <v>0</v>
      </c>
      <c r="T59" s="76">
        <f t="shared" si="6"/>
        <v>1289.424078</v>
      </c>
      <c r="U59" s="76"/>
      <c r="V59" s="77">
        <v>0</v>
      </c>
      <c r="W59" s="75">
        <v>0</v>
      </c>
      <c r="X59" s="76"/>
      <c r="Y59" s="77">
        <v>477.195197</v>
      </c>
      <c r="Z59" s="77">
        <v>11.240662</v>
      </c>
      <c r="AA59" s="67">
        <f t="shared" si="7"/>
        <v>22.481324</v>
      </c>
      <c r="AB59" s="77">
        <v>0</v>
      </c>
      <c r="AC59" s="67">
        <f t="shared" si="8"/>
        <v>0</v>
      </c>
      <c r="AD59" s="77">
        <v>0</v>
      </c>
      <c r="AE59" s="67">
        <f t="shared" si="9"/>
        <v>0</v>
      </c>
      <c r="AF59" s="82">
        <v>0</v>
      </c>
      <c r="AG59" s="67">
        <f t="shared" si="10"/>
        <v>0</v>
      </c>
      <c r="AH59" s="77">
        <v>177.270889</v>
      </c>
      <c r="AI59" s="67">
        <f t="shared" si="11"/>
        <v>354.541778</v>
      </c>
      <c r="AJ59" s="77">
        <v>457.687103</v>
      </c>
      <c r="AK59" s="77">
        <v>0</v>
      </c>
      <c r="AL59" s="77">
        <v>0</v>
      </c>
      <c r="AM59" s="77">
        <v>0</v>
      </c>
      <c r="AN59" s="77">
        <v>0</v>
      </c>
      <c r="AO59" s="77">
        <v>2521.674201</v>
      </c>
      <c r="AP59" s="67">
        <f t="shared" si="12"/>
        <v>507.62</v>
      </c>
      <c r="AQ59" s="91">
        <f t="shared" si="13"/>
        <v>1.01524</v>
      </c>
      <c r="AR59" s="92">
        <f t="shared" si="14"/>
        <v>0</v>
      </c>
      <c r="AS59" s="67">
        <f t="shared" si="15"/>
        <v>0.50762</v>
      </c>
      <c r="AT59" s="75">
        <v>0</v>
      </c>
      <c r="AU59" s="67">
        <f t="shared" si="16"/>
        <v>0.1719232104</v>
      </c>
      <c r="AV59" s="71">
        <f t="shared" si="17"/>
        <v>0.435102857142857</v>
      </c>
      <c r="AW59" s="71"/>
      <c r="AX59" s="67"/>
      <c r="AY59" s="67">
        <f t="shared" si="18"/>
        <v>0.20173393608</v>
      </c>
      <c r="AZ59" s="67"/>
      <c r="BA59" s="67">
        <f t="shared" si="19"/>
        <v>0.607026067542857</v>
      </c>
      <c r="BB59" s="75"/>
    </row>
    <row r="60" spans="1:54">
      <c r="A60" s="64">
        <v>55</v>
      </c>
      <c r="B60" s="65" t="s">
        <v>135</v>
      </c>
      <c r="C60" s="65" t="s">
        <v>135</v>
      </c>
      <c r="D60" s="65" t="s">
        <v>76</v>
      </c>
      <c r="E60" s="65" t="s">
        <v>144</v>
      </c>
      <c r="F60" s="66">
        <v>857.44</v>
      </c>
      <c r="G60" s="67">
        <f t="shared" si="0"/>
        <v>19.2090028993282</v>
      </c>
      <c r="H60" s="67">
        <f t="shared" si="1"/>
        <v>16470.567446</v>
      </c>
      <c r="I60" s="75">
        <v>3</v>
      </c>
      <c r="J60" s="75">
        <v>3</v>
      </c>
      <c r="K60" s="76">
        <f t="shared" si="2"/>
        <v>14591.385433</v>
      </c>
      <c r="L60" s="76">
        <f t="shared" si="3"/>
        <v>9446.745433</v>
      </c>
      <c r="M60" s="75">
        <v>0</v>
      </c>
      <c r="N60" s="77">
        <v>0</v>
      </c>
      <c r="O60" s="75">
        <v>0</v>
      </c>
      <c r="P60" s="67">
        <f t="shared" si="4"/>
        <v>1714.88</v>
      </c>
      <c r="Q60" s="77">
        <v>7023.822013</v>
      </c>
      <c r="R60" s="67">
        <f t="shared" si="5"/>
        <v>5144.64</v>
      </c>
      <c r="S60" s="67">
        <v>0</v>
      </c>
      <c r="T60" s="76">
        <f t="shared" si="6"/>
        <v>4339.374326</v>
      </c>
      <c r="U60" s="76"/>
      <c r="V60" s="77">
        <v>0</v>
      </c>
      <c r="W60" s="75">
        <v>0</v>
      </c>
      <c r="X60" s="76"/>
      <c r="Y60" s="77">
        <v>883.303768</v>
      </c>
      <c r="Z60" s="77">
        <v>0</v>
      </c>
      <c r="AA60" s="67">
        <f t="shared" si="7"/>
        <v>0</v>
      </c>
      <c r="AB60" s="77">
        <v>0</v>
      </c>
      <c r="AC60" s="67">
        <f t="shared" si="8"/>
        <v>0</v>
      </c>
      <c r="AD60" s="77">
        <v>0</v>
      </c>
      <c r="AE60" s="67">
        <f t="shared" si="9"/>
        <v>0</v>
      </c>
      <c r="AF60" s="82">
        <v>0</v>
      </c>
      <c r="AG60" s="67">
        <f t="shared" si="10"/>
        <v>0</v>
      </c>
      <c r="AH60" s="77">
        <v>784.212</v>
      </c>
      <c r="AI60" s="67">
        <f t="shared" si="11"/>
        <v>1568.424</v>
      </c>
      <c r="AJ60" s="77">
        <v>1887.646558</v>
      </c>
      <c r="AK60" s="77">
        <v>0</v>
      </c>
      <c r="AL60" s="77">
        <v>0</v>
      </c>
      <c r="AM60" s="77">
        <v>0</v>
      </c>
      <c r="AN60" s="77">
        <v>0</v>
      </c>
      <c r="AO60" s="77">
        <v>5107.371107</v>
      </c>
      <c r="AP60" s="67">
        <f t="shared" si="12"/>
        <v>1714.88</v>
      </c>
      <c r="AQ60" s="91">
        <f t="shared" si="13"/>
        <v>3.42976</v>
      </c>
      <c r="AR60" s="92">
        <f t="shared" si="14"/>
        <v>0</v>
      </c>
      <c r="AS60" s="67">
        <f t="shared" si="15"/>
        <v>1.71488</v>
      </c>
      <c r="AT60" s="75">
        <v>0</v>
      </c>
      <c r="AU60" s="67">
        <f t="shared" si="16"/>
        <v>0.578583243466667</v>
      </c>
      <c r="AV60" s="71">
        <f t="shared" si="17"/>
        <v>1.46989714285714</v>
      </c>
      <c r="AW60" s="71"/>
      <c r="AX60" s="67"/>
      <c r="AY60" s="67">
        <f t="shared" si="18"/>
        <v>0.40858968856</v>
      </c>
      <c r="AZ60" s="67"/>
      <c r="BA60" s="67">
        <f t="shared" si="19"/>
        <v>2.04848038632381</v>
      </c>
      <c r="BB60" s="75"/>
    </row>
    <row r="61" s="51" customFormat="1" ht="13.5" customHeight="1" spans="1:60">
      <c r="A61" s="68">
        <v>56</v>
      </c>
      <c r="B61" s="69" t="s">
        <v>148</v>
      </c>
      <c r="C61" s="69" t="s">
        <v>148</v>
      </c>
      <c r="D61" s="69" t="s">
        <v>149</v>
      </c>
      <c r="E61" s="69" t="s">
        <v>143</v>
      </c>
      <c r="F61" s="70">
        <v>1375.79</v>
      </c>
      <c r="G61" s="71">
        <f t="shared" si="0"/>
        <v>26.1499121094062</v>
      </c>
      <c r="H61" s="71">
        <f t="shared" si="1"/>
        <v>35976.787581</v>
      </c>
      <c r="I61" s="78">
        <v>2</v>
      </c>
      <c r="J61" s="78">
        <v>2</v>
      </c>
      <c r="K61" s="79">
        <f t="shared" si="2"/>
        <v>24598.700908</v>
      </c>
      <c r="L61" s="79">
        <f t="shared" si="3"/>
        <v>16343.960908</v>
      </c>
      <c r="M61" s="78">
        <v>2</v>
      </c>
      <c r="N61" s="80">
        <v>0</v>
      </c>
      <c r="O61" s="78">
        <v>0</v>
      </c>
      <c r="P61" s="71">
        <f t="shared" si="4"/>
        <v>2751.58</v>
      </c>
      <c r="Q61" s="80">
        <v>19632.826673</v>
      </c>
      <c r="R61" s="71">
        <f t="shared" si="5"/>
        <v>8254.74</v>
      </c>
      <c r="S61" s="71">
        <v>0</v>
      </c>
      <c r="T61" s="79">
        <f t="shared" si="6"/>
        <v>12624.243276</v>
      </c>
      <c r="U61" s="79"/>
      <c r="V61" s="80">
        <v>0</v>
      </c>
      <c r="W61" s="78">
        <v>0</v>
      </c>
      <c r="X61" s="79"/>
      <c r="Y61" s="80">
        <v>10101.157439</v>
      </c>
      <c r="Z61" s="80">
        <v>48.439141</v>
      </c>
      <c r="AA61" s="71">
        <f t="shared" si="7"/>
        <v>96.878282</v>
      </c>
      <c r="AB61" s="80">
        <v>0</v>
      </c>
      <c r="AC61" s="71">
        <f t="shared" si="8"/>
        <v>0</v>
      </c>
      <c r="AD61" s="80">
        <v>0</v>
      </c>
      <c r="AE61" s="71">
        <f t="shared" si="9"/>
        <v>0</v>
      </c>
      <c r="AF61" s="83">
        <v>0</v>
      </c>
      <c r="AG61" s="71">
        <f t="shared" si="10"/>
        <v>0</v>
      </c>
      <c r="AH61" s="80">
        <v>0</v>
      </c>
      <c r="AI61" s="71">
        <f t="shared" si="11"/>
        <v>0</v>
      </c>
      <c r="AJ61" s="80">
        <v>2523.085837</v>
      </c>
      <c r="AK61" s="80">
        <v>0</v>
      </c>
      <c r="AL61" s="80">
        <v>0</v>
      </c>
      <c r="AM61" s="80">
        <v>2144.285571</v>
      </c>
      <c r="AN61" s="80">
        <v>0</v>
      </c>
      <c r="AO61" s="80">
        <v>1478.553779</v>
      </c>
      <c r="AP61" s="71">
        <f t="shared" si="12"/>
        <v>2751.58</v>
      </c>
      <c r="AQ61" s="93">
        <f t="shared" si="13"/>
        <v>0</v>
      </c>
      <c r="AR61" s="94">
        <f t="shared" si="14"/>
        <v>5.50316</v>
      </c>
      <c r="AS61" s="71">
        <f t="shared" si="15"/>
        <v>4.12737</v>
      </c>
      <c r="AT61" s="78">
        <v>0</v>
      </c>
      <c r="AU61" s="71">
        <f t="shared" si="16"/>
        <v>1.94219127323077</v>
      </c>
      <c r="AV61" s="71">
        <f t="shared" si="17"/>
        <v>3.301896</v>
      </c>
      <c r="AW61" s="96">
        <v>1</v>
      </c>
      <c r="AX61" s="71"/>
      <c r="AY61" s="71">
        <f t="shared" si="18"/>
        <v>0.289827148</v>
      </c>
      <c r="AZ61" s="71"/>
      <c r="BA61" s="67">
        <f t="shared" si="19"/>
        <v>6.24408727323077</v>
      </c>
      <c r="BB61" s="78"/>
      <c r="BH61" s="99"/>
    </row>
    <row r="62" s="51" customFormat="1" ht="13.5" customHeight="1" spans="1:60">
      <c r="A62" s="68">
        <v>57</v>
      </c>
      <c r="B62" s="69" t="s">
        <v>148</v>
      </c>
      <c r="C62" s="69" t="s">
        <v>148</v>
      </c>
      <c r="D62" s="69" t="s">
        <v>143</v>
      </c>
      <c r="E62" s="69" t="s">
        <v>92</v>
      </c>
      <c r="F62" s="70">
        <v>214.01</v>
      </c>
      <c r="G62" s="71">
        <f t="shared" si="0"/>
        <v>28.5973004439045</v>
      </c>
      <c r="H62" s="71">
        <f t="shared" si="1"/>
        <v>6120.108268</v>
      </c>
      <c r="I62" s="78">
        <v>2</v>
      </c>
      <c r="J62" s="78">
        <v>2</v>
      </c>
      <c r="K62" s="79">
        <f t="shared" si="2"/>
        <v>4198.99461</v>
      </c>
      <c r="L62" s="79">
        <f t="shared" si="3"/>
        <v>2914.93461</v>
      </c>
      <c r="M62" s="78">
        <v>2</v>
      </c>
      <c r="N62" s="80">
        <v>0</v>
      </c>
      <c r="O62" s="78">
        <v>0</v>
      </c>
      <c r="P62" s="71">
        <f t="shared" si="4"/>
        <v>428.02</v>
      </c>
      <c r="Q62" s="80">
        <v>3205.173658</v>
      </c>
      <c r="R62" s="71">
        <f t="shared" si="5"/>
        <v>1284.06</v>
      </c>
      <c r="S62" s="71">
        <v>0</v>
      </c>
      <c r="T62" s="79">
        <f t="shared" si="6"/>
        <v>2462.714478</v>
      </c>
      <c r="U62" s="79"/>
      <c r="V62" s="80">
        <v>0</v>
      </c>
      <c r="W62" s="78">
        <v>0</v>
      </c>
      <c r="X62" s="79"/>
      <c r="Y62" s="80">
        <v>2462.714478</v>
      </c>
      <c r="Z62" s="80">
        <v>0</v>
      </c>
      <c r="AA62" s="71">
        <f t="shared" si="7"/>
        <v>0</v>
      </c>
      <c r="AB62" s="80">
        <v>0</v>
      </c>
      <c r="AC62" s="71">
        <f t="shared" si="8"/>
        <v>0</v>
      </c>
      <c r="AD62" s="80">
        <v>0</v>
      </c>
      <c r="AE62" s="71">
        <f t="shared" si="9"/>
        <v>0</v>
      </c>
      <c r="AF62" s="83">
        <v>0</v>
      </c>
      <c r="AG62" s="71">
        <f t="shared" si="10"/>
        <v>0</v>
      </c>
      <c r="AH62" s="80">
        <v>0</v>
      </c>
      <c r="AI62" s="71">
        <f t="shared" si="11"/>
        <v>0</v>
      </c>
      <c r="AJ62" s="80">
        <v>0</v>
      </c>
      <c r="AK62" s="80">
        <v>0</v>
      </c>
      <c r="AL62" s="80">
        <v>0</v>
      </c>
      <c r="AM62" s="80">
        <v>452.220132</v>
      </c>
      <c r="AN62" s="80">
        <v>0</v>
      </c>
      <c r="AO62" s="80">
        <v>0</v>
      </c>
      <c r="AP62" s="71">
        <f t="shared" si="12"/>
        <v>428.02</v>
      </c>
      <c r="AQ62" s="93">
        <f t="shared" si="13"/>
        <v>0</v>
      </c>
      <c r="AR62" s="94">
        <f t="shared" si="14"/>
        <v>0.85604</v>
      </c>
      <c r="AS62" s="71">
        <f t="shared" si="15"/>
        <v>0.64203</v>
      </c>
      <c r="AT62" s="78">
        <v>0</v>
      </c>
      <c r="AU62" s="71">
        <f t="shared" si="16"/>
        <v>0.378879150461538</v>
      </c>
      <c r="AV62" s="71">
        <f t="shared" si="17"/>
        <v>0.513624</v>
      </c>
      <c r="AW62" s="97"/>
      <c r="AX62" s="71"/>
      <c r="AY62" s="71">
        <f t="shared" si="18"/>
        <v>0.03617761056</v>
      </c>
      <c r="AZ62" s="71"/>
      <c r="BA62" s="67">
        <f t="shared" si="19"/>
        <v>0.892503150461538</v>
      </c>
      <c r="BB62" s="78"/>
      <c r="BH62" s="99"/>
    </row>
    <row r="63" s="51" customFormat="1" ht="13.5" customHeight="1" spans="1:60">
      <c r="A63" s="68">
        <v>58</v>
      </c>
      <c r="B63" s="69" t="s">
        <v>148</v>
      </c>
      <c r="C63" s="69" t="s">
        <v>150</v>
      </c>
      <c r="D63" s="69"/>
      <c r="E63" s="69"/>
      <c r="F63" s="70">
        <v>17.52</v>
      </c>
      <c r="G63" s="71">
        <f t="shared" si="0"/>
        <v>20.1383919520548</v>
      </c>
      <c r="H63" s="71">
        <f t="shared" si="1"/>
        <v>352.824627</v>
      </c>
      <c r="I63" s="78">
        <v>2</v>
      </c>
      <c r="J63" s="78">
        <v>2</v>
      </c>
      <c r="K63" s="79">
        <f t="shared" si="2"/>
        <v>105.12</v>
      </c>
      <c r="L63" s="79">
        <f t="shared" si="3"/>
        <v>0</v>
      </c>
      <c r="M63" s="78">
        <v>0</v>
      </c>
      <c r="N63" s="80">
        <v>0</v>
      </c>
      <c r="O63" s="78">
        <v>0</v>
      </c>
      <c r="P63" s="71">
        <f t="shared" si="4"/>
        <v>35.04</v>
      </c>
      <c r="Q63" s="80">
        <v>352.824627</v>
      </c>
      <c r="R63" s="71">
        <f t="shared" si="5"/>
        <v>105.12</v>
      </c>
      <c r="S63" s="71">
        <v>0</v>
      </c>
      <c r="T63" s="79">
        <f t="shared" si="6"/>
        <v>0</v>
      </c>
      <c r="U63" s="79"/>
      <c r="V63" s="80">
        <v>0</v>
      </c>
      <c r="W63" s="78">
        <v>0</v>
      </c>
      <c r="X63" s="79"/>
      <c r="Y63" s="80">
        <v>0</v>
      </c>
      <c r="Z63" s="80">
        <v>0</v>
      </c>
      <c r="AA63" s="71">
        <f t="shared" si="7"/>
        <v>0</v>
      </c>
      <c r="AB63" s="80">
        <v>0</v>
      </c>
      <c r="AC63" s="71">
        <f t="shared" si="8"/>
        <v>0</v>
      </c>
      <c r="AD63" s="80">
        <v>0</v>
      </c>
      <c r="AE63" s="71">
        <f t="shared" si="9"/>
        <v>0</v>
      </c>
      <c r="AF63" s="83">
        <v>0</v>
      </c>
      <c r="AG63" s="71">
        <f t="shared" si="10"/>
        <v>0</v>
      </c>
      <c r="AH63" s="80">
        <v>0</v>
      </c>
      <c r="AI63" s="71">
        <f t="shared" si="11"/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71">
        <f t="shared" si="12"/>
        <v>35.04</v>
      </c>
      <c r="AQ63" s="93">
        <f t="shared" si="13"/>
        <v>0</v>
      </c>
      <c r="AR63" s="94">
        <f t="shared" si="14"/>
        <v>0.07008</v>
      </c>
      <c r="AS63" s="71">
        <f t="shared" si="15"/>
        <v>0.05256</v>
      </c>
      <c r="AT63" s="78">
        <v>0</v>
      </c>
      <c r="AU63" s="71">
        <f t="shared" si="16"/>
        <v>0</v>
      </c>
      <c r="AV63" s="71">
        <f t="shared" si="17"/>
        <v>0.042048</v>
      </c>
      <c r="AW63" s="98"/>
      <c r="AX63" s="71"/>
      <c r="AY63" s="71">
        <f t="shared" si="18"/>
        <v>0</v>
      </c>
      <c r="AZ63" s="71"/>
      <c r="BA63" s="67">
        <f t="shared" si="19"/>
        <v>0.042048</v>
      </c>
      <c r="BB63" s="78"/>
      <c r="BH63" s="99"/>
    </row>
    <row r="64" spans="1:54">
      <c r="A64" s="64">
        <v>59</v>
      </c>
      <c r="B64" s="65" t="s">
        <v>76</v>
      </c>
      <c r="C64" s="65" t="s">
        <v>76</v>
      </c>
      <c r="D64" s="65" t="s">
        <v>151</v>
      </c>
      <c r="E64" s="65" t="s">
        <v>148</v>
      </c>
      <c r="F64" s="66">
        <v>564.04</v>
      </c>
      <c r="G64" s="67">
        <f t="shared" si="0"/>
        <v>15.4375501595632</v>
      </c>
      <c r="H64" s="67">
        <f t="shared" si="1"/>
        <v>8707.395792</v>
      </c>
      <c r="I64" s="75">
        <v>3</v>
      </c>
      <c r="J64" s="75">
        <v>3</v>
      </c>
      <c r="K64" s="76">
        <f t="shared" si="2"/>
        <v>8431.47623</v>
      </c>
      <c r="L64" s="76">
        <f t="shared" si="3"/>
        <v>5047.23623</v>
      </c>
      <c r="M64" s="75">
        <v>0</v>
      </c>
      <c r="N64" s="77">
        <v>0</v>
      </c>
      <c r="O64" s="75">
        <v>0</v>
      </c>
      <c r="P64" s="67">
        <f t="shared" si="4"/>
        <v>1128.08</v>
      </c>
      <c r="Q64" s="77">
        <v>3660.159562</v>
      </c>
      <c r="R64" s="67">
        <f t="shared" si="5"/>
        <v>3384.24</v>
      </c>
      <c r="S64" s="67">
        <v>0</v>
      </c>
      <c r="T64" s="76">
        <f t="shared" si="6"/>
        <v>3094.609598</v>
      </c>
      <c r="U64" s="76"/>
      <c r="V64" s="77">
        <v>1806.614822</v>
      </c>
      <c r="W64" s="75">
        <v>0</v>
      </c>
      <c r="X64" s="76"/>
      <c r="Y64" s="77">
        <v>0</v>
      </c>
      <c r="Z64" s="77">
        <v>0</v>
      </c>
      <c r="AA64" s="67">
        <f t="shared" si="7"/>
        <v>0</v>
      </c>
      <c r="AB64" s="77">
        <v>0</v>
      </c>
      <c r="AC64" s="67">
        <f t="shared" si="8"/>
        <v>0</v>
      </c>
      <c r="AD64" s="77">
        <v>0</v>
      </c>
      <c r="AE64" s="67">
        <f t="shared" si="9"/>
        <v>0</v>
      </c>
      <c r="AF64" s="82">
        <v>0</v>
      </c>
      <c r="AG64" s="67">
        <f t="shared" si="10"/>
        <v>0</v>
      </c>
      <c r="AH64" s="77">
        <v>0</v>
      </c>
      <c r="AI64" s="67">
        <f t="shared" si="11"/>
        <v>0</v>
      </c>
      <c r="AJ64" s="77">
        <v>1287.994776</v>
      </c>
      <c r="AK64" s="77">
        <v>0</v>
      </c>
      <c r="AL64" s="77">
        <v>0</v>
      </c>
      <c r="AM64" s="77">
        <v>0</v>
      </c>
      <c r="AN64" s="77">
        <v>1802.351742</v>
      </c>
      <c r="AO64" s="77">
        <v>150.27489</v>
      </c>
      <c r="AP64" s="67">
        <f t="shared" si="12"/>
        <v>1128.08</v>
      </c>
      <c r="AQ64" s="91">
        <f t="shared" si="13"/>
        <v>2.25616</v>
      </c>
      <c r="AR64" s="92">
        <f t="shared" si="14"/>
        <v>0</v>
      </c>
      <c r="AS64" s="67">
        <f t="shared" si="15"/>
        <v>1.12808</v>
      </c>
      <c r="AT64" s="75">
        <v>0</v>
      </c>
      <c r="AU64" s="67">
        <f t="shared" si="16"/>
        <v>0.412614613066667</v>
      </c>
      <c r="AV64" s="71">
        <f t="shared" si="17"/>
        <v>0.966925714285714</v>
      </c>
      <c r="AW64" s="71"/>
      <c r="AX64" s="67"/>
      <c r="AY64" s="67">
        <f t="shared" si="18"/>
        <v>0.15621013056</v>
      </c>
      <c r="AZ64" s="67"/>
      <c r="BA64" s="67">
        <f t="shared" si="19"/>
        <v>1.37954032735238</v>
      </c>
      <c r="BB64" s="75"/>
    </row>
    <row r="65" spans="1:54">
      <c r="A65" s="64">
        <v>60</v>
      </c>
      <c r="B65" s="65" t="s">
        <v>152</v>
      </c>
      <c r="C65" s="65" t="s">
        <v>152</v>
      </c>
      <c r="D65" s="65" t="s">
        <v>148</v>
      </c>
      <c r="E65" s="65" t="s">
        <v>153</v>
      </c>
      <c r="F65" s="66">
        <v>521.37</v>
      </c>
      <c r="G65" s="67">
        <f t="shared" si="0"/>
        <v>6.68740211749813</v>
      </c>
      <c r="H65" s="67">
        <f t="shared" si="1"/>
        <v>3486.610842</v>
      </c>
      <c r="I65" s="75">
        <v>3</v>
      </c>
      <c r="J65" s="75">
        <v>3</v>
      </c>
      <c r="K65" s="76">
        <f t="shared" si="2"/>
        <v>4074.001785</v>
      </c>
      <c r="L65" s="76">
        <f t="shared" si="3"/>
        <v>945.781785</v>
      </c>
      <c r="M65" s="75">
        <v>0</v>
      </c>
      <c r="N65" s="77">
        <v>0</v>
      </c>
      <c r="O65" s="75">
        <v>0</v>
      </c>
      <c r="P65" s="67">
        <f t="shared" si="4"/>
        <v>1042.74</v>
      </c>
      <c r="Q65" s="77">
        <v>2540.829057</v>
      </c>
      <c r="R65" s="67">
        <f t="shared" si="5"/>
        <v>3128.22</v>
      </c>
      <c r="S65" s="67">
        <v>0</v>
      </c>
      <c r="T65" s="76">
        <f t="shared" si="6"/>
        <v>21.328543</v>
      </c>
      <c r="U65" s="76"/>
      <c r="V65" s="77">
        <v>0</v>
      </c>
      <c r="W65" s="75">
        <v>0</v>
      </c>
      <c r="X65" s="76"/>
      <c r="Y65" s="77">
        <v>21.328543</v>
      </c>
      <c r="Z65" s="77">
        <v>0</v>
      </c>
      <c r="AA65" s="67">
        <f t="shared" si="7"/>
        <v>0</v>
      </c>
      <c r="AB65" s="77">
        <v>0</v>
      </c>
      <c r="AC65" s="67">
        <f t="shared" si="8"/>
        <v>0</v>
      </c>
      <c r="AD65" s="77">
        <v>0</v>
      </c>
      <c r="AE65" s="67">
        <f t="shared" si="9"/>
        <v>0</v>
      </c>
      <c r="AF65" s="82">
        <v>0</v>
      </c>
      <c r="AG65" s="67">
        <f t="shared" si="10"/>
        <v>0</v>
      </c>
      <c r="AH65" s="77">
        <v>0</v>
      </c>
      <c r="AI65" s="67">
        <f t="shared" si="11"/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  <c r="AO65" s="77">
        <v>924.453242</v>
      </c>
      <c r="AP65" s="67">
        <f t="shared" si="12"/>
        <v>1042.74</v>
      </c>
      <c r="AQ65" s="91">
        <f t="shared" si="13"/>
        <v>2.08548</v>
      </c>
      <c r="AR65" s="92">
        <f t="shared" si="14"/>
        <v>0</v>
      </c>
      <c r="AS65" s="67">
        <f t="shared" si="15"/>
        <v>1.04274</v>
      </c>
      <c r="AT65" s="75">
        <v>0</v>
      </c>
      <c r="AU65" s="67">
        <f t="shared" si="16"/>
        <v>0.00284380573333333</v>
      </c>
      <c r="AV65" s="71">
        <f t="shared" si="17"/>
        <v>0.893777142857143</v>
      </c>
      <c r="AW65" s="71"/>
      <c r="AX65" s="67"/>
      <c r="AY65" s="67">
        <f t="shared" si="18"/>
        <v>0.07395625936</v>
      </c>
      <c r="AZ65" s="67"/>
      <c r="BA65" s="67">
        <f t="shared" si="19"/>
        <v>0.896620948590476</v>
      </c>
      <c r="BB65" s="75"/>
    </row>
    <row r="66" spans="1:54">
      <c r="A66" s="64">
        <v>61</v>
      </c>
      <c r="B66" s="65" t="s">
        <v>154</v>
      </c>
      <c r="C66" s="65" t="s">
        <v>154</v>
      </c>
      <c r="D66" s="65" t="s">
        <v>148</v>
      </c>
      <c r="E66" s="65" t="s">
        <v>155</v>
      </c>
      <c r="F66" s="66">
        <v>817.42</v>
      </c>
      <c r="G66" s="67">
        <f t="shared" si="0"/>
        <v>12.8731329879377</v>
      </c>
      <c r="H66" s="67">
        <f t="shared" si="1"/>
        <v>10522.756367</v>
      </c>
      <c r="I66" s="75">
        <v>3</v>
      </c>
      <c r="J66" s="75">
        <v>3</v>
      </c>
      <c r="K66" s="76">
        <f t="shared" si="2"/>
        <v>10314.978597</v>
      </c>
      <c r="L66" s="76">
        <f t="shared" si="3"/>
        <v>5410.458597</v>
      </c>
      <c r="M66" s="75">
        <v>0</v>
      </c>
      <c r="N66" s="77">
        <v>0</v>
      </c>
      <c r="O66" s="75">
        <v>0</v>
      </c>
      <c r="P66" s="67">
        <f t="shared" si="4"/>
        <v>1634.84</v>
      </c>
      <c r="Q66" s="77">
        <v>5112.29777</v>
      </c>
      <c r="R66" s="67">
        <f t="shared" si="5"/>
        <v>4904.52</v>
      </c>
      <c r="S66" s="67">
        <v>0</v>
      </c>
      <c r="T66" s="76">
        <f t="shared" si="6"/>
        <v>1119.860263</v>
      </c>
      <c r="U66" s="76"/>
      <c r="V66" s="77">
        <v>0</v>
      </c>
      <c r="W66" s="75">
        <v>0</v>
      </c>
      <c r="X66" s="76"/>
      <c r="Y66" s="77">
        <v>314.0819</v>
      </c>
      <c r="Z66" s="77">
        <v>0</v>
      </c>
      <c r="AA66" s="67">
        <f t="shared" si="7"/>
        <v>0</v>
      </c>
      <c r="AB66" s="77">
        <v>0</v>
      </c>
      <c r="AC66" s="67">
        <f t="shared" si="8"/>
        <v>0</v>
      </c>
      <c r="AD66" s="77">
        <v>0</v>
      </c>
      <c r="AE66" s="67">
        <f t="shared" si="9"/>
        <v>0</v>
      </c>
      <c r="AF66" s="82">
        <v>0</v>
      </c>
      <c r="AG66" s="67">
        <f t="shared" si="10"/>
        <v>0</v>
      </c>
      <c r="AH66" s="77">
        <v>36.534443</v>
      </c>
      <c r="AI66" s="67">
        <f t="shared" si="11"/>
        <v>73.068886</v>
      </c>
      <c r="AJ66" s="77">
        <v>732.709477</v>
      </c>
      <c r="AK66" s="77">
        <v>0</v>
      </c>
      <c r="AL66" s="77">
        <v>0</v>
      </c>
      <c r="AM66" s="77">
        <v>0</v>
      </c>
      <c r="AN66" s="77">
        <v>0</v>
      </c>
      <c r="AO66" s="77">
        <v>4290.598334</v>
      </c>
      <c r="AP66" s="67">
        <f t="shared" si="12"/>
        <v>1634.84</v>
      </c>
      <c r="AQ66" s="91">
        <f t="shared" si="13"/>
        <v>3.26968</v>
      </c>
      <c r="AR66" s="92">
        <f t="shared" si="14"/>
        <v>0</v>
      </c>
      <c r="AS66" s="67">
        <f t="shared" si="15"/>
        <v>1.63484</v>
      </c>
      <c r="AT66" s="75">
        <v>0</v>
      </c>
      <c r="AU66" s="67">
        <f t="shared" si="16"/>
        <v>0.149314701733333</v>
      </c>
      <c r="AV66" s="71">
        <f t="shared" si="17"/>
        <v>1.40129142857143</v>
      </c>
      <c r="AW66" s="71"/>
      <c r="AX66" s="67"/>
      <c r="AY66" s="67">
        <f t="shared" si="18"/>
        <v>0.34324786672</v>
      </c>
      <c r="AZ66" s="67"/>
      <c r="BA66" s="67">
        <f t="shared" si="19"/>
        <v>1.55060613030476</v>
      </c>
      <c r="BB66" s="75"/>
    </row>
    <row r="67" spans="1:54">
      <c r="A67" s="64">
        <v>62</v>
      </c>
      <c r="B67" s="65" t="s">
        <v>154</v>
      </c>
      <c r="C67" s="65" t="s">
        <v>154</v>
      </c>
      <c r="D67" s="65" t="s">
        <v>149</v>
      </c>
      <c r="E67" s="65" t="s">
        <v>155</v>
      </c>
      <c r="F67" s="66">
        <v>449.49</v>
      </c>
      <c r="G67" s="67">
        <f t="shared" si="0"/>
        <v>10.5520729871632</v>
      </c>
      <c r="H67" s="67">
        <f t="shared" si="1"/>
        <v>4743.051287</v>
      </c>
      <c r="I67" s="75">
        <v>3</v>
      </c>
      <c r="J67" s="75">
        <v>3</v>
      </c>
      <c r="K67" s="76">
        <f t="shared" si="2"/>
        <v>4752.950866</v>
      </c>
      <c r="L67" s="76">
        <f t="shared" si="3"/>
        <v>1983.773356</v>
      </c>
      <c r="M67" s="75">
        <v>0</v>
      </c>
      <c r="N67" s="77">
        <v>0</v>
      </c>
      <c r="O67" s="75">
        <v>0</v>
      </c>
      <c r="P67" s="67">
        <f t="shared" si="4"/>
        <v>898.98</v>
      </c>
      <c r="Q67" s="77">
        <v>2687.040421</v>
      </c>
      <c r="R67" s="67">
        <f t="shared" si="5"/>
        <v>2696.94</v>
      </c>
      <c r="S67" s="67">
        <v>0</v>
      </c>
      <c r="T67" s="76">
        <f t="shared" si="6"/>
        <v>910.24538</v>
      </c>
      <c r="U67" s="76"/>
      <c r="V67" s="77">
        <v>0</v>
      </c>
      <c r="W67" s="75">
        <v>0</v>
      </c>
      <c r="X67" s="76"/>
      <c r="Y67" s="77">
        <v>910.24538</v>
      </c>
      <c r="Z67" s="77">
        <v>0</v>
      </c>
      <c r="AA67" s="67">
        <f t="shared" si="7"/>
        <v>0</v>
      </c>
      <c r="AB67" s="77">
        <v>36.118755</v>
      </c>
      <c r="AC67" s="67">
        <f t="shared" si="8"/>
        <v>72.23751</v>
      </c>
      <c r="AD67" s="77">
        <v>0</v>
      </c>
      <c r="AE67" s="67">
        <f t="shared" si="9"/>
        <v>0</v>
      </c>
      <c r="AF67" s="82">
        <v>0</v>
      </c>
      <c r="AG67" s="67">
        <f t="shared" si="10"/>
        <v>0</v>
      </c>
      <c r="AH67" s="77">
        <v>0</v>
      </c>
      <c r="AI67" s="67">
        <f t="shared" si="11"/>
        <v>0</v>
      </c>
      <c r="AJ67" s="77">
        <v>0</v>
      </c>
      <c r="AK67" s="77">
        <v>0</v>
      </c>
      <c r="AL67" s="77">
        <v>0</v>
      </c>
      <c r="AM67" s="77">
        <v>0</v>
      </c>
      <c r="AN67" s="77">
        <v>0</v>
      </c>
      <c r="AO67" s="77">
        <v>1073.527976</v>
      </c>
      <c r="AP67" s="67">
        <f t="shared" si="12"/>
        <v>898.98</v>
      </c>
      <c r="AQ67" s="91">
        <f t="shared" si="13"/>
        <v>1.79796</v>
      </c>
      <c r="AR67" s="92">
        <f t="shared" si="14"/>
        <v>0</v>
      </c>
      <c r="AS67" s="67">
        <f t="shared" si="15"/>
        <v>0.89898</v>
      </c>
      <c r="AT67" s="75">
        <v>0</v>
      </c>
      <c r="AU67" s="67">
        <f t="shared" si="16"/>
        <v>0.121366050666667</v>
      </c>
      <c r="AV67" s="71">
        <f t="shared" si="17"/>
        <v>0.770554285714286</v>
      </c>
      <c r="AW67" s="71"/>
      <c r="AX67" s="67"/>
      <c r="AY67" s="67">
        <f t="shared" si="18"/>
        <v>0.08588223808</v>
      </c>
      <c r="AZ67" s="67"/>
      <c r="BA67" s="67">
        <f t="shared" si="19"/>
        <v>0.891920336380952</v>
      </c>
      <c r="BB67" s="75"/>
    </row>
    <row r="68" spans="1:54">
      <c r="A68" s="64">
        <v>63</v>
      </c>
      <c r="B68" s="65" t="s">
        <v>156</v>
      </c>
      <c r="C68" s="65" t="s">
        <v>156</v>
      </c>
      <c r="D68" s="65" t="s">
        <v>135</v>
      </c>
      <c r="E68" s="65" t="s">
        <v>148</v>
      </c>
      <c r="F68" s="66">
        <v>412.39</v>
      </c>
      <c r="G68" s="67">
        <f t="shared" si="0"/>
        <v>6.47725689759694</v>
      </c>
      <c r="H68" s="67">
        <f t="shared" si="1"/>
        <v>2671.155972</v>
      </c>
      <c r="I68" s="75">
        <v>2</v>
      </c>
      <c r="J68" s="78">
        <v>3</v>
      </c>
      <c r="K68" s="76">
        <f t="shared" si="2"/>
        <v>2474.34</v>
      </c>
      <c r="L68" s="76">
        <f t="shared" si="3"/>
        <v>0</v>
      </c>
      <c r="M68" s="75">
        <v>0</v>
      </c>
      <c r="N68" s="77">
        <v>0</v>
      </c>
      <c r="O68" s="75">
        <v>0</v>
      </c>
      <c r="P68" s="67">
        <f t="shared" si="4"/>
        <v>824.78</v>
      </c>
      <c r="Q68" s="77">
        <v>2671.155972</v>
      </c>
      <c r="R68" s="67">
        <f t="shared" si="5"/>
        <v>2474.34</v>
      </c>
      <c r="S68" s="67">
        <v>0</v>
      </c>
      <c r="T68" s="76">
        <f t="shared" si="6"/>
        <v>0</v>
      </c>
      <c r="U68" s="76"/>
      <c r="V68" s="77">
        <v>0</v>
      </c>
      <c r="W68" s="75">
        <v>0</v>
      </c>
      <c r="X68" s="76"/>
      <c r="Y68" s="77">
        <v>0</v>
      </c>
      <c r="Z68" s="77">
        <v>0</v>
      </c>
      <c r="AA68" s="67">
        <f t="shared" si="7"/>
        <v>0</v>
      </c>
      <c r="AB68" s="77">
        <v>0</v>
      </c>
      <c r="AC68" s="67">
        <f t="shared" si="8"/>
        <v>0</v>
      </c>
      <c r="AD68" s="77">
        <v>0</v>
      </c>
      <c r="AE68" s="67">
        <f t="shared" si="9"/>
        <v>0</v>
      </c>
      <c r="AF68" s="82">
        <v>0</v>
      </c>
      <c r="AG68" s="67">
        <f t="shared" si="10"/>
        <v>0</v>
      </c>
      <c r="AH68" s="77">
        <v>0</v>
      </c>
      <c r="AI68" s="67">
        <f t="shared" si="11"/>
        <v>0</v>
      </c>
      <c r="AJ68" s="77">
        <v>0</v>
      </c>
      <c r="AK68" s="77">
        <v>0</v>
      </c>
      <c r="AL68" s="77">
        <v>0</v>
      </c>
      <c r="AM68" s="77">
        <v>0</v>
      </c>
      <c r="AN68" s="77">
        <v>0</v>
      </c>
      <c r="AO68" s="77">
        <v>0</v>
      </c>
      <c r="AP68" s="67">
        <f t="shared" si="12"/>
        <v>824.78</v>
      </c>
      <c r="AQ68" s="91">
        <f t="shared" si="13"/>
        <v>1.64956</v>
      </c>
      <c r="AR68" s="92">
        <f t="shared" si="14"/>
        <v>0</v>
      </c>
      <c r="AS68" s="67">
        <f t="shared" si="15"/>
        <v>0.82478</v>
      </c>
      <c r="AT68" s="75">
        <v>0</v>
      </c>
      <c r="AU68" s="67">
        <f t="shared" si="16"/>
        <v>0</v>
      </c>
      <c r="AV68" s="71">
        <f t="shared" si="17"/>
        <v>0.706954285714286</v>
      </c>
      <c r="AW68" s="71"/>
      <c r="AX68" s="67"/>
      <c r="AY68" s="67">
        <f t="shared" si="18"/>
        <v>0</v>
      </c>
      <c r="AZ68" s="67"/>
      <c r="BA68" s="67">
        <f t="shared" si="19"/>
        <v>0.706954285714286</v>
      </c>
      <c r="BB68" s="75" t="s">
        <v>647</v>
      </c>
    </row>
    <row r="69" s="51" customFormat="1" ht="13.5" customHeight="1" spans="1:60">
      <c r="A69" s="68">
        <v>64</v>
      </c>
      <c r="B69" s="69" t="s">
        <v>143</v>
      </c>
      <c r="C69" s="69" t="s">
        <v>143</v>
      </c>
      <c r="D69" s="69" t="s">
        <v>80</v>
      </c>
      <c r="E69" s="69" t="s">
        <v>135</v>
      </c>
      <c r="F69" s="70">
        <v>502.07</v>
      </c>
      <c r="G69" s="71">
        <f t="shared" si="0"/>
        <v>27.7844586571594</v>
      </c>
      <c r="H69" s="71">
        <f t="shared" si="1"/>
        <v>13949.743158</v>
      </c>
      <c r="I69" s="78">
        <v>2</v>
      </c>
      <c r="J69" s="78">
        <v>3</v>
      </c>
      <c r="K69" s="79">
        <f t="shared" si="2"/>
        <v>10930.083866</v>
      </c>
      <c r="L69" s="79">
        <f t="shared" si="3"/>
        <v>7917.663866</v>
      </c>
      <c r="M69" s="78">
        <v>2</v>
      </c>
      <c r="N69" s="80">
        <v>0</v>
      </c>
      <c r="O69" s="78">
        <v>0</v>
      </c>
      <c r="P69" s="71">
        <f t="shared" si="4"/>
        <v>1004.14</v>
      </c>
      <c r="Q69" s="80">
        <v>6032.079292</v>
      </c>
      <c r="R69" s="71">
        <f t="shared" si="5"/>
        <v>3012.42</v>
      </c>
      <c r="S69" s="71">
        <v>0</v>
      </c>
      <c r="T69" s="79">
        <f t="shared" si="6"/>
        <v>2827.082302</v>
      </c>
      <c r="U69" s="79"/>
      <c r="V69" s="80">
        <v>0</v>
      </c>
      <c r="W69" s="78">
        <v>0</v>
      </c>
      <c r="X69" s="79"/>
      <c r="Y69" s="80">
        <v>1543.574244</v>
      </c>
      <c r="Z69" s="80">
        <v>0</v>
      </c>
      <c r="AA69" s="71">
        <f t="shared" si="7"/>
        <v>0</v>
      </c>
      <c r="AB69" s="80">
        <v>0</v>
      </c>
      <c r="AC69" s="71">
        <f t="shared" si="8"/>
        <v>0</v>
      </c>
      <c r="AD69" s="80">
        <v>0</v>
      </c>
      <c r="AE69" s="71">
        <f t="shared" si="9"/>
        <v>0</v>
      </c>
      <c r="AF69" s="83">
        <v>0</v>
      </c>
      <c r="AG69" s="71">
        <f t="shared" si="10"/>
        <v>0</v>
      </c>
      <c r="AH69" s="80">
        <v>0</v>
      </c>
      <c r="AI69" s="71">
        <f t="shared" si="11"/>
        <v>0</v>
      </c>
      <c r="AJ69" s="80">
        <v>1283.508058</v>
      </c>
      <c r="AK69" s="80">
        <v>0</v>
      </c>
      <c r="AL69" s="80">
        <v>0</v>
      </c>
      <c r="AM69" s="80">
        <v>0</v>
      </c>
      <c r="AN69" s="80">
        <v>0</v>
      </c>
      <c r="AO69" s="80">
        <v>5090.581564</v>
      </c>
      <c r="AP69" s="71">
        <f t="shared" si="12"/>
        <v>1004.14</v>
      </c>
      <c r="AQ69" s="93">
        <f t="shared" si="13"/>
        <v>2.00828</v>
      </c>
      <c r="AR69" s="94">
        <f t="shared" si="14"/>
        <v>0</v>
      </c>
      <c r="AS69" s="71">
        <f t="shared" si="15"/>
        <v>1.00414</v>
      </c>
      <c r="AT69" s="78">
        <v>0</v>
      </c>
      <c r="AU69" s="71">
        <f t="shared" si="16"/>
        <v>0.376944306933333</v>
      </c>
      <c r="AV69" s="71">
        <f t="shared" si="17"/>
        <v>0.860691428571429</v>
      </c>
      <c r="AW69" s="96">
        <v>1</v>
      </c>
      <c r="AX69" s="71"/>
      <c r="AY69" s="71">
        <f t="shared" si="18"/>
        <v>0.40724652512</v>
      </c>
      <c r="AZ69" s="71"/>
      <c r="BA69" s="67">
        <f t="shared" si="19"/>
        <v>2.23763573550476</v>
      </c>
      <c r="BB69" s="78"/>
      <c r="BH69" s="99"/>
    </row>
    <row r="70" s="51" customFormat="1" ht="13.5" customHeight="1" spans="1:60">
      <c r="A70" s="68">
        <v>65</v>
      </c>
      <c r="B70" s="69" t="s">
        <v>143</v>
      </c>
      <c r="C70" s="69" t="s">
        <v>143</v>
      </c>
      <c r="D70" s="69" t="s">
        <v>135</v>
      </c>
      <c r="E70" s="69" t="s">
        <v>148</v>
      </c>
      <c r="F70" s="70">
        <v>535.85</v>
      </c>
      <c r="G70" s="71">
        <f t="shared" ref="G70:G133" si="20">H70/F70</f>
        <v>30.2489288252309</v>
      </c>
      <c r="H70" s="71">
        <f t="shared" ref="H70:H133" si="21">Q70+V70+Y70+AA70+AC70+AE70+AG70+AI70+AJ70+AK70+AL70+AM70+AN70+AO70</f>
        <v>16208.888511</v>
      </c>
      <c r="I70" s="78">
        <v>2</v>
      </c>
      <c r="J70" s="78">
        <v>3</v>
      </c>
      <c r="K70" s="79">
        <f t="shared" ref="K70:K133" si="22">R70+V70+Y70+AA70+AC70+AE70+AG70+AI70+AJ70+AK70+AL70+AM70+AN70+AO70</f>
        <v>13036.357961</v>
      </c>
      <c r="L70" s="79">
        <f t="shared" ref="L70:L133" si="23">S70+V70+Y70+AA70+AE70+AG70+AI70+AJ70+AK70+AL70+AM70+AN70+AO70</f>
        <v>9821.257961</v>
      </c>
      <c r="M70" s="78">
        <v>2</v>
      </c>
      <c r="N70" s="80">
        <v>0</v>
      </c>
      <c r="O70" s="78">
        <v>0</v>
      </c>
      <c r="P70" s="71">
        <f t="shared" ref="P70:P133" si="24">F70*2</f>
        <v>1071.7</v>
      </c>
      <c r="Q70" s="80">
        <v>6387.63055</v>
      </c>
      <c r="R70" s="71">
        <f t="shared" ref="R70:R133" si="25">P70*3</f>
        <v>3215.1</v>
      </c>
      <c r="S70" s="71">
        <v>0</v>
      </c>
      <c r="T70" s="79">
        <f t="shared" ref="T70:T133" si="26">V70+Y70+AG70+AI70+AJ70+AK70+AL70</f>
        <v>4588.085344</v>
      </c>
      <c r="U70" s="79"/>
      <c r="V70" s="80">
        <v>0</v>
      </c>
      <c r="W70" s="78">
        <v>0</v>
      </c>
      <c r="X70" s="79"/>
      <c r="Y70" s="80">
        <v>1741.244102</v>
      </c>
      <c r="Z70" s="80">
        <v>0</v>
      </c>
      <c r="AA70" s="71">
        <f t="shared" ref="AA70:AA133" si="27">Z70*2</f>
        <v>0</v>
      </c>
      <c r="AB70" s="80">
        <v>0</v>
      </c>
      <c r="AC70" s="71">
        <f t="shared" ref="AC70:AC133" si="28">AB70*2</f>
        <v>0</v>
      </c>
      <c r="AD70" s="80">
        <v>0</v>
      </c>
      <c r="AE70" s="71">
        <f t="shared" ref="AE70:AE133" si="29">AD70*2</f>
        <v>0</v>
      </c>
      <c r="AF70" s="83">
        <v>0</v>
      </c>
      <c r="AG70" s="71">
        <f t="shared" ref="AG70:AG133" si="30">AF70*2</f>
        <v>0</v>
      </c>
      <c r="AH70" s="80">
        <v>0</v>
      </c>
      <c r="AI70" s="71">
        <f t="shared" ref="AI70:AI133" si="31">AH70*2</f>
        <v>0</v>
      </c>
      <c r="AJ70" s="80">
        <v>2846.841242</v>
      </c>
      <c r="AK70" s="80">
        <v>0</v>
      </c>
      <c r="AL70" s="80">
        <v>0</v>
      </c>
      <c r="AM70" s="80">
        <v>0</v>
      </c>
      <c r="AN70" s="80">
        <v>0</v>
      </c>
      <c r="AO70" s="80">
        <v>5233.172617</v>
      </c>
      <c r="AP70" s="71">
        <f t="shared" ref="AP70:AP133" si="32">F70*2</f>
        <v>1071.7</v>
      </c>
      <c r="AQ70" s="93">
        <f t="shared" ref="AQ70:AQ133" si="33">P70*IF(J70=1,0,IF(J70=2,0,IF(J70=3,2,IF(J70=4,0))))/1000</f>
        <v>2.1434</v>
      </c>
      <c r="AR70" s="94">
        <f t="shared" ref="AR70:AR133" si="34">P70*IF(J70=1,3,IF(J70=2,2,IF(J70=3,0,IF(J70=4,0))))/1000</f>
        <v>0</v>
      </c>
      <c r="AS70" s="71">
        <f t="shared" ref="AS70:AS133" si="35">P70/1000/2*IF(J70=1,4,IF(J70=2,3,IF(J70=3,2,IF(J70=4,0))))</f>
        <v>1.0717</v>
      </c>
      <c r="AT70" s="78">
        <v>0</v>
      </c>
      <c r="AU70" s="71">
        <f t="shared" ref="AU70:AU133" si="36">T70/IF(J70=1,5500,IF(J70=2,6500,IF(J70=3,7500)))</f>
        <v>0.611744712533333</v>
      </c>
      <c r="AV70" s="71">
        <f t="shared" ref="AV70:AV133" si="37">AP70/IF(J70=1,350,IF(J70=2,500,IF(J70=3,700)))*0.6</f>
        <v>0.9186</v>
      </c>
      <c r="AW70" s="97"/>
      <c r="AX70" s="71"/>
      <c r="AY70" s="71">
        <f t="shared" ref="AY70:AY133" si="38">(AM70+AN70+AO70)*0.8/10000</f>
        <v>0.41865380936</v>
      </c>
      <c r="AZ70" s="71"/>
      <c r="BA70" s="67">
        <f t="shared" ref="BA70:BA133" si="39">AU70+AV70+AW70</f>
        <v>1.53034471253333</v>
      </c>
      <c r="BB70" s="78"/>
      <c r="BH70" s="99"/>
    </row>
    <row r="71" s="51" customFormat="1" ht="13.5" customHeight="1" spans="1:60">
      <c r="A71" s="68">
        <v>66</v>
      </c>
      <c r="B71" s="69" t="s">
        <v>143</v>
      </c>
      <c r="C71" s="69" t="s">
        <v>157</v>
      </c>
      <c r="D71" s="69"/>
      <c r="E71" s="69"/>
      <c r="F71" s="70">
        <v>13.61</v>
      </c>
      <c r="G71" s="71">
        <f t="shared" si="20"/>
        <v>18.6332744305658</v>
      </c>
      <c r="H71" s="71">
        <f t="shared" si="21"/>
        <v>253.598865</v>
      </c>
      <c r="I71" s="78">
        <v>2</v>
      </c>
      <c r="J71" s="78">
        <v>3</v>
      </c>
      <c r="K71" s="79">
        <f t="shared" si="22"/>
        <v>81.66</v>
      </c>
      <c r="L71" s="79">
        <f t="shared" si="23"/>
        <v>0</v>
      </c>
      <c r="M71" s="78">
        <v>0</v>
      </c>
      <c r="N71" s="80">
        <v>0</v>
      </c>
      <c r="O71" s="78">
        <v>0</v>
      </c>
      <c r="P71" s="71">
        <f t="shared" si="24"/>
        <v>27.22</v>
      </c>
      <c r="Q71" s="80">
        <v>253.598865</v>
      </c>
      <c r="R71" s="71">
        <f t="shared" si="25"/>
        <v>81.66</v>
      </c>
      <c r="S71" s="71">
        <v>0</v>
      </c>
      <c r="T71" s="79">
        <f t="shared" si="26"/>
        <v>0</v>
      </c>
      <c r="U71" s="79"/>
      <c r="V71" s="80">
        <v>0</v>
      </c>
      <c r="W71" s="78">
        <v>0</v>
      </c>
      <c r="X71" s="79"/>
      <c r="Y71" s="80">
        <v>0</v>
      </c>
      <c r="Z71" s="80">
        <v>0</v>
      </c>
      <c r="AA71" s="71">
        <f t="shared" si="27"/>
        <v>0</v>
      </c>
      <c r="AB71" s="80">
        <v>0</v>
      </c>
      <c r="AC71" s="71">
        <f t="shared" si="28"/>
        <v>0</v>
      </c>
      <c r="AD71" s="80">
        <v>0</v>
      </c>
      <c r="AE71" s="71">
        <f t="shared" si="29"/>
        <v>0</v>
      </c>
      <c r="AF71" s="83">
        <v>0</v>
      </c>
      <c r="AG71" s="71">
        <f t="shared" si="30"/>
        <v>0</v>
      </c>
      <c r="AH71" s="80">
        <v>0</v>
      </c>
      <c r="AI71" s="71">
        <f t="shared" si="31"/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71">
        <f t="shared" si="32"/>
        <v>27.22</v>
      </c>
      <c r="AQ71" s="93">
        <f t="shared" si="33"/>
        <v>0.05444</v>
      </c>
      <c r="AR71" s="94">
        <f t="shared" si="34"/>
        <v>0</v>
      </c>
      <c r="AS71" s="71">
        <f t="shared" si="35"/>
        <v>0.02722</v>
      </c>
      <c r="AT71" s="78">
        <v>0</v>
      </c>
      <c r="AU71" s="71">
        <f t="shared" si="36"/>
        <v>0</v>
      </c>
      <c r="AV71" s="71">
        <f t="shared" si="37"/>
        <v>0.0233314285714286</v>
      </c>
      <c r="AW71" s="98"/>
      <c r="AX71" s="71"/>
      <c r="AY71" s="71">
        <f t="shared" si="38"/>
        <v>0</v>
      </c>
      <c r="AZ71" s="71"/>
      <c r="BA71" s="67">
        <f t="shared" si="39"/>
        <v>0.0233314285714286</v>
      </c>
      <c r="BB71" s="78"/>
      <c r="BH71" s="99"/>
    </row>
    <row r="72" spans="1:54">
      <c r="A72" s="64">
        <v>67</v>
      </c>
      <c r="B72" s="65" t="s">
        <v>158</v>
      </c>
      <c r="C72" s="65" t="s">
        <v>158</v>
      </c>
      <c r="D72" s="65" t="s">
        <v>156</v>
      </c>
      <c r="E72" s="65" t="s">
        <v>143</v>
      </c>
      <c r="F72" s="66">
        <v>438.3</v>
      </c>
      <c r="G72" s="67">
        <f t="shared" si="20"/>
        <v>12.9060307894136</v>
      </c>
      <c r="H72" s="67">
        <f t="shared" si="21"/>
        <v>5656.713295</v>
      </c>
      <c r="I72" s="75">
        <v>3</v>
      </c>
      <c r="J72" s="75">
        <v>3</v>
      </c>
      <c r="K72" s="76">
        <f t="shared" si="22"/>
        <v>5197.165395</v>
      </c>
      <c r="L72" s="76">
        <f t="shared" si="23"/>
        <v>2567.365395</v>
      </c>
      <c r="M72" s="75">
        <v>2</v>
      </c>
      <c r="N72" s="77">
        <v>0</v>
      </c>
      <c r="O72" s="75">
        <v>0</v>
      </c>
      <c r="P72" s="67">
        <f t="shared" si="24"/>
        <v>876.6</v>
      </c>
      <c r="Q72" s="77">
        <v>3089.3479</v>
      </c>
      <c r="R72" s="67">
        <f t="shared" si="25"/>
        <v>2629.8</v>
      </c>
      <c r="S72" s="67">
        <v>0</v>
      </c>
      <c r="T72" s="76">
        <f t="shared" si="26"/>
        <v>298.223425</v>
      </c>
      <c r="U72" s="76"/>
      <c r="V72" s="77">
        <v>0</v>
      </c>
      <c r="W72" s="75">
        <v>0</v>
      </c>
      <c r="X72" s="76"/>
      <c r="Y72" s="77">
        <v>0</v>
      </c>
      <c r="Z72" s="77">
        <v>0</v>
      </c>
      <c r="AA72" s="67">
        <f t="shared" si="27"/>
        <v>0</v>
      </c>
      <c r="AB72" s="77">
        <v>0</v>
      </c>
      <c r="AC72" s="67">
        <f t="shared" si="28"/>
        <v>0</v>
      </c>
      <c r="AD72" s="77">
        <v>0</v>
      </c>
      <c r="AE72" s="67">
        <f t="shared" si="29"/>
        <v>0</v>
      </c>
      <c r="AF72" s="82">
        <v>0</v>
      </c>
      <c r="AG72" s="67">
        <f t="shared" si="30"/>
        <v>0</v>
      </c>
      <c r="AH72" s="77">
        <v>0</v>
      </c>
      <c r="AI72" s="67">
        <f t="shared" si="31"/>
        <v>0</v>
      </c>
      <c r="AJ72" s="77">
        <v>298.223425</v>
      </c>
      <c r="AK72" s="77">
        <v>0</v>
      </c>
      <c r="AL72" s="77">
        <v>0</v>
      </c>
      <c r="AM72" s="77">
        <v>0</v>
      </c>
      <c r="AN72" s="77">
        <v>0</v>
      </c>
      <c r="AO72" s="77">
        <v>2269.14197</v>
      </c>
      <c r="AP72" s="67">
        <f t="shared" si="32"/>
        <v>876.6</v>
      </c>
      <c r="AQ72" s="91">
        <f t="shared" si="33"/>
        <v>1.7532</v>
      </c>
      <c r="AR72" s="92">
        <f t="shared" si="34"/>
        <v>0</v>
      </c>
      <c r="AS72" s="67">
        <f t="shared" si="35"/>
        <v>0.8766</v>
      </c>
      <c r="AT72" s="75">
        <v>0</v>
      </c>
      <c r="AU72" s="67">
        <f t="shared" si="36"/>
        <v>0.0397631233333333</v>
      </c>
      <c r="AV72" s="71">
        <f t="shared" si="37"/>
        <v>0.751371428571428</v>
      </c>
      <c r="AW72" s="71"/>
      <c r="AX72" s="67"/>
      <c r="AY72" s="67">
        <f t="shared" si="38"/>
        <v>0.1815313576</v>
      </c>
      <c r="AZ72" s="67"/>
      <c r="BA72" s="67">
        <f t="shared" si="39"/>
        <v>0.791134551904762</v>
      </c>
      <c r="BB72" s="75"/>
    </row>
    <row r="73" spans="1:54">
      <c r="A73" s="64">
        <v>68</v>
      </c>
      <c r="B73" s="65" t="s">
        <v>139</v>
      </c>
      <c r="C73" s="65" t="s">
        <v>139</v>
      </c>
      <c r="D73" s="65" t="s">
        <v>92</v>
      </c>
      <c r="E73" s="65" t="s">
        <v>159</v>
      </c>
      <c r="F73" s="66">
        <v>261.31</v>
      </c>
      <c r="G73" s="67">
        <f t="shared" si="20"/>
        <v>176.848864616739</v>
      </c>
      <c r="H73" s="67">
        <f t="shared" si="21"/>
        <v>46212.376813</v>
      </c>
      <c r="I73" s="75">
        <v>2</v>
      </c>
      <c r="J73" s="78">
        <v>3</v>
      </c>
      <c r="K73" s="76">
        <f t="shared" si="22"/>
        <v>42227.180509</v>
      </c>
      <c r="L73" s="76">
        <f t="shared" si="23"/>
        <v>40659.320509</v>
      </c>
      <c r="M73" s="75">
        <v>2</v>
      </c>
      <c r="N73" s="77">
        <v>0</v>
      </c>
      <c r="O73" s="75">
        <v>0</v>
      </c>
      <c r="P73" s="67">
        <f t="shared" si="24"/>
        <v>522.62</v>
      </c>
      <c r="Q73" s="77">
        <v>5553.056304</v>
      </c>
      <c r="R73" s="67">
        <f t="shared" si="25"/>
        <v>1567.86</v>
      </c>
      <c r="S73" s="67">
        <v>0</v>
      </c>
      <c r="T73" s="76">
        <f t="shared" si="26"/>
        <v>0</v>
      </c>
      <c r="U73" s="76"/>
      <c r="V73" s="77">
        <v>0</v>
      </c>
      <c r="W73" s="75">
        <v>0</v>
      </c>
      <c r="X73" s="76"/>
      <c r="Y73" s="77">
        <v>0</v>
      </c>
      <c r="Z73" s="77">
        <v>0</v>
      </c>
      <c r="AA73" s="67">
        <f t="shared" si="27"/>
        <v>0</v>
      </c>
      <c r="AB73" s="77">
        <v>0</v>
      </c>
      <c r="AC73" s="67">
        <f t="shared" si="28"/>
        <v>0</v>
      </c>
      <c r="AD73" s="77">
        <v>0</v>
      </c>
      <c r="AE73" s="67">
        <f t="shared" si="29"/>
        <v>0</v>
      </c>
      <c r="AF73" s="82">
        <v>0</v>
      </c>
      <c r="AG73" s="67">
        <f t="shared" si="30"/>
        <v>0</v>
      </c>
      <c r="AH73" s="77">
        <v>0</v>
      </c>
      <c r="AI73" s="67">
        <f t="shared" si="31"/>
        <v>0</v>
      </c>
      <c r="AJ73" s="77">
        <v>0</v>
      </c>
      <c r="AK73" s="77">
        <v>0</v>
      </c>
      <c r="AL73" s="77">
        <v>0</v>
      </c>
      <c r="AM73" s="77">
        <v>40289.765056</v>
      </c>
      <c r="AN73" s="77">
        <v>0</v>
      </c>
      <c r="AO73" s="77">
        <v>369.555453</v>
      </c>
      <c r="AP73" s="67">
        <f t="shared" si="32"/>
        <v>522.62</v>
      </c>
      <c r="AQ73" s="91">
        <f t="shared" si="33"/>
        <v>1.04524</v>
      </c>
      <c r="AR73" s="92">
        <f t="shared" si="34"/>
        <v>0</v>
      </c>
      <c r="AS73" s="67">
        <f t="shared" si="35"/>
        <v>0.52262</v>
      </c>
      <c r="AT73" s="75">
        <v>0</v>
      </c>
      <c r="AU73" s="67">
        <f t="shared" si="36"/>
        <v>0</v>
      </c>
      <c r="AV73" s="71">
        <f t="shared" si="37"/>
        <v>0.44796</v>
      </c>
      <c r="AW73" s="71"/>
      <c r="AX73" s="67"/>
      <c r="AY73" s="67">
        <f t="shared" si="38"/>
        <v>3.25274564072</v>
      </c>
      <c r="AZ73" s="67"/>
      <c r="BA73" s="67">
        <f t="shared" si="39"/>
        <v>0.44796</v>
      </c>
      <c r="BB73" s="75"/>
    </row>
    <row r="74" spans="1:54">
      <c r="A74" s="64">
        <v>69</v>
      </c>
      <c r="B74" s="65" t="s">
        <v>139</v>
      </c>
      <c r="C74" s="65" t="s">
        <v>139</v>
      </c>
      <c r="D74" s="65" t="s">
        <v>648</v>
      </c>
      <c r="E74" s="65" t="s">
        <v>92</v>
      </c>
      <c r="F74" s="66">
        <v>2254.69</v>
      </c>
      <c r="G74" s="67">
        <f t="shared" si="20"/>
        <v>49.3477108094683</v>
      </c>
      <c r="H74" s="67">
        <f t="shared" si="21"/>
        <v>111263.790085</v>
      </c>
      <c r="I74" s="75">
        <v>2</v>
      </c>
      <c r="J74" s="78">
        <v>3</v>
      </c>
      <c r="K74" s="76">
        <f t="shared" si="22"/>
        <v>38377.738839</v>
      </c>
      <c r="L74" s="76">
        <f t="shared" si="23"/>
        <v>24849.598839</v>
      </c>
      <c r="M74" s="75">
        <v>2</v>
      </c>
      <c r="N74" s="77">
        <v>0</v>
      </c>
      <c r="O74" s="75">
        <v>0</v>
      </c>
      <c r="P74" s="67">
        <f t="shared" si="24"/>
        <v>4509.38</v>
      </c>
      <c r="Q74" s="77">
        <v>86414.191246</v>
      </c>
      <c r="R74" s="67">
        <f t="shared" si="25"/>
        <v>13528.14</v>
      </c>
      <c r="S74" s="67">
        <v>0</v>
      </c>
      <c r="T74" s="76">
        <f t="shared" si="26"/>
        <v>7999.847755</v>
      </c>
      <c r="U74" s="76"/>
      <c r="V74" s="77">
        <v>0</v>
      </c>
      <c r="W74" s="75">
        <v>0</v>
      </c>
      <c r="X74" s="76"/>
      <c r="Y74" s="77">
        <v>5462.903802</v>
      </c>
      <c r="Z74" s="77">
        <v>0</v>
      </c>
      <c r="AA74" s="67">
        <f t="shared" si="27"/>
        <v>0</v>
      </c>
      <c r="AB74" s="77">
        <v>0</v>
      </c>
      <c r="AC74" s="67">
        <f t="shared" si="28"/>
        <v>0</v>
      </c>
      <c r="AD74" s="77">
        <v>0</v>
      </c>
      <c r="AE74" s="67">
        <f t="shared" si="29"/>
        <v>0</v>
      </c>
      <c r="AF74" s="82">
        <v>486.194514</v>
      </c>
      <c r="AG74" s="67">
        <f t="shared" si="30"/>
        <v>972.389028</v>
      </c>
      <c r="AH74" s="77">
        <v>192.225375</v>
      </c>
      <c r="AI74" s="67">
        <f t="shared" si="31"/>
        <v>384.45075</v>
      </c>
      <c r="AJ74" s="77">
        <v>411.210997</v>
      </c>
      <c r="AK74" s="77">
        <v>0</v>
      </c>
      <c r="AL74" s="77">
        <v>768.893178</v>
      </c>
      <c r="AM74" s="77">
        <v>16207.95298</v>
      </c>
      <c r="AN74" s="77">
        <v>0</v>
      </c>
      <c r="AO74" s="77">
        <v>641.798104</v>
      </c>
      <c r="AP74" s="67">
        <f t="shared" si="32"/>
        <v>4509.38</v>
      </c>
      <c r="AQ74" s="91">
        <f t="shared" si="33"/>
        <v>9.01876</v>
      </c>
      <c r="AR74" s="92">
        <f t="shared" si="34"/>
        <v>0</v>
      </c>
      <c r="AS74" s="67">
        <f t="shared" si="35"/>
        <v>4.50938</v>
      </c>
      <c r="AT74" s="75">
        <v>0</v>
      </c>
      <c r="AU74" s="67">
        <f t="shared" si="36"/>
        <v>1.06664636733333</v>
      </c>
      <c r="AV74" s="71">
        <f t="shared" si="37"/>
        <v>3.86518285714286</v>
      </c>
      <c r="AW74" s="71"/>
      <c r="AX74" s="67"/>
      <c r="AY74" s="67">
        <f t="shared" si="38"/>
        <v>1.34798008672</v>
      </c>
      <c r="AZ74" s="67"/>
      <c r="BA74" s="67">
        <f t="shared" si="39"/>
        <v>4.93182922447619</v>
      </c>
      <c r="BB74" s="75" t="s">
        <v>649</v>
      </c>
    </row>
    <row r="75" spans="1:54">
      <c r="A75" s="64">
        <v>70</v>
      </c>
      <c r="B75" s="65" t="s">
        <v>161</v>
      </c>
      <c r="C75" s="65" t="s">
        <v>161</v>
      </c>
      <c r="D75" s="65" t="s">
        <v>139</v>
      </c>
      <c r="E75" s="65" t="s">
        <v>162</v>
      </c>
      <c r="F75" s="66">
        <v>177.86</v>
      </c>
      <c r="G75" s="67">
        <f t="shared" si="20"/>
        <v>14.0901616496121</v>
      </c>
      <c r="H75" s="67">
        <f t="shared" si="21"/>
        <v>2506.076151</v>
      </c>
      <c r="I75" s="75">
        <v>3</v>
      </c>
      <c r="J75" s="75">
        <v>3</v>
      </c>
      <c r="K75" s="76">
        <f t="shared" si="22"/>
        <v>1700.436113</v>
      </c>
      <c r="L75" s="76">
        <f t="shared" si="23"/>
        <v>633.276113</v>
      </c>
      <c r="M75" s="75">
        <v>2</v>
      </c>
      <c r="N75" s="77">
        <v>0</v>
      </c>
      <c r="O75" s="75">
        <v>0</v>
      </c>
      <c r="P75" s="67">
        <f t="shared" si="24"/>
        <v>355.72</v>
      </c>
      <c r="Q75" s="77">
        <v>1872.800038</v>
      </c>
      <c r="R75" s="67">
        <f t="shared" si="25"/>
        <v>1067.16</v>
      </c>
      <c r="S75" s="67">
        <v>0</v>
      </c>
      <c r="T75" s="76">
        <f t="shared" si="26"/>
        <v>362.952688</v>
      </c>
      <c r="U75" s="76"/>
      <c r="V75" s="77">
        <v>0</v>
      </c>
      <c r="W75" s="75">
        <v>0</v>
      </c>
      <c r="X75" s="76"/>
      <c r="Y75" s="77">
        <v>362.952688</v>
      </c>
      <c r="Z75" s="77">
        <v>0</v>
      </c>
      <c r="AA75" s="67">
        <f t="shared" si="27"/>
        <v>0</v>
      </c>
      <c r="AB75" s="77">
        <v>0</v>
      </c>
      <c r="AC75" s="67">
        <f t="shared" si="28"/>
        <v>0</v>
      </c>
      <c r="AD75" s="77">
        <v>0</v>
      </c>
      <c r="AE75" s="67">
        <f t="shared" si="29"/>
        <v>0</v>
      </c>
      <c r="AF75" s="82">
        <v>0</v>
      </c>
      <c r="AG75" s="67">
        <f t="shared" si="30"/>
        <v>0</v>
      </c>
      <c r="AH75" s="77">
        <v>0</v>
      </c>
      <c r="AI75" s="67">
        <f t="shared" si="31"/>
        <v>0</v>
      </c>
      <c r="AJ75" s="77">
        <v>0</v>
      </c>
      <c r="AK75" s="77">
        <v>0</v>
      </c>
      <c r="AL75" s="77">
        <v>0</v>
      </c>
      <c r="AM75" s="77">
        <v>0</v>
      </c>
      <c r="AN75" s="77">
        <v>0</v>
      </c>
      <c r="AO75" s="77">
        <v>270.323425</v>
      </c>
      <c r="AP75" s="67">
        <f t="shared" si="32"/>
        <v>355.72</v>
      </c>
      <c r="AQ75" s="91">
        <f t="shared" si="33"/>
        <v>0.71144</v>
      </c>
      <c r="AR75" s="92">
        <f t="shared" si="34"/>
        <v>0</v>
      </c>
      <c r="AS75" s="67">
        <f t="shared" si="35"/>
        <v>0.35572</v>
      </c>
      <c r="AT75" s="75">
        <v>0</v>
      </c>
      <c r="AU75" s="67">
        <f t="shared" si="36"/>
        <v>0.0483936917333333</v>
      </c>
      <c r="AV75" s="71">
        <f t="shared" si="37"/>
        <v>0.304902857142857</v>
      </c>
      <c r="AW75" s="71"/>
      <c r="AX75" s="67"/>
      <c r="AY75" s="67">
        <f t="shared" si="38"/>
        <v>0.021625874</v>
      </c>
      <c r="AZ75" s="67"/>
      <c r="BA75" s="67">
        <f t="shared" si="39"/>
        <v>0.35329654887619</v>
      </c>
      <c r="BB75" s="75"/>
    </row>
    <row r="76" s="51" customFormat="1" ht="13.5" customHeight="1" spans="1:60">
      <c r="A76" s="64">
        <v>71</v>
      </c>
      <c r="B76" s="65" t="s">
        <v>163</v>
      </c>
      <c r="C76" s="65" t="s">
        <v>163</v>
      </c>
      <c r="D76" s="65" t="s">
        <v>85</v>
      </c>
      <c r="E76" s="65" t="s">
        <v>139</v>
      </c>
      <c r="F76" s="66">
        <v>106.65</v>
      </c>
      <c r="G76" s="67">
        <f t="shared" si="20"/>
        <v>17.236066169714</v>
      </c>
      <c r="H76" s="67">
        <f t="shared" si="21"/>
        <v>1838.226457</v>
      </c>
      <c r="I76" s="75">
        <v>3</v>
      </c>
      <c r="J76" s="75">
        <v>3</v>
      </c>
      <c r="K76" s="76">
        <f t="shared" si="22"/>
        <v>957.634471</v>
      </c>
      <c r="L76" s="76">
        <f t="shared" si="23"/>
        <v>317.734471</v>
      </c>
      <c r="M76" s="75">
        <v>0</v>
      </c>
      <c r="N76" s="77">
        <v>0</v>
      </c>
      <c r="O76" s="75">
        <v>0</v>
      </c>
      <c r="P76" s="67">
        <f t="shared" si="24"/>
        <v>213.3</v>
      </c>
      <c r="Q76" s="77">
        <v>1520.491986</v>
      </c>
      <c r="R76" s="71">
        <f t="shared" si="25"/>
        <v>639.9</v>
      </c>
      <c r="S76" s="71">
        <v>0</v>
      </c>
      <c r="T76" s="76">
        <f t="shared" si="26"/>
        <v>133.603628</v>
      </c>
      <c r="U76" s="79"/>
      <c r="V76" s="77">
        <v>0</v>
      </c>
      <c r="W76" s="75">
        <v>0</v>
      </c>
      <c r="X76" s="79"/>
      <c r="Y76" s="77">
        <v>133.603628</v>
      </c>
      <c r="Z76" s="77">
        <v>0</v>
      </c>
      <c r="AA76" s="71">
        <f t="shared" si="27"/>
        <v>0</v>
      </c>
      <c r="AB76" s="77">
        <v>0</v>
      </c>
      <c r="AC76" s="71">
        <f t="shared" si="28"/>
        <v>0</v>
      </c>
      <c r="AD76" s="77">
        <v>0</v>
      </c>
      <c r="AE76" s="71">
        <f t="shared" si="29"/>
        <v>0</v>
      </c>
      <c r="AF76" s="82">
        <v>0</v>
      </c>
      <c r="AG76" s="71">
        <f t="shared" si="30"/>
        <v>0</v>
      </c>
      <c r="AH76" s="77">
        <v>0</v>
      </c>
      <c r="AI76" s="71">
        <f t="shared" si="31"/>
        <v>0</v>
      </c>
      <c r="AJ76" s="77">
        <v>0</v>
      </c>
      <c r="AK76" s="77">
        <v>0</v>
      </c>
      <c r="AL76" s="77">
        <v>0</v>
      </c>
      <c r="AM76" s="77">
        <v>0</v>
      </c>
      <c r="AN76" s="77">
        <v>0</v>
      </c>
      <c r="AO76" s="77">
        <v>184.130843</v>
      </c>
      <c r="AP76" s="71">
        <f t="shared" si="32"/>
        <v>213.3</v>
      </c>
      <c r="AQ76" s="91">
        <f t="shared" si="33"/>
        <v>0.4266</v>
      </c>
      <c r="AR76" s="92">
        <f t="shared" si="34"/>
        <v>0</v>
      </c>
      <c r="AS76" s="67">
        <f t="shared" si="35"/>
        <v>0.2133</v>
      </c>
      <c r="AT76" s="75">
        <v>0</v>
      </c>
      <c r="AU76" s="67">
        <f t="shared" si="36"/>
        <v>0.0178138170666667</v>
      </c>
      <c r="AV76" s="71">
        <f t="shared" si="37"/>
        <v>0.182828571428571</v>
      </c>
      <c r="AW76" s="71"/>
      <c r="AX76" s="67"/>
      <c r="AY76" s="67">
        <f t="shared" si="38"/>
        <v>0.01473046744</v>
      </c>
      <c r="AZ76" s="67"/>
      <c r="BA76" s="67">
        <f t="shared" si="39"/>
        <v>0.200642388495238</v>
      </c>
      <c r="BB76" s="75"/>
      <c r="BH76" s="99"/>
    </row>
    <row r="77" spans="1:54">
      <c r="A77" s="64">
        <v>72</v>
      </c>
      <c r="B77" s="65" t="s">
        <v>159</v>
      </c>
      <c r="C77" s="65" t="s">
        <v>159</v>
      </c>
      <c r="D77" s="65" t="s">
        <v>83</v>
      </c>
      <c r="E77" s="65" t="s">
        <v>92</v>
      </c>
      <c r="F77" s="66">
        <v>764.15</v>
      </c>
      <c r="G77" s="67">
        <f t="shared" si="20"/>
        <v>11.2247301733953</v>
      </c>
      <c r="H77" s="67">
        <f t="shared" si="21"/>
        <v>8577.377562</v>
      </c>
      <c r="I77" s="75">
        <v>2</v>
      </c>
      <c r="J77" s="78">
        <v>3</v>
      </c>
      <c r="K77" s="76">
        <f t="shared" si="22"/>
        <v>4584.9</v>
      </c>
      <c r="L77" s="76">
        <f t="shared" si="23"/>
        <v>0</v>
      </c>
      <c r="M77" s="75">
        <v>2</v>
      </c>
      <c r="N77" s="77">
        <v>0</v>
      </c>
      <c r="O77" s="75">
        <v>0</v>
      </c>
      <c r="P77" s="67">
        <f t="shared" si="24"/>
        <v>1528.3</v>
      </c>
      <c r="Q77" s="77">
        <v>8577.377562</v>
      </c>
      <c r="R77" s="67">
        <f t="shared" si="25"/>
        <v>4584.9</v>
      </c>
      <c r="S77" s="67">
        <v>0</v>
      </c>
      <c r="T77" s="76">
        <f t="shared" si="26"/>
        <v>0</v>
      </c>
      <c r="U77" s="76"/>
      <c r="V77" s="77">
        <v>0</v>
      </c>
      <c r="W77" s="75">
        <v>0</v>
      </c>
      <c r="X77" s="76"/>
      <c r="Y77" s="77">
        <v>0</v>
      </c>
      <c r="Z77" s="77">
        <v>0</v>
      </c>
      <c r="AA77" s="67">
        <f t="shared" si="27"/>
        <v>0</v>
      </c>
      <c r="AB77" s="77">
        <v>0</v>
      </c>
      <c r="AC77" s="67">
        <f t="shared" si="28"/>
        <v>0</v>
      </c>
      <c r="AD77" s="77">
        <v>0</v>
      </c>
      <c r="AE77" s="67">
        <f t="shared" si="29"/>
        <v>0</v>
      </c>
      <c r="AF77" s="82">
        <v>0</v>
      </c>
      <c r="AG77" s="67">
        <f t="shared" si="30"/>
        <v>0</v>
      </c>
      <c r="AH77" s="77">
        <v>0</v>
      </c>
      <c r="AI77" s="67">
        <f t="shared" si="31"/>
        <v>0</v>
      </c>
      <c r="AJ77" s="77">
        <v>0</v>
      </c>
      <c r="AK77" s="77">
        <v>0</v>
      </c>
      <c r="AL77" s="77">
        <v>0</v>
      </c>
      <c r="AM77" s="77">
        <v>0</v>
      </c>
      <c r="AN77" s="77">
        <v>0</v>
      </c>
      <c r="AO77" s="77">
        <v>0</v>
      </c>
      <c r="AP77" s="67">
        <f t="shared" si="32"/>
        <v>1528.3</v>
      </c>
      <c r="AQ77" s="91">
        <f t="shared" si="33"/>
        <v>3.0566</v>
      </c>
      <c r="AR77" s="92">
        <f t="shared" si="34"/>
        <v>0</v>
      </c>
      <c r="AS77" s="67">
        <f t="shared" si="35"/>
        <v>1.5283</v>
      </c>
      <c r="AT77" s="75">
        <v>0</v>
      </c>
      <c r="AU77" s="67">
        <f t="shared" si="36"/>
        <v>0</v>
      </c>
      <c r="AV77" s="71">
        <f t="shared" si="37"/>
        <v>1.30997142857143</v>
      </c>
      <c r="AW77" s="71"/>
      <c r="AX77" s="67"/>
      <c r="AY77" s="67">
        <f t="shared" si="38"/>
        <v>0</v>
      </c>
      <c r="AZ77" s="67"/>
      <c r="BA77" s="67">
        <f t="shared" si="39"/>
        <v>1.30997142857143</v>
      </c>
      <c r="BB77" s="75"/>
    </row>
    <row r="78" spans="1:54">
      <c r="A78" s="64">
        <v>73</v>
      </c>
      <c r="B78" s="65" t="s">
        <v>159</v>
      </c>
      <c r="C78" s="65" t="s">
        <v>159</v>
      </c>
      <c r="D78" s="65" t="s">
        <v>92</v>
      </c>
      <c r="E78" s="65" t="s">
        <v>83</v>
      </c>
      <c r="F78" s="66">
        <v>732.72</v>
      </c>
      <c r="G78" s="67">
        <f t="shared" si="20"/>
        <v>15.0759534255923</v>
      </c>
      <c r="H78" s="67">
        <f t="shared" si="21"/>
        <v>11046.452594</v>
      </c>
      <c r="I78" s="75">
        <v>2</v>
      </c>
      <c r="J78" s="78">
        <v>3</v>
      </c>
      <c r="K78" s="76">
        <f t="shared" si="22"/>
        <v>6316.626338</v>
      </c>
      <c r="L78" s="76">
        <f t="shared" si="23"/>
        <v>1920.306338</v>
      </c>
      <c r="M78" s="75">
        <v>2</v>
      </c>
      <c r="N78" s="77">
        <v>0</v>
      </c>
      <c r="O78" s="75">
        <v>0</v>
      </c>
      <c r="P78" s="67">
        <f t="shared" si="24"/>
        <v>1465.44</v>
      </c>
      <c r="Q78" s="77">
        <v>9126.146256</v>
      </c>
      <c r="R78" s="67">
        <f t="shared" si="25"/>
        <v>4396.32</v>
      </c>
      <c r="S78" s="67">
        <v>0</v>
      </c>
      <c r="T78" s="76">
        <f t="shared" si="26"/>
        <v>257.183756</v>
      </c>
      <c r="U78" s="76"/>
      <c r="V78" s="77">
        <v>0</v>
      </c>
      <c r="W78" s="75">
        <v>0</v>
      </c>
      <c r="X78" s="76"/>
      <c r="Y78" s="77">
        <v>0</v>
      </c>
      <c r="Z78" s="77">
        <v>0</v>
      </c>
      <c r="AA78" s="67">
        <f t="shared" si="27"/>
        <v>0</v>
      </c>
      <c r="AB78" s="77">
        <v>0</v>
      </c>
      <c r="AC78" s="67">
        <f t="shared" si="28"/>
        <v>0</v>
      </c>
      <c r="AD78" s="77">
        <v>0</v>
      </c>
      <c r="AE78" s="67">
        <f t="shared" si="29"/>
        <v>0</v>
      </c>
      <c r="AF78" s="82">
        <v>0</v>
      </c>
      <c r="AG78" s="67">
        <f t="shared" si="30"/>
        <v>0</v>
      </c>
      <c r="AH78" s="77">
        <v>128.591878</v>
      </c>
      <c r="AI78" s="67">
        <f t="shared" si="31"/>
        <v>257.183756</v>
      </c>
      <c r="AJ78" s="77">
        <v>0</v>
      </c>
      <c r="AK78" s="77">
        <v>0</v>
      </c>
      <c r="AL78" s="77">
        <v>0</v>
      </c>
      <c r="AM78" s="77">
        <v>0</v>
      </c>
      <c r="AN78" s="77">
        <v>0</v>
      </c>
      <c r="AO78" s="77">
        <v>1663.122582</v>
      </c>
      <c r="AP78" s="67">
        <f t="shared" si="32"/>
        <v>1465.44</v>
      </c>
      <c r="AQ78" s="91">
        <f t="shared" si="33"/>
        <v>2.93088</v>
      </c>
      <c r="AR78" s="92">
        <f t="shared" si="34"/>
        <v>0</v>
      </c>
      <c r="AS78" s="67">
        <f t="shared" si="35"/>
        <v>1.46544</v>
      </c>
      <c r="AT78" s="75">
        <v>0</v>
      </c>
      <c r="AU78" s="67">
        <f t="shared" si="36"/>
        <v>0.0342911674666667</v>
      </c>
      <c r="AV78" s="71">
        <f t="shared" si="37"/>
        <v>1.25609142857143</v>
      </c>
      <c r="AW78" s="71"/>
      <c r="AX78" s="67"/>
      <c r="AY78" s="67">
        <f t="shared" si="38"/>
        <v>0.13304980656</v>
      </c>
      <c r="AZ78" s="67"/>
      <c r="BA78" s="67">
        <f t="shared" si="39"/>
        <v>1.2903825960381</v>
      </c>
      <c r="BB78" s="75"/>
    </row>
    <row r="79" spans="1:54">
      <c r="A79" s="64">
        <v>74</v>
      </c>
      <c r="B79" s="65" t="s">
        <v>159</v>
      </c>
      <c r="C79" s="65" t="s">
        <v>159</v>
      </c>
      <c r="D79" s="65" t="s">
        <v>164</v>
      </c>
      <c r="E79" s="65" t="s">
        <v>92</v>
      </c>
      <c r="F79" s="66">
        <v>308.88</v>
      </c>
      <c r="G79" s="67">
        <f t="shared" si="20"/>
        <v>18.7042691368816</v>
      </c>
      <c r="H79" s="67">
        <f t="shared" si="21"/>
        <v>5777.374651</v>
      </c>
      <c r="I79" s="75">
        <v>2</v>
      </c>
      <c r="J79" s="78">
        <v>3</v>
      </c>
      <c r="K79" s="76">
        <f t="shared" si="22"/>
        <v>1853.28</v>
      </c>
      <c r="L79" s="76">
        <f t="shared" si="23"/>
        <v>0</v>
      </c>
      <c r="M79" s="75">
        <v>4</v>
      </c>
      <c r="N79" s="77">
        <v>0</v>
      </c>
      <c r="O79" s="75">
        <v>0</v>
      </c>
      <c r="P79" s="67">
        <f t="shared" si="24"/>
        <v>617.76</v>
      </c>
      <c r="Q79" s="77">
        <v>5777.374651</v>
      </c>
      <c r="R79" s="67">
        <f t="shared" si="25"/>
        <v>1853.28</v>
      </c>
      <c r="S79" s="67">
        <v>0</v>
      </c>
      <c r="T79" s="76">
        <f t="shared" si="26"/>
        <v>0</v>
      </c>
      <c r="U79" s="76"/>
      <c r="V79" s="77">
        <v>0</v>
      </c>
      <c r="W79" s="75">
        <v>0</v>
      </c>
      <c r="X79" s="76"/>
      <c r="Y79" s="77">
        <v>0</v>
      </c>
      <c r="Z79" s="77">
        <v>0</v>
      </c>
      <c r="AA79" s="67">
        <f t="shared" si="27"/>
        <v>0</v>
      </c>
      <c r="AB79" s="77">
        <v>0</v>
      </c>
      <c r="AC79" s="67">
        <f t="shared" si="28"/>
        <v>0</v>
      </c>
      <c r="AD79" s="77">
        <v>0</v>
      </c>
      <c r="AE79" s="67">
        <f t="shared" si="29"/>
        <v>0</v>
      </c>
      <c r="AF79" s="82">
        <v>0</v>
      </c>
      <c r="AG79" s="67">
        <f t="shared" si="30"/>
        <v>0</v>
      </c>
      <c r="AH79" s="77">
        <v>0</v>
      </c>
      <c r="AI79" s="67">
        <f t="shared" si="31"/>
        <v>0</v>
      </c>
      <c r="AJ79" s="77">
        <v>0</v>
      </c>
      <c r="AK79" s="77">
        <v>0</v>
      </c>
      <c r="AL79" s="77">
        <v>0</v>
      </c>
      <c r="AM79" s="77">
        <v>0</v>
      </c>
      <c r="AN79" s="77">
        <v>0</v>
      </c>
      <c r="AO79" s="77">
        <v>0</v>
      </c>
      <c r="AP79" s="67">
        <f t="shared" si="32"/>
        <v>617.76</v>
      </c>
      <c r="AQ79" s="91">
        <f t="shared" si="33"/>
        <v>1.23552</v>
      </c>
      <c r="AR79" s="92">
        <f t="shared" si="34"/>
        <v>0</v>
      </c>
      <c r="AS79" s="67">
        <f t="shared" si="35"/>
        <v>0.61776</v>
      </c>
      <c r="AT79" s="75">
        <v>0</v>
      </c>
      <c r="AU79" s="67">
        <f t="shared" si="36"/>
        <v>0</v>
      </c>
      <c r="AV79" s="71">
        <f t="shared" si="37"/>
        <v>0.529508571428571</v>
      </c>
      <c r="AW79" s="71"/>
      <c r="AX79" s="67"/>
      <c r="AY79" s="67">
        <f t="shared" si="38"/>
        <v>0</v>
      </c>
      <c r="AZ79" s="67"/>
      <c r="BA79" s="67">
        <f t="shared" si="39"/>
        <v>0.529508571428571</v>
      </c>
      <c r="BB79" s="75"/>
    </row>
    <row r="80" spans="1:54">
      <c r="A80" s="64">
        <v>75</v>
      </c>
      <c r="B80" s="65" t="s">
        <v>165</v>
      </c>
      <c r="C80" s="65" t="s">
        <v>165</v>
      </c>
      <c r="D80" s="65" t="s">
        <v>138</v>
      </c>
      <c r="E80" s="65" t="s">
        <v>92</v>
      </c>
      <c r="F80" s="66">
        <v>1150.24</v>
      </c>
      <c r="G80" s="67">
        <f t="shared" si="20"/>
        <v>18.893971880651</v>
      </c>
      <c r="H80" s="67">
        <f t="shared" si="21"/>
        <v>21732.602216</v>
      </c>
      <c r="I80" s="75">
        <v>3</v>
      </c>
      <c r="J80" s="75">
        <v>3</v>
      </c>
      <c r="K80" s="76">
        <f t="shared" si="22"/>
        <v>20766.952057</v>
      </c>
      <c r="L80" s="76">
        <f t="shared" si="23"/>
        <v>13865.512057</v>
      </c>
      <c r="M80" s="75">
        <v>2</v>
      </c>
      <c r="N80" s="77">
        <v>0</v>
      </c>
      <c r="O80" s="75">
        <v>0</v>
      </c>
      <c r="P80" s="67">
        <f t="shared" si="24"/>
        <v>2300.48</v>
      </c>
      <c r="Q80" s="77">
        <v>7867.090159</v>
      </c>
      <c r="R80" s="67">
        <f t="shared" si="25"/>
        <v>6901.44</v>
      </c>
      <c r="S80" s="67">
        <v>0</v>
      </c>
      <c r="T80" s="76">
        <f t="shared" si="26"/>
        <v>2534.664506</v>
      </c>
      <c r="U80" s="76"/>
      <c r="V80" s="77">
        <v>0</v>
      </c>
      <c r="W80" s="75">
        <v>0</v>
      </c>
      <c r="X80" s="76"/>
      <c r="Y80" s="77">
        <v>125.984546</v>
      </c>
      <c r="Z80" s="77">
        <v>0</v>
      </c>
      <c r="AA80" s="67">
        <f t="shared" si="27"/>
        <v>0</v>
      </c>
      <c r="AB80" s="77">
        <v>0</v>
      </c>
      <c r="AC80" s="67">
        <f t="shared" si="28"/>
        <v>0</v>
      </c>
      <c r="AD80" s="77">
        <v>0</v>
      </c>
      <c r="AE80" s="67">
        <f t="shared" si="29"/>
        <v>0</v>
      </c>
      <c r="AF80" s="82">
        <v>0</v>
      </c>
      <c r="AG80" s="67">
        <f t="shared" si="30"/>
        <v>0</v>
      </c>
      <c r="AH80" s="77">
        <v>661.214336</v>
      </c>
      <c r="AI80" s="67">
        <f t="shared" si="31"/>
        <v>1322.428672</v>
      </c>
      <c r="AJ80" s="77">
        <v>552.528732</v>
      </c>
      <c r="AK80" s="77">
        <v>533.722556</v>
      </c>
      <c r="AL80" s="77">
        <v>0</v>
      </c>
      <c r="AM80" s="77">
        <v>0</v>
      </c>
      <c r="AN80" s="77">
        <v>0</v>
      </c>
      <c r="AO80" s="77">
        <v>11330.847551</v>
      </c>
      <c r="AP80" s="67">
        <f t="shared" si="32"/>
        <v>2300.48</v>
      </c>
      <c r="AQ80" s="91">
        <f t="shared" si="33"/>
        <v>4.60096</v>
      </c>
      <c r="AR80" s="92">
        <f t="shared" si="34"/>
        <v>0</v>
      </c>
      <c r="AS80" s="67">
        <f t="shared" si="35"/>
        <v>2.30048</v>
      </c>
      <c r="AT80" s="75">
        <v>0</v>
      </c>
      <c r="AU80" s="67">
        <f t="shared" si="36"/>
        <v>0.337955267466667</v>
      </c>
      <c r="AV80" s="71">
        <f t="shared" si="37"/>
        <v>1.97184</v>
      </c>
      <c r="AW80" s="71"/>
      <c r="AX80" s="67"/>
      <c r="AY80" s="67">
        <f t="shared" si="38"/>
        <v>0.90646780408</v>
      </c>
      <c r="AZ80" s="67"/>
      <c r="BA80" s="67">
        <f t="shared" si="39"/>
        <v>2.30979526746667</v>
      </c>
      <c r="BB80" s="75"/>
    </row>
    <row r="81" spans="1:54">
      <c r="A81" s="64">
        <v>76</v>
      </c>
      <c r="B81" s="65" t="s">
        <v>166</v>
      </c>
      <c r="C81" s="65" t="s">
        <v>166</v>
      </c>
      <c r="D81" s="65" t="s">
        <v>167</v>
      </c>
      <c r="E81" s="65" t="s">
        <v>168</v>
      </c>
      <c r="F81" s="66">
        <v>334.39</v>
      </c>
      <c r="G81" s="67">
        <f t="shared" si="20"/>
        <v>13.6262929603158</v>
      </c>
      <c r="H81" s="67">
        <f t="shared" si="21"/>
        <v>4556.496103</v>
      </c>
      <c r="I81" s="75">
        <v>3</v>
      </c>
      <c r="J81" s="75">
        <v>3</v>
      </c>
      <c r="K81" s="76">
        <f t="shared" si="22"/>
        <v>5539.41099</v>
      </c>
      <c r="L81" s="76">
        <f t="shared" si="23"/>
        <v>3533.07099</v>
      </c>
      <c r="M81" s="75">
        <v>0</v>
      </c>
      <c r="N81" s="77">
        <v>0</v>
      </c>
      <c r="O81" s="75">
        <v>0</v>
      </c>
      <c r="P81" s="67">
        <f t="shared" si="24"/>
        <v>668.78</v>
      </c>
      <c r="Q81" s="77">
        <v>1023.425113</v>
      </c>
      <c r="R81" s="67">
        <f t="shared" si="25"/>
        <v>2006.34</v>
      </c>
      <c r="S81" s="67">
        <v>0</v>
      </c>
      <c r="T81" s="76">
        <f t="shared" si="26"/>
        <v>2607.107664</v>
      </c>
      <c r="U81" s="76"/>
      <c r="V81" s="77">
        <v>0</v>
      </c>
      <c r="W81" s="75">
        <v>0</v>
      </c>
      <c r="X81" s="76"/>
      <c r="Y81" s="77">
        <v>2307.178736</v>
      </c>
      <c r="Z81" s="77">
        <v>0</v>
      </c>
      <c r="AA81" s="67">
        <f t="shared" si="27"/>
        <v>0</v>
      </c>
      <c r="AB81" s="77">
        <v>0</v>
      </c>
      <c r="AC81" s="67">
        <f t="shared" si="28"/>
        <v>0</v>
      </c>
      <c r="AD81" s="77">
        <v>0</v>
      </c>
      <c r="AE81" s="67">
        <f t="shared" si="29"/>
        <v>0</v>
      </c>
      <c r="AF81" s="82">
        <v>0</v>
      </c>
      <c r="AG81" s="67">
        <f t="shared" si="30"/>
        <v>0</v>
      </c>
      <c r="AH81" s="77">
        <v>0</v>
      </c>
      <c r="AI81" s="67">
        <f t="shared" si="31"/>
        <v>0</v>
      </c>
      <c r="AJ81" s="77">
        <v>299.928928</v>
      </c>
      <c r="AK81" s="77">
        <v>0</v>
      </c>
      <c r="AL81" s="77">
        <v>0</v>
      </c>
      <c r="AM81" s="77">
        <v>0</v>
      </c>
      <c r="AN81" s="77">
        <v>0</v>
      </c>
      <c r="AO81" s="77">
        <v>925.963326</v>
      </c>
      <c r="AP81" s="67">
        <f t="shared" si="32"/>
        <v>668.78</v>
      </c>
      <c r="AQ81" s="91">
        <f t="shared" si="33"/>
        <v>1.33756</v>
      </c>
      <c r="AR81" s="92">
        <f t="shared" si="34"/>
        <v>0</v>
      </c>
      <c r="AS81" s="67">
        <f t="shared" si="35"/>
        <v>0.66878</v>
      </c>
      <c r="AT81" s="75">
        <v>0</v>
      </c>
      <c r="AU81" s="67">
        <f t="shared" si="36"/>
        <v>0.3476143552</v>
      </c>
      <c r="AV81" s="71">
        <f t="shared" si="37"/>
        <v>0.57324</v>
      </c>
      <c r="AW81" s="71"/>
      <c r="AX81" s="67"/>
      <c r="AY81" s="67">
        <f t="shared" si="38"/>
        <v>0.07407706608</v>
      </c>
      <c r="AZ81" s="67"/>
      <c r="BA81" s="67">
        <f t="shared" si="39"/>
        <v>0.9208543552</v>
      </c>
      <c r="BB81" s="75"/>
    </row>
    <row r="82" spans="1:54">
      <c r="A82" s="64">
        <v>77</v>
      </c>
      <c r="B82" s="65" t="s">
        <v>166</v>
      </c>
      <c r="C82" s="65" t="s">
        <v>166</v>
      </c>
      <c r="D82" s="65" t="s">
        <v>168</v>
      </c>
      <c r="E82" s="65" t="s">
        <v>169</v>
      </c>
      <c r="F82" s="66">
        <v>213.26</v>
      </c>
      <c r="G82" s="67">
        <f t="shared" si="20"/>
        <v>6.70433149676451</v>
      </c>
      <c r="H82" s="67">
        <f t="shared" si="21"/>
        <v>1429.765735</v>
      </c>
      <c r="I82" s="75">
        <v>3</v>
      </c>
      <c r="J82" s="75">
        <v>3</v>
      </c>
      <c r="K82" s="76">
        <f t="shared" si="22"/>
        <v>1279.56</v>
      </c>
      <c r="L82" s="76">
        <f t="shared" si="23"/>
        <v>0</v>
      </c>
      <c r="M82" s="75">
        <v>0</v>
      </c>
      <c r="N82" s="77">
        <v>0</v>
      </c>
      <c r="O82" s="75">
        <v>0</v>
      </c>
      <c r="P82" s="67">
        <f t="shared" si="24"/>
        <v>426.52</v>
      </c>
      <c r="Q82" s="77">
        <v>1429.765735</v>
      </c>
      <c r="R82" s="67">
        <f t="shared" si="25"/>
        <v>1279.56</v>
      </c>
      <c r="S82" s="67">
        <v>0</v>
      </c>
      <c r="T82" s="76">
        <f t="shared" si="26"/>
        <v>0</v>
      </c>
      <c r="U82" s="76"/>
      <c r="V82" s="77">
        <v>0</v>
      </c>
      <c r="W82" s="75">
        <v>0</v>
      </c>
      <c r="X82" s="76"/>
      <c r="Y82" s="77">
        <v>0</v>
      </c>
      <c r="Z82" s="77">
        <v>0</v>
      </c>
      <c r="AA82" s="67">
        <f t="shared" si="27"/>
        <v>0</v>
      </c>
      <c r="AB82" s="77">
        <v>0</v>
      </c>
      <c r="AC82" s="67">
        <f t="shared" si="28"/>
        <v>0</v>
      </c>
      <c r="AD82" s="77">
        <v>0</v>
      </c>
      <c r="AE82" s="67">
        <f t="shared" si="29"/>
        <v>0</v>
      </c>
      <c r="AF82" s="82">
        <v>0</v>
      </c>
      <c r="AG82" s="67">
        <f t="shared" si="30"/>
        <v>0</v>
      </c>
      <c r="AH82" s="77">
        <v>0</v>
      </c>
      <c r="AI82" s="67">
        <f t="shared" si="31"/>
        <v>0</v>
      </c>
      <c r="AJ82" s="77">
        <v>0</v>
      </c>
      <c r="AK82" s="77">
        <v>0</v>
      </c>
      <c r="AL82" s="77">
        <v>0</v>
      </c>
      <c r="AM82" s="77">
        <v>0</v>
      </c>
      <c r="AN82" s="77">
        <v>0</v>
      </c>
      <c r="AO82" s="77">
        <v>0</v>
      </c>
      <c r="AP82" s="67">
        <f t="shared" si="32"/>
        <v>426.52</v>
      </c>
      <c r="AQ82" s="91">
        <f t="shared" si="33"/>
        <v>0.85304</v>
      </c>
      <c r="AR82" s="92">
        <f t="shared" si="34"/>
        <v>0</v>
      </c>
      <c r="AS82" s="67">
        <f t="shared" si="35"/>
        <v>0.42652</v>
      </c>
      <c r="AT82" s="75">
        <v>0</v>
      </c>
      <c r="AU82" s="67">
        <f t="shared" si="36"/>
        <v>0</v>
      </c>
      <c r="AV82" s="71">
        <f t="shared" si="37"/>
        <v>0.365588571428571</v>
      </c>
      <c r="AW82" s="71"/>
      <c r="AX82" s="67"/>
      <c r="AY82" s="67">
        <f t="shared" si="38"/>
        <v>0</v>
      </c>
      <c r="AZ82" s="67"/>
      <c r="BA82" s="67">
        <f t="shared" si="39"/>
        <v>0.365588571428571</v>
      </c>
      <c r="BB82" s="75"/>
    </row>
    <row r="83" spans="1:54">
      <c r="A83" s="64">
        <v>78</v>
      </c>
      <c r="B83" s="65" t="s">
        <v>140</v>
      </c>
      <c r="C83" s="65" t="s">
        <v>140</v>
      </c>
      <c r="D83" s="65" t="s">
        <v>170</v>
      </c>
      <c r="E83" s="65" t="s">
        <v>85</v>
      </c>
      <c r="F83" s="66">
        <v>485.93</v>
      </c>
      <c r="G83" s="67">
        <f t="shared" si="20"/>
        <v>28.3496131294631</v>
      </c>
      <c r="H83" s="67">
        <f t="shared" si="21"/>
        <v>13775.927508</v>
      </c>
      <c r="I83" s="75">
        <v>3</v>
      </c>
      <c r="J83" s="75">
        <v>3</v>
      </c>
      <c r="K83" s="76">
        <f t="shared" si="22"/>
        <v>9314.006448</v>
      </c>
      <c r="L83" s="76">
        <f t="shared" si="23"/>
        <v>6398.426448</v>
      </c>
      <c r="M83" s="75">
        <v>0</v>
      </c>
      <c r="N83" s="77">
        <v>0</v>
      </c>
      <c r="O83" s="75">
        <v>0</v>
      </c>
      <c r="P83" s="67">
        <f t="shared" si="24"/>
        <v>971.86</v>
      </c>
      <c r="Q83" s="77">
        <v>7377.50106</v>
      </c>
      <c r="R83" s="67">
        <f t="shared" si="25"/>
        <v>2915.58</v>
      </c>
      <c r="S83" s="67">
        <v>0</v>
      </c>
      <c r="T83" s="76">
        <f t="shared" si="26"/>
        <v>3019.764326</v>
      </c>
      <c r="U83" s="76"/>
      <c r="V83" s="77">
        <v>0</v>
      </c>
      <c r="W83" s="75">
        <v>0</v>
      </c>
      <c r="X83" s="76"/>
      <c r="Y83" s="77">
        <v>2347.309438</v>
      </c>
      <c r="Z83" s="77">
        <v>0</v>
      </c>
      <c r="AA83" s="67">
        <f t="shared" si="27"/>
        <v>0</v>
      </c>
      <c r="AB83" s="77">
        <v>0</v>
      </c>
      <c r="AC83" s="67">
        <f t="shared" si="28"/>
        <v>0</v>
      </c>
      <c r="AD83" s="77">
        <v>0</v>
      </c>
      <c r="AE83" s="67">
        <f t="shared" si="29"/>
        <v>0</v>
      </c>
      <c r="AF83" s="82">
        <v>0</v>
      </c>
      <c r="AG83" s="67">
        <f t="shared" si="30"/>
        <v>0</v>
      </c>
      <c r="AH83" s="77">
        <v>0</v>
      </c>
      <c r="AI83" s="67">
        <f t="shared" si="31"/>
        <v>0</v>
      </c>
      <c r="AJ83" s="77">
        <v>672.454888</v>
      </c>
      <c r="AK83" s="77">
        <v>0</v>
      </c>
      <c r="AL83" s="77">
        <v>0</v>
      </c>
      <c r="AM83" s="77">
        <v>0</v>
      </c>
      <c r="AN83" s="77">
        <v>0</v>
      </c>
      <c r="AO83" s="77">
        <v>3378.662122</v>
      </c>
      <c r="AP83" s="67">
        <f t="shared" si="32"/>
        <v>971.86</v>
      </c>
      <c r="AQ83" s="91">
        <f t="shared" si="33"/>
        <v>1.94372</v>
      </c>
      <c r="AR83" s="92">
        <f t="shared" si="34"/>
        <v>0</v>
      </c>
      <c r="AS83" s="67">
        <f t="shared" si="35"/>
        <v>0.97186</v>
      </c>
      <c r="AT83" s="75">
        <v>0</v>
      </c>
      <c r="AU83" s="67">
        <f t="shared" si="36"/>
        <v>0.402635243466667</v>
      </c>
      <c r="AV83" s="71">
        <f t="shared" si="37"/>
        <v>0.833022857142857</v>
      </c>
      <c r="AW83" s="71"/>
      <c r="AX83" s="67"/>
      <c r="AY83" s="67">
        <f t="shared" si="38"/>
        <v>0.27029296976</v>
      </c>
      <c r="AZ83" s="67"/>
      <c r="BA83" s="67">
        <f t="shared" si="39"/>
        <v>1.23565810060952</v>
      </c>
      <c r="BB83" s="75"/>
    </row>
    <row r="84" spans="1:54">
      <c r="A84" s="64">
        <v>79</v>
      </c>
      <c r="B84" s="65" t="s">
        <v>171</v>
      </c>
      <c r="C84" s="65" t="s">
        <v>171</v>
      </c>
      <c r="D84" s="65" t="s">
        <v>172</v>
      </c>
      <c r="E84" s="65" t="s">
        <v>170</v>
      </c>
      <c r="F84" s="66">
        <v>272.49</v>
      </c>
      <c r="G84" s="67">
        <f t="shared" si="20"/>
        <v>13.8359730999303</v>
      </c>
      <c r="H84" s="67">
        <f t="shared" si="21"/>
        <v>3770.16431</v>
      </c>
      <c r="I84" s="75">
        <v>3</v>
      </c>
      <c r="J84" s="75">
        <v>3</v>
      </c>
      <c r="K84" s="76">
        <f t="shared" si="22"/>
        <v>3002.860312</v>
      </c>
      <c r="L84" s="76">
        <f t="shared" si="23"/>
        <v>1367.920312</v>
      </c>
      <c r="M84" s="75">
        <v>2</v>
      </c>
      <c r="N84" s="77">
        <v>0</v>
      </c>
      <c r="O84" s="75">
        <v>0</v>
      </c>
      <c r="P84" s="67">
        <f t="shared" si="24"/>
        <v>544.98</v>
      </c>
      <c r="Q84" s="77">
        <v>2402.243998</v>
      </c>
      <c r="R84" s="67">
        <f t="shared" si="25"/>
        <v>1634.94</v>
      </c>
      <c r="S84" s="67">
        <v>0</v>
      </c>
      <c r="T84" s="76">
        <f t="shared" si="26"/>
        <v>52.75285</v>
      </c>
      <c r="U84" s="76"/>
      <c r="V84" s="77">
        <v>0</v>
      </c>
      <c r="W84" s="75">
        <v>0</v>
      </c>
      <c r="X84" s="76"/>
      <c r="Y84" s="77">
        <v>0</v>
      </c>
      <c r="Z84" s="77">
        <v>0</v>
      </c>
      <c r="AA84" s="67">
        <f t="shared" si="27"/>
        <v>0</v>
      </c>
      <c r="AB84" s="77">
        <v>0</v>
      </c>
      <c r="AC84" s="67">
        <f t="shared" si="28"/>
        <v>0</v>
      </c>
      <c r="AD84" s="77">
        <v>0</v>
      </c>
      <c r="AE84" s="67">
        <f t="shared" si="29"/>
        <v>0</v>
      </c>
      <c r="AF84" s="82">
        <v>0</v>
      </c>
      <c r="AG84" s="67">
        <f t="shared" si="30"/>
        <v>0</v>
      </c>
      <c r="AH84" s="77">
        <v>0</v>
      </c>
      <c r="AI84" s="67">
        <f t="shared" si="31"/>
        <v>0</v>
      </c>
      <c r="AJ84" s="77">
        <v>52.75285</v>
      </c>
      <c r="AK84" s="77">
        <v>0</v>
      </c>
      <c r="AL84" s="77">
        <v>0</v>
      </c>
      <c r="AM84" s="77">
        <v>0</v>
      </c>
      <c r="AN84" s="77">
        <v>0</v>
      </c>
      <c r="AO84" s="77">
        <v>1315.167462</v>
      </c>
      <c r="AP84" s="67">
        <f t="shared" si="32"/>
        <v>544.98</v>
      </c>
      <c r="AQ84" s="91">
        <f t="shared" si="33"/>
        <v>1.08996</v>
      </c>
      <c r="AR84" s="92">
        <f t="shared" si="34"/>
        <v>0</v>
      </c>
      <c r="AS84" s="67">
        <f t="shared" si="35"/>
        <v>0.54498</v>
      </c>
      <c r="AT84" s="75">
        <v>0</v>
      </c>
      <c r="AU84" s="67">
        <f t="shared" si="36"/>
        <v>0.00703371333333333</v>
      </c>
      <c r="AV84" s="71">
        <f t="shared" si="37"/>
        <v>0.467125714285714</v>
      </c>
      <c r="AW84" s="71"/>
      <c r="AX84" s="67"/>
      <c r="AY84" s="67">
        <f t="shared" si="38"/>
        <v>0.10521339696</v>
      </c>
      <c r="AZ84" s="67"/>
      <c r="BA84" s="67">
        <f t="shared" si="39"/>
        <v>0.474159427619048</v>
      </c>
      <c r="BB84" s="75"/>
    </row>
    <row r="85" spans="1:54">
      <c r="A85" s="64">
        <v>80</v>
      </c>
      <c r="B85" s="65" t="s">
        <v>171</v>
      </c>
      <c r="C85" s="65" t="s">
        <v>171</v>
      </c>
      <c r="D85" s="65" t="s">
        <v>173</v>
      </c>
      <c r="E85" s="65" t="s">
        <v>172</v>
      </c>
      <c r="F85" s="66">
        <v>331.21</v>
      </c>
      <c r="G85" s="67">
        <f t="shared" si="20"/>
        <v>10.7263385616376</v>
      </c>
      <c r="H85" s="67">
        <f t="shared" si="21"/>
        <v>3552.670595</v>
      </c>
      <c r="I85" s="75">
        <v>3</v>
      </c>
      <c r="J85" s="75">
        <v>3</v>
      </c>
      <c r="K85" s="76">
        <f t="shared" si="22"/>
        <v>3136.251544</v>
      </c>
      <c r="L85" s="76">
        <f t="shared" si="23"/>
        <v>1148.991544</v>
      </c>
      <c r="M85" s="75">
        <v>2</v>
      </c>
      <c r="N85" s="77">
        <v>0</v>
      </c>
      <c r="O85" s="75">
        <v>0</v>
      </c>
      <c r="P85" s="67">
        <f t="shared" si="24"/>
        <v>662.42</v>
      </c>
      <c r="Q85" s="77">
        <v>2403.679051</v>
      </c>
      <c r="R85" s="67">
        <f t="shared" si="25"/>
        <v>1987.26</v>
      </c>
      <c r="S85" s="67">
        <v>0</v>
      </c>
      <c r="T85" s="76">
        <f t="shared" si="26"/>
        <v>92.088829</v>
      </c>
      <c r="U85" s="76"/>
      <c r="V85" s="77">
        <v>0</v>
      </c>
      <c r="W85" s="75">
        <v>0</v>
      </c>
      <c r="X85" s="76"/>
      <c r="Y85" s="77">
        <v>0</v>
      </c>
      <c r="Z85" s="77">
        <v>0</v>
      </c>
      <c r="AA85" s="67">
        <f t="shared" si="27"/>
        <v>0</v>
      </c>
      <c r="AB85" s="77">
        <v>0</v>
      </c>
      <c r="AC85" s="67">
        <f t="shared" si="28"/>
        <v>0</v>
      </c>
      <c r="AD85" s="77">
        <v>0</v>
      </c>
      <c r="AE85" s="67">
        <f t="shared" si="29"/>
        <v>0</v>
      </c>
      <c r="AF85" s="82">
        <v>0</v>
      </c>
      <c r="AG85" s="67">
        <f t="shared" si="30"/>
        <v>0</v>
      </c>
      <c r="AH85" s="77">
        <v>0</v>
      </c>
      <c r="AI85" s="67">
        <f t="shared" si="31"/>
        <v>0</v>
      </c>
      <c r="AJ85" s="77">
        <v>92.088829</v>
      </c>
      <c r="AK85" s="77">
        <v>0</v>
      </c>
      <c r="AL85" s="77">
        <v>0</v>
      </c>
      <c r="AM85" s="77">
        <v>0</v>
      </c>
      <c r="AN85" s="77">
        <v>0</v>
      </c>
      <c r="AO85" s="77">
        <v>1056.902715</v>
      </c>
      <c r="AP85" s="67">
        <f t="shared" si="32"/>
        <v>662.42</v>
      </c>
      <c r="AQ85" s="91">
        <f t="shared" si="33"/>
        <v>1.32484</v>
      </c>
      <c r="AR85" s="92">
        <f t="shared" si="34"/>
        <v>0</v>
      </c>
      <c r="AS85" s="67">
        <f t="shared" si="35"/>
        <v>0.66242</v>
      </c>
      <c r="AT85" s="75">
        <v>0</v>
      </c>
      <c r="AU85" s="67">
        <f t="shared" si="36"/>
        <v>0.0122785105333333</v>
      </c>
      <c r="AV85" s="71">
        <f t="shared" si="37"/>
        <v>0.567788571428571</v>
      </c>
      <c r="AW85" s="71"/>
      <c r="AX85" s="67"/>
      <c r="AY85" s="67">
        <f t="shared" si="38"/>
        <v>0.0845522172</v>
      </c>
      <c r="AZ85" s="67"/>
      <c r="BA85" s="67">
        <f t="shared" si="39"/>
        <v>0.580067081961905</v>
      </c>
      <c r="BB85" s="75"/>
    </row>
    <row r="86" spans="1:54">
      <c r="A86" s="64">
        <v>81</v>
      </c>
      <c r="B86" s="65" t="s">
        <v>174</v>
      </c>
      <c r="C86" s="65" t="s">
        <v>174</v>
      </c>
      <c r="D86" s="65" t="s">
        <v>172</v>
      </c>
      <c r="E86" s="65" t="s">
        <v>170</v>
      </c>
      <c r="F86" s="66">
        <v>395.35</v>
      </c>
      <c r="G86" s="67">
        <f t="shared" si="20"/>
        <v>30.5710832958138</v>
      </c>
      <c r="H86" s="67">
        <f t="shared" si="21"/>
        <v>12086.277781</v>
      </c>
      <c r="I86" s="75">
        <v>3</v>
      </c>
      <c r="J86" s="75">
        <v>3</v>
      </c>
      <c r="K86" s="76">
        <f t="shared" si="22"/>
        <v>9132.470205</v>
      </c>
      <c r="L86" s="76">
        <f t="shared" si="23"/>
        <v>6760.370205</v>
      </c>
      <c r="M86" s="75">
        <v>2</v>
      </c>
      <c r="N86" s="77">
        <v>0</v>
      </c>
      <c r="O86" s="75">
        <v>0</v>
      </c>
      <c r="P86" s="67">
        <f t="shared" si="24"/>
        <v>790.7</v>
      </c>
      <c r="Q86" s="77">
        <v>5325.907576</v>
      </c>
      <c r="R86" s="67">
        <f t="shared" si="25"/>
        <v>2372.1</v>
      </c>
      <c r="S86" s="67">
        <v>0</v>
      </c>
      <c r="T86" s="76">
        <f t="shared" si="26"/>
        <v>3252.780076</v>
      </c>
      <c r="U86" s="76"/>
      <c r="V86" s="77">
        <v>0</v>
      </c>
      <c r="W86" s="75">
        <v>0</v>
      </c>
      <c r="X86" s="76"/>
      <c r="Y86" s="77">
        <v>1486.903064</v>
      </c>
      <c r="Z86" s="77">
        <v>90.908297</v>
      </c>
      <c r="AA86" s="67">
        <f t="shared" si="27"/>
        <v>181.816594</v>
      </c>
      <c r="AB86" s="77">
        <v>0</v>
      </c>
      <c r="AC86" s="67">
        <f t="shared" si="28"/>
        <v>0</v>
      </c>
      <c r="AD86" s="77">
        <v>0</v>
      </c>
      <c r="AE86" s="67">
        <f t="shared" si="29"/>
        <v>0</v>
      </c>
      <c r="AF86" s="82">
        <v>0</v>
      </c>
      <c r="AG86" s="67">
        <f t="shared" si="30"/>
        <v>0</v>
      </c>
      <c r="AH86" s="77">
        <v>0</v>
      </c>
      <c r="AI86" s="67">
        <f t="shared" si="31"/>
        <v>0</v>
      </c>
      <c r="AJ86" s="77">
        <v>1765.877012</v>
      </c>
      <c r="AK86" s="77">
        <v>0</v>
      </c>
      <c r="AL86" s="77">
        <v>0</v>
      </c>
      <c r="AM86" s="77">
        <v>0</v>
      </c>
      <c r="AN86" s="77">
        <v>0</v>
      </c>
      <c r="AO86" s="77">
        <v>3325.773535</v>
      </c>
      <c r="AP86" s="67">
        <f t="shared" si="32"/>
        <v>790.7</v>
      </c>
      <c r="AQ86" s="91">
        <f t="shared" si="33"/>
        <v>1.5814</v>
      </c>
      <c r="AR86" s="92">
        <f t="shared" si="34"/>
        <v>0</v>
      </c>
      <c r="AS86" s="67">
        <f t="shared" si="35"/>
        <v>0.7907</v>
      </c>
      <c r="AT86" s="75">
        <v>0</v>
      </c>
      <c r="AU86" s="67">
        <f t="shared" si="36"/>
        <v>0.433704010133333</v>
      </c>
      <c r="AV86" s="71">
        <f t="shared" si="37"/>
        <v>0.677742857142857</v>
      </c>
      <c r="AW86" s="71"/>
      <c r="AX86" s="67"/>
      <c r="AY86" s="67">
        <f t="shared" si="38"/>
        <v>0.2660618828</v>
      </c>
      <c r="AZ86" s="67"/>
      <c r="BA86" s="67">
        <f t="shared" si="39"/>
        <v>1.11144686727619</v>
      </c>
      <c r="BB86" s="75"/>
    </row>
    <row r="87" spans="1:54">
      <c r="A87" s="64">
        <v>82</v>
      </c>
      <c r="B87" s="65" t="s">
        <v>174</v>
      </c>
      <c r="C87" s="65" t="s">
        <v>174</v>
      </c>
      <c r="D87" s="65" t="s">
        <v>175</v>
      </c>
      <c r="E87" s="65" t="s">
        <v>172</v>
      </c>
      <c r="F87" s="66">
        <v>294.9</v>
      </c>
      <c r="G87" s="67">
        <f t="shared" si="20"/>
        <v>20.5607459816887</v>
      </c>
      <c r="H87" s="67">
        <f t="shared" si="21"/>
        <v>6063.36399</v>
      </c>
      <c r="I87" s="75">
        <v>3</v>
      </c>
      <c r="J87" s="75">
        <v>3</v>
      </c>
      <c r="K87" s="76">
        <f t="shared" si="22"/>
        <v>4173.740179</v>
      </c>
      <c r="L87" s="76">
        <f t="shared" si="23"/>
        <v>2404.340179</v>
      </c>
      <c r="M87" s="75">
        <v>2</v>
      </c>
      <c r="N87" s="77">
        <v>0</v>
      </c>
      <c r="O87" s="75">
        <v>0</v>
      </c>
      <c r="P87" s="67">
        <f t="shared" si="24"/>
        <v>589.8</v>
      </c>
      <c r="Q87" s="77">
        <v>3659.023811</v>
      </c>
      <c r="R87" s="67">
        <f t="shared" si="25"/>
        <v>1769.4</v>
      </c>
      <c r="S87" s="67">
        <v>0</v>
      </c>
      <c r="T87" s="76">
        <f t="shared" si="26"/>
        <v>572.38553</v>
      </c>
      <c r="U87" s="76"/>
      <c r="V87" s="77">
        <v>0</v>
      </c>
      <c r="W87" s="75">
        <v>0</v>
      </c>
      <c r="X87" s="76"/>
      <c r="Y87" s="77">
        <v>0</v>
      </c>
      <c r="Z87" s="77">
        <v>0</v>
      </c>
      <c r="AA87" s="67">
        <f t="shared" si="27"/>
        <v>0</v>
      </c>
      <c r="AB87" s="77">
        <v>0</v>
      </c>
      <c r="AC87" s="67">
        <f t="shared" si="28"/>
        <v>0</v>
      </c>
      <c r="AD87" s="77">
        <v>0</v>
      </c>
      <c r="AE87" s="67">
        <f t="shared" si="29"/>
        <v>0</v>
      </c>
      <c r="AF87" s="82">
        <v>0</v>
      </c>
      <c r="AG87" s="67">
        <f t="shared" si="30"/>
        <v>0</v>
      </c>
      <c r="AH87" s="77">
        <v>0</v>
      </c>
      <c r="AI87" s="67">
        <f t="shared" si="31"/>
        <v>0</v>
      </c>
      <c r="AJ87" s="77">
        <v>572.38553</v>
      </c>
      <c r="AK87" s="77">
        <v>0</v>
      </c>
      <c r="AL87" s="77">
        <v>0</v>
      </c>
      <c r="AM87" s="77">
        <v>0</v>
      </c>
      <c r="AN87" s="77">
        <v>0</v>
      </c>
      <c r="AO87" s="77">
        <v>1831.954649</v>
      </c>
      <c r="AP87" s="67">
        <f t="shared" si="32"/>
        <v>589.8</v>
      </c>
      <c r="AQ87" s="91">
        <f t="shared" si="33"/>
        <v>1.1796</v>
      </c>
      <c r="AR87" s="92">
        <f t="shared" si="34"/>
        <v>0</v>
      </c>
      <c r="AS87" s="67">
        <f t="shared" si="35"/>
        <v>0.5898</v>
      </c>
      <c r="AT87" s="75">
        <v>0</v>
      </c>
      <c r="AU87" s="67">
        <f t="shared" si="36"/>
        <v>0.0763180706666667</v>
      </c>
      <c r="AV87" s="71">
        <f t="shared" si="37"/>
        <v>0.505542857142857</v>
      </c>
      <c r="AW87" s="71"/>
      <c r="AX87" s="67"/>
      <c r="AY87" s="67">
        <f t="shared" si="38"/>
        <v>0.14655637192</v>
      </c>
      <c r="AZ87" s="67"/>
      <c r="BA87" s="67">
        <f t="shared" si="39"/>
        <v>0.581860927809524</v>
      </c>
      <c r="BB87" s="75"/>
    </row>
    <row r="88" spans="1:54">
      <c r="A88" s="64">
        <v>83</v>
      </c>
      <c r="B88" s="65" t="s">
        <v>168</v>
      </c>
      <c r="C88" s="65" t="s">
        <v>168</v>
      </c>
      <c r="D88" s="65" t="s">
        <v>176</v>
      </c>
      <c r="E88" s="65" t="s">
        <v>177</v>
      </c>
      <c r="F88" s="66">
        <v>204.08</v>
      </c>
      <c r="G88" s="67">
        <f t="shared" si="20"/>
        <v>14.1650616424931</v>
      </c>
      <c r="H88" s="67">
        <f t="shared" si="21"/>
        <v>2890.80578</v>
      </c>
      <c r="I88" s="75">
        <v>3</v>
      </c>
      <c r="J88" s="75">
        <v>3</v>
      </c>
      <c r="K88" s="76">
        <f t="shared" si="22"/>
        <v>3385.843879</v>
      </c>
      <c r="L88" s="76">
        <f t="shared" si="23"/>
        <v>2161.363879</v>
      </c>
      <c r="M88" s="75">
        <v>0</v>
      </c>
      <c r="N88" s="77">
        <v>0</v>
      </c>
      <c r="O88" s="75">
        <v>0</v>
      </c>
      <c r="P88" s="67">
        <f t="shared" si="24"/>
        <v>408.16</v>
      </c>
      <c r="Q88" s="77">
        <v>729.441901</v>
      </c>
      <c r="R88" s="67">
        <f t="shared" si="25"/>
        <v>1224.48</v>
      </c>
      <c r="S88" s="67">
        <v>0</v>
      </c>
      <c r="T88" s="76">
        <f t="shared" si="26"/>
        <v>1849.843078</v>
      </c>
      <c r="U88" s="76"/>
      <c r="V88" s="77">
        <v>0</v>
      </c>
      <c r="W88" s="75">
        <v>0</v>
      </c>
      <c r="X88" s="76"/>
      <c r="Y88" s="77">
        <v>1654.446626</v>
      </c>
      <c r="Z88" s="77">
        <v>0</v>
      </c>
      <c r="AA88" s="67">
        <f t="shared" si="27"/>
        <v>0</v>
      </c>
      <c r="AB88" s="77">
        <v>0</v>
      </c>
      <c r="AC88" s="67">
        <f t="shared" si="28"/>
        <v>0</v>
      </c>
      <c r="AD88" s="77">
        <v>0</v>
      </c>
      <c r="AE88" s="67">
        <f t="shared" si="29"/>
        <v>0</v>
      </c>
      <c r="AF88" s="82">
        <v>0</v>
      </c>
      <c r="AG88" s="67">
        <f t="shared" si="30"/>
        <v>0</v>
      </c>
      <c r="AH88" s="77">
        <v>0</v>
      </c>
      <c r="AI88" s="67">
        <f t="shared" si="31"/>
        <v>0</v>
      </c>
      <c r="AJ88" s="77">
        <v>195.396452</v>
      </c>
      <c r="AK88" s="77">
        <v>0</v>
      </c>
      <c r="AL88" s="77">
        <v>0</v>
      </c>
      <c r="AM88" s="77">
        <v>0</v>
      </c>
      <c r="AN88" s="77">
        <v>0</v>
      </c>
      <c r="AO88" s="77">
        <v>311.520801</v>
      </c>
      <c r="AP88" s="67">
        <f t="shared" si="32"/>
        <v>408.16</v>
      </c>
      <c r="AQ88" s="91">
        <f t="shared" si="33"/>
        <v>0.81632</v>
      </c>
      <c r="AR88" s="92">
        <f t="shared" si="34"/>
        <v>0</v>
      </c>
      <c r="AS88" s="67">
        <f t="shared" si="35"/>
        <v>0.40816</v>
      </c>
      <c r="AT88" s="75">
        <v>0</v>
      </c>
      <c r="AU88" s="67">
        <f t="shared" si="36"/>
        <v>0.246645743733333</v>
      </c>
      <c r="AV88" s="71">
        <f t="shared" si="37"/>
        <v>0.349851428571429</v>
      </c>
      <c r="AW88" s="71"/>
      <c r="AX88" s="67"/>
      <c r="AY88" s="67">
        <f t="shared" si="38"/>
        <v>0.02492166408</v>
      </c>
      <c r="AZ88" s="67"/>
      <c r="BA88" s="67">
        <f t="shared" si="39"/>
        <v>0.596497172304762</v>
      </c>
      <c r="BB88" s="75"/>
    </row>
    <row r="89" spans="1:54">
      <c r="A89" s="64">
        <v>84</v>
      </c>
      <c r="B89" s="65" t="s">
        <v>168</v>
      </c>
      <c r="C89" s="65" t="s">
        <v>168</v>
      </c>
      <c r="D89" s="65" t="s">
        <v>178</v>
      </c>
      <c r="E89" s="65" t="s">
        <v>176</v>
      </c>
      <c r="F89" s="66">
        <v>643.29</v>
      </c>
      <c r="G89" s="67">
        <f t="shared" si="20"/>
        <v>20.8832649769155</v>
      </c>
      <c r="H89" s="67">
        <f t="shared" si="21"/>
        <v>13433.995527</v>
      </c>
      <c r="I89" s="75">
        <v>3</v>
      </c>
      <c r="J89" s="75">
        <v>3</v>
      </c>
      <c r="K89" s="76">
        <f t="shared" si="22"/>
        <v>14956.438358</v>
      </c>
      <c r="L89" s="76">
        <f t="shared" si="23"/>
        <v>11096.698358</v>
      </c>
      <c r="M89" s="75">
        <v>0</v>
      </c>
      <c r="N89" s="77">
        <v>0</v>
      </c>
      <c r="O89" s="75">
        <v>0</v>
      </c>
      <c r="P89" s="67">
        <f t="shared" si="24"/>
        <v>1286.58</v>
      </c>
      <c r="Q89" s="77">
        <v>2337.297169</v>
      </c>
      <c r="R89" s="67">
        <f t="shared" si="25"/>
        <v>3859.74</v>
      </c>
      <c r="S89" s="67">
        <v>0</v>
      </c>
      <c r="T89" s="76">
        <f t="shared" si="26"/>
        <v>3612.651423</v>
      </c>
      <c r="U89" s="76"/>
      <c r="V89" s="77">
        <v>0</v>
      </c>
      <c r="W89" s="75">
        <v>0</v>
      </c>
      <c r="X89" s="76"/>
      <c r="Y89" s="77">
        <v>1166.282168</v>
      </c>
      <c r="Z89" s="77">
        <v>12.684255</v>
      </c>
      <c r="AA89" s="67">
        <f t="shared" si="27"/>
        <v>25.36851</v>
      </c>
      <c r="AB89" s="77">
        <v>0</v>
      </c>
      <c r="AC89" s="67">
        <f t="shared" si="28"/>
        <v>0</v>
      </c>
      <c r="AD89" s="77">
        <v>0</v>
      </c>
      <c r="AE89" s="67">
        <f t="shared" si="29"/>
        <v>0</v>
      </c>
      <c r="AF89" s="82">
        <v>0</v>
      </c>
      <c r="AG89" s="67">
        <f t="shared" si="30"/>
        <v>0</v>
      </c>
      <c r="AH89" s="77">
        <v>0</v>
      </c>
      <c r="AI89" s="67">
        <f t="shared" si="31"/>
        <v>0</v>
      </c>
      <c r="AJ89" s="77">
        <v>2446.369255</v>
      </c>
      <c r="AK89" s="77">
        <v>0</v>
      </c>
      <c r="AL89" s="77">
        <v>0</v>
      </c>
      <c r="AM89" s="77">
        <v>0</v>
      </c>
      <c r="AN89" s="77">
        <v>0</v>
      </c>
      <c r="AO89" s="77">
        <v>7458.678425</v>
      </c>
      <c r="AP89" s="67">
        <f t="shared" si="32"/>
        <v>1286.58</v>
      </c>
      <c r="AQ89" s="91">
        <f t="shared" si="33"/>
        <v>2.57316</v>
      </c>
      <c r="AR89" s="92">
        <f t="shared" si="34"/>
        <v>0</v>
      </c>
      <c r="AS89" s="67">
        <f t="shared" si="35"/>
        <v>1.28658</v>
      </c>
      <c r="AT89" s="75">
        <v>0</v>
      </c>
      <c r="AU89" s="67">
        <f t="shared" si="36"/>
        <v>0.4816868564</v>
      </c>
      <c r="AV89" s="71">
        <f t="shared" si="37"/>
        <v>1.10278285714286</v>
      </c>
      <c r="AW89" s="71"/>
      <c r="AX89" s="67"/>
      <c r="AY89" s="67">
        <f t="shared" si="38"/>
        <v>0.596694274</v>
      </c>
      <c r="AZ89" s="67"/>
      <c r="BA89" s="67">
        <f t="shared" si="39"/>
        <v>1.58446971354286</v>
      </c>
      <c r="BB89" s="75"/>
    </row>
    <row r="90" spans="1:54">
      <c r="A90" s="64">
        <v>85</v>
      </c>
      <c r="B90" s="65" t="s">
        <v>155</v>
      </c>
      <c r="C90" s="65" t="s">
        <v>155</v>
      </c>
      <c r="D90" s="65" t="s">
        <v>153</v>
      </c>
      <c r="E90" s="65" t="s">
        <v>142</v>
      </c>
      <c r="F90" s="66">
        <v>530.45</v>
      </c>
      <c r="G90" s="67">
        <f t="shared" si="20"/>
        <v>22.7510739900085</v>
      </c>
      <c r="H90" s="67">
        <f t="shared" si="21"/>
        <v>12068.307198</v>
      </c>
      <c r="I90" s="75">
        <v>3</v>
      </c>
      <c r="J90" s="75">
        <v>3</v>
      </c>
      <c r="K90" s="76">
        <f t="shared" si="22"/>
        <v>11992.011613</v>
      </c>
      <c r="L90" s="76">
        <f t="shared" si="23"/>
        <v>8783.061069</v>
      </c>
      <c r="M90" s="75">
        <v>0</v>
      </c>
      <c r="N90" s="77">
        <v>0</v>
      </c>
      <c r="O90" s="75">
        <v>0</v>
      </c>
      <c r="P90" s="67">
        <f t="shared" si="24"/>
        <v>1060.9</v>
      </c>
      <c r="Q90" s="77">
        <v>3258.995585</v>
      </c>
      <c r="R90" s="67">
        <f t="shared" si="25"/>
        <v>3182.7</v>
      </c>
      <c r="S90" s="67">
        <v>0</v>
      </c>
      <c r="T90" s="76">
        <f t="shared" si="26"/>
        <v>2544.384962</v>
      </c>
      <c r="U90" s="76"/>
      <c r="V90" s="77">
        <v>0</v>
      </c>
      <c r="W90" s="75">
        <v>0</v>
      </c>
      <c r="X90" s="76"/>
      <c r="Y90" s="77">
        <v>1559.936326</v>
      </c>
      <c r="Z90" s="77">
        <v>0</v>
      </c>
      <c r="AA90" s="67">
        <f t="shared" si="27"/>
        <v>0</v>
      </c>
      <c r="AB90" s="77">
        <v>13.125272</v>
      </c>
      <c r="AC90" s="67">
        <f t="shared" si="28"/>
        <v>26.250544</v>
      </c>
      <c r="AD90" s="77">
        <v>0</v>
      </c>
      <c r="AE90" s="67">
        <f t="shared" si="29"/>
        <v>0</v>
      </c>
      <c r="AF90" s="82">
        <v>0</v>
      </c>
      <c r="AG90" s="67">
        <f t="shared" si="30"/>
        <v>0</v>
      </c>
      <c r="AH90" s="77">
        <v>16.395466</v>
      </c>
      <c r="AI90" s="67">
        <f t="shared" si="31"/>
        <v>32.790932</v>
      </c>
      <c r="AJ90" s="77">
        <v>951.657704</v>
      </c>
      <c r="AK90" s="77">
        <v>0</v>
      </c>
      <c r="AL90" s="77">
        <v>0</v>
      </c>
      <c r="AM90" s="77">
        <v>0</v>
      </c>
      <c r="AN90" s="77">
        <v>0</v>
      </c>
      <c r="AO90" s="77">
        <v>6238.676107</v>
      </c>
      <c r="AP90" s="67">
        <f t="shared" si="32"/>
        <v>1060.9</v>
      </c>
      <c r="AQ90" s="91">
        <f t="shared" si="33"/>
        <v>2.1218</v>
      </c>
      <c r="AR90" s="92">
        <f t="shared" si="34"/>
        <v>0</v>
      </c>
      <c r="AS90" s="67">
        <f t="shared" si="35"/>
        <v>1.0609</v>
      </c>
      <c r="AT90" s="75">
        <v>0</v>
      </c>
      <c r="AU90" s="67">
        <f t="shared" si="36"/>
        <v>0.339251328266667</v>
      </c>
      <c r="AV90" s="71">
        <f t="shared" si="37"/>
        <v>0.909342857142857</v>
      </c>
      <c r="AW90" s="71"/>
      <c r="AX90" s="67"/>
      <c r="AY90" s="67">
        <f t="shared" si="38"/>
        <v>0.49909408856</v>
      </c>
      <c r="AZ90" s="67"/>
      <c r="BA90" s="67">
        <f t="shared" si="39"/>
        <v>1.24859418540952</v>
      </c>
      <c r="BB90" s="75"/>
    </row>
    <row r="91" s="51" customFormat="1" ht="13.5" customHeight="1" spans="1:60">
      <c r="A91" s="68">
        <v>86</v>
      </c>
      <c r="B91" s="69" t="s">
        <v>179</v>
      </c>
      <c r="C91" s="69" t="s">
        <v>179</v>
      </c>
      <c r="D91" s="69" t="s">
        <v>180</v>
      </c>
      <c r="E91" s="69" t="s">
        <v>181</v>
      </c>
      <c r="F91" s="70">
        <v>709.72</v>
      </c>
      <c r="G91" s="71">
        <f t="shared" si="20"/>
        <v>44.5689199374401</v>
      </c>
      <c r="H91" s="71">
        <f t="shared" si="21"/>
        <v>31631.453858</v>
      </c>
      <c r="I91" s="78">
        <v>2</v>
      </c>
      <c r="J91" s="78">
        <v>3</v>
      </c>
      <c r="K91" s="79">
        <f t="shared" si="22"/>
        <v>23876.129508</v>
      </c>
      <c r="L91" s="79">
        <f t="shared" si="23"/>
        <v>19617.809508</v>
      </c>
      <c r="M91" s="78">
        <v>2</v>
      </c>
      <c r="N91" s="80">
        <v>0</v>
      </c>
      <c r="O91" s="78">
        <v>0</v>
      </c>
      <c r="P91" s="71">
        <f t="shared" si="24"/>
        <v>1419.44</v>
      </c>
      <c r="Q91" s="80">
        <v>12013.64435</v>
      </c>
      <c r="R91" s="71">
        <f t="shared" si="25"/>
        <v>4258.32</v>
      </c>
      <c r="S91" s="71">
        <v>0</v>
      </c>
      <c r="T91" s="79">
        <f t="shared" si="26"/>
        <v>8542.588087</v>
      </c>
      <c r="U91" s="79"/>
      <c r="V91" s="80">
        <v>4620.125785</v>
      </c>
      <c r="W91" s="78">
        <v>1</v>
      </c>
      <c r="X91" s="79"/>
      <c r="Y91" s="80">
        <v>3922.462302</v>
      </c>
      <c r="Z91" s="80">
        <v>962.330282</v>
      </c>
      <c r="AA91" s="71">
        <f t="shared" si="27"/>
        <v>1924.660564</v>
      </c>
      <c r="AB91" s="80">
        <v>0</v>
      </c>
      <c r="AC91" s="71">
        <f t="shared" si="28"/>
        <v>0</v>
      </c>
      <c r="AD91" s="80">
        <v>1388.367582</v>
      </c>
      <c r="AE91" s="71">
        <f t="shared" si="29"/>
        <v>2776.735164</v>
      </c>
      <c r="AF91" s="83">
        <v>0</v>
      </c>
      <c r="AG91" s="71">
        <f t="shared" si="30"/>
        <v>0</v>
      </c>
      <c r="AH91" s="80">
        <v>0</v>
      </c>
      <c r="AI91" s="71">
        <f t="shared" si="31"/>
        <v>0</v>
      </c>
      <c r="AJ91" s="80">
        <v>0</v>
      </c>
      <c r="AK91" s="80">
        <v>0</v>
      </c>
      <c r="AL91" s="80">
        <v>0</v>
      </c>
      <c r="AM91" s="80">
        <v>798.054508</v>
      </c>
      <c r="AN91" s="80">
        <v>0</v>
      </c>
      <c r="AO91" s="80">
        <v>5575.771185</v>
      </c>
      <c r="AP91" s="71">
        <f t="shared" si="32"/>
        <v>1419.44</v>
      </c>
      <c r="AQ91" s="93">
        <f t="shared" si="33"/>
        <v>2.83888</v>
      </c>
      <c r="AR91" s="94">
        <f t="shared" si="34"/>
        <v>0</v>
      </c>
      <c r="AS91" s="71">
        <f t="shared" si="35"/>
        <v>1.41944</v>
      </c>
      <c r="AT91" s="78">
        <v>8</v>
      </c>
      <c r="AU91" s="71">
        <f t="shared" si="36"/>
        <v>1.13901174493333</v>
      </c>
      <c r="AV91" s="71">
        <f t="shared" si="37"/>
        <v>1.21666285714286</v>
      </c>
      <c r="AW91" s="71">
        <v>1</v>
      </c>
      <c r="AX91" s="71"/>
      <c r="AY91" s="71">
        <f t="shared" si="38"/>
        <v>0.50990605544</v>
      </c>
      <c r="AZ91" s="71"/>
      <c r="BA91" s="67">
        <f t="shared" si="39"/>
        <v>3.35567460207619</v>
      </c>
      <c r="BB91" s="78"/>
      <c r="BH91" s="99"/>
    </row>
    <row r="92" s="51" customFormat="1" ht="13.5" customHeight="1" spans="1:60">
      <c r="A92" s="68">
        <v>87</v>
      </c>
      <c r="B92" s="69" t="s">
        <v>114</v>
      </c>
      <c r="C92" s="69" t="s">
        <v>114</v>
      </c>
      <c r="D92" s="69" t="s">
        <v>169</v>
      </c>
      <c r="E92" s="69" t="s">
        <v>90</v>
      </c>
      <c r="F92" s="70">
        <v>733.54</v>
      </c>
      <c r="G92" s="71">
        <f t="shared" si="20"/>
        <v>23.791790615372</v>
      </c>
      <c r="H92" s="71">
        <f t="shared" si="21"/>
        <v>17452.230088</v>
      </c>
      <c r="I92" s="78">
        <v>1</v>
      </c>
      <c r="J92" s="78">
        <v>3</v>
      </c>
      <c r="K92" s="79">
        <f t="shared" si="22"/>
        <v>6001.48766</v>
      </c>
      <c r="L92" s="79">
        <f t="shared" si="23"/>
        <v>1600.24766</v>
      </c>
      <c r="M92" s="78">
        <v>2</v>
      </c>
      <c r="N92" s="80">
        <v>0</v>
      </c>
      <c r="O92" s="78">
        <v>0</v>
      </c>
      <c r="P92" s="71">
        <f t="shared" si="24"/>
        <v>1467.08</v>
      </c>
      <c r="Q92" s="80">
        <v>15851.982428</v>
      </c>
      <c r="R92" s="71">
        <f t="shared" si="25"/>
        <v>4401.24</v>
      </c>
      <c r="S92" s="71">
        <v>0</v>
      </c>
      <c r="T92" s="79">
        <f t="shared" si="26"/>
        <v>233.303055</v>
      </c>
      <c r="U92" s="79"/>
      <c r="V92" s="80">
        <v>0</v>
      </c>
      <c r="W92" s="78">
        <v>0</v>
      </c>
      <c r="X92" s="79"/>
      <c r="Y92" s="80">
        <v>233.303055</v>
      </c>
      <c r="Z92" s="80">
        <v>0</v>
      </c>
      <c r="AA92" s="71">
        <f t="shared" si="27"/>
        <v>0</v>
      </c>
      <c r="AB92" s="80">
        <v>0</v>
      </c>
      <c r="AC92" s="71">
        <f t="shared" si="28"/>
        <v>0</v>
      </c>
      <c r="AD92" s="80">
        <v>0</v>
      </c>
      <c r="AE92" s="71">
        <f t="shared" si="29"/>
        <v>0</v>
      </c>
      <c r="AF92" s="83">
        <v>0</v>
      </c>
      <c r="AG92" s="71">
        <f t="shared" si="30"/>
        <v>0</v>
      </c>
      <c r="AH92" s="80">
        <v>0</v>
      </c>
      <c r="AI92" s="71">
        <f t="shared" si="31"/>
        <v>0</v>
      </c>
      <c r="AJ92" s="80">
        <v>0</v>
      </c>
      <c r="AK92" s="80">
        <v>0</v>
      </c>
      <c r="AL92" s="80">
        <v>0</v>
      </c>
      <c r="AM92" s="80">
        <v>1366.944605</v>
      </c>
      <c r="AN92" s="80">
        <v>0</v>
      </c>
      <c r="AO92" s="80">
        <v>0</v>
      </c>
      <c r="AP92" s="71">
        <f t="shared" si="32"/>
        <v>1467.08</v>
      </c>
      <c r="AQ92" s="93">
        <f t="shared" si="33"/>
        <v>2.93416</v>
      </c>
      <c r="AR92" s="94">
        <f t="shared" si="34"/>
        <v>0</v>
      </c>
      <c r="AS92" s="71">
        <f t="shared" si="35"/>
        <v>1.46708</v>
      </c>
      <c r="AT92" s="78">
        <v>0</v>
      </c>
      <c r="AU92" s="71">
        <f t="shared" si="36"/>
        <v>0.031107074</v>
      </c>
      <c r="AV92" s="71">
        <f t="shared" si="37"/>
        <v>1.25749714285714</v>
      </c>
      <c r="AW92" s="97">
        <v>1</v>
      </c>
      <c r="AX92" s="71"/>
      <c r="AY92" s="71">
        <f t="shared" si="38"/>
        <v>0.1093555684</v>
      </c>
      <c r="AZ92" s="71"/>
      <c r="BA92" s="67">
        <f t="shared" si="39"/>
        <v>2.28860421685714</v>
      </c>
      <c r="BB92" s="78" t="s">
        <v>649</v>
      </c>
      <c r="BH92" s="99"/>
    </row>
    <row r="93" s="51" customFormat="1" ht="13.5" customHeight="1" spans="1:60">
      <c r="A93" s="68">
        <v>88</v>
      </c>
      <c r="B93" s="69" t="s">
        <v>114</v>
      </c>
      <c r="C93" s="69" t="s">
        <v>114</v>
      </c>
      <c r="D93" s="69" t="s">
        <v>92</v>
      </c>
      <c r="E93" s="69" t="s">
        <v>111</v>
      </c>
      <c r="F93" s="70">
        <v>227.73</v>
      </c>
      <c r="G93" s="71">
        <f t="shared" si="20"/>
        <v>82.8021743468142</v>
      </c>
      <c r="H93" s="71">
        <f t="shared" si="21"/>
        <v>18856.539164</v>
      </c>
      <c r="I93" s="78">
        <v>1</v>
      </c>
      <c r="J93" s="78">
        <v>1</v>
      </c>
      <c r="K93" s="79">
        <f t="shared" si="22"/>
        <v>15204.755636</v>
      </c>
      <c r="L93" s="79">
        <f t="shared" si="23"/>
        <v>13838.375636</v>
      </c>
      <c r="M93" s="78">
        <v>2</v>
      </c>
      <c r="N93" s="80">
        <v>0</v>
      </c>
      <c r="O93" s="78">
        <v>0</v>
      </c>
      <c r="P93" s="71">
        <f t="shared" si="24"/>
        <v>455.46</v>
      </c>
      <c r="Q93" s="80">
        <v>5018.163528</v>
      </c>
      <c r="R93" s="71">
        <f t="shared" si="25"/>
        <v>1366.38</v>
      </c>
      <c r="S93" s="71">
        <v>0</v>
      </c>
      <c r="T93" s="79">
        <f t="shared" si="26"/>
        <v>5880.439121</v>
      </c>
      <c r="U93" s="79"/>
      <c r="V93" s="80">
        <v>348.830866</v>
      </c>
      <c r="W93" s="78">
        <v>1</v>
      </c>
      <c r="X93" s="79"/>
      <c r="Y93" s="80">
        <v>1490.365302</v>
      </c>
      <c r="Z93" s="80">
        <v>12.644157</v>
      </c>
      <c r="AA93" s="71">
        <f t="shared" si="27"/>
        <v>25.288314</v>
      </c>
      <c r="AB93" s="80">
        <v>0</v>
      </c>
      <c r="AC93" s="71">
        <f t="shared" si="28"/>
        <v>0</v>
      </c>
      <c r="AD93" s="80">
        <v>96.379159</v>
      </c>
      <c r="AE93" s="71">
        <f t="shared" si="29"/>
        <v>192.758318</v>
      </c>
      <c r="AF93" s="83">
        <v>0</v>
      </c>
      <c r="AG93" s="71">
        <f t="shared" si="30"/>
        <v>0</v>
      </c>
      <c r="AH93" s="80">
        <v>0</v>
      </c>
      <c r="AI93" s="71">
        <f t="shared" si="31"/>
        <v>0</v>
      </c>
      <c r="AJ93" s="80">
        <v>358.747053</v>
      </c>
      <c r="AK93" s="80">
        <v>3682.4959</v>
      </c>
      <c r="AL93" s="80">
        <v>0</v>
      </c>
      <c r="AM93" s="80">
        <v>275.984812</v>
      </c>
      <c r="AN93" s="80">
        <v>0</v>
      </c>
      <c r="AO93" s="80">
        <v>7463.905071</v>
      </c>
      <c r="AP93" s="71">
        <f t="shared" si="32"/>
        <v>455.46</v>
      </c>
      <c r="AQ93" s="93">
        <f t="shared" si="33"/>
        <v>0</v>
      </c>
      <c r="AR93" s="94">
        <f t="shared" si="34"/>
        <v>1.36638</v>
      </c>
      <c r="AS93" s="71">
        <f t="shared" si="35"/>
        <v>0.91092</v>
      </c>
      <c r="AT93" s="78">
        <v>6</v>
      </c>
      <c r="AU93" s="71">
        <f t="shared" si="36"/>
        <v>1.06917074927273</v>
      </c>
      <c r="AV93" s="71">
        <f t="shared" si="37"/>
        <v>0.780788571428571</v>
      </c>
      <c r="AW93" s="97"/>
      <c r="AX93" s="71"/>
      <c r="AY93" s="71">
        <f t="shared" si="38"/>
        <v>0.61919119064</v>
      </c>
      <c r="AZ93" s="71"/>
      <c r="BA93" s="67">
        <f t="shared" si="39"/>
        <v>1.8499593207013</v>
      </c>
      <c r="BB93" s="78"/>
      <c r="BH93" s="99"/>
    </row>
    <row r="94" s="51" customFormat="1" ht="13.5" customHeight="1" spans="1:60">
      <c r="A94" s="68">
        <v>89</v>
      </c>
      <c r="B94" s="69" t="s">
        <v>114</v>
      </c>
      <c r="C94" s="69" t="s">
        <v>114</v>
      </c>
      <c r="D94" s="69" t="s">
        <v>93</v>
      </c>
      <c r="E94" s="69" t="s">
        <v>113</v>
      </c>
      <c r="F94" s="70">
        <v>437.05</v>
      </c>
      <c r="G94" s="71">
        <f t="shared" si="20"/>
        <v>63.2219657178812</v>
      </c>
      <c r="H94" s="71">
        <f t="shared" si="21"/>
        <v>27631.160117</v>
      </c>
      <c r="I94" s="78">
        <v>1</v>
      </c>
      <c r="J94" s="78">
        <v>2</v>
      </c>
      <c r="K94" s="79">
        <f t="shared" si="22"/>
        <v>21412.314218</v>
      </c>
      <c r="L94" s="79">
        <f t="shared" si="23"/>
        <v>18790.014218</v>
      </c>
      <c r="M94" s="78">
        <v>2</v>
      </c>
      <c r="N94" s="80">
        <v>0</v>
      </c>
      <c r="O94" s="78">
        <v>0</v>
      </c>
      <c r="P94" s="71">
        <f t="shared" si="24"/>
        <v>874.1</v>
      </c>
      <c r="Q94" s="80">
        <v>8841.145899</v>
      </c>
      <c r="R94" s="71">
        <f t="shared" si="25"/>
        <v>2622.3</v>
      </c>
      <c r="S94" s="71">
        <v>0</v>
      </c>
      <c r="T94" s="79">
        <f t="shared" si="26"/>
        <v>10295.331178</v>
      </c>
      <c r="U94" s="79"/>
      <c r="V94" s="80">
        <v>0</v>
      </c>
      <c r="W94" s="78">
        <v>0</v>
      </c>
      <c r="X94" s="79"/>
      <c r="Y94" s="80">
        <v>2137.756347</v>
      </c>
      <c r="Z94" s="80">
        <v>136.060711</v>
      </c>
      <c r="AA94" s="71">
        <f t="shared" si="27"/>
        <v>272.121422</v>
      </c>
      <c r="AB94" s="80">
        <v>0</v>
      </c>
      <c r="AC94" s="71">
        <f t="shared" si="28"/>
        <v>0</v>
      </c>
      <c r="AD94" s="80">
        <v>0</v>
      </c>
      <c r="AE94" s="71">
        <f t="shared" si="29"/>
        <v>0</v>
      </c>
      <c r="AF94" s="83">
        <v>0</v>
      </c>
      <c r="AG94" s="71">
        <f t="shared" si="30"/>
        <v>0</v>
      </c>
      <c r="AH94" s="80">
        <v>0</v>
      </c>
      <c r="AI94" s="71">
        <f t="shared" si="31"/>
        <v>0</v>
      </c>
      <c r="AJ94" s="80">
        <v>8157.574831</v>
      </c>
      <c r="AK94" s="80">
        <v>0</v>
      </c>
      <c r="AL94" s="80">
        <v>0</v>
      </c>
      <c r="AM94" s="80">
        <v>994.044586</v>
      </c>
      <c r="AN94" s="80">
        <v>0</v>
      </c>
      <c r="AO94" s="80">
        <v>7228.517032</v>
      </c>
      <c r="AP94" s="71">
        <f t="shared" si="32"/>
        <v>874.1</v>
      </c>
      <c r="AQ94" s="93">
        <f t="shared" si="33"/>
        <v>0</v>
      </c>
      <c r="AR94" s="94">
        <f t="shared" si="34"/>
        <v>1.7482</v>
      </c>
      <c r="AS94" s="71">
        <f t="shared" si="35"/>
        <v>1.31115</v>
      </c>
      <c r="AT94" s="78">
        <v>0</v>
      </c>
      <c r="AU94" s="71">
        <f t="shared" si="36"/>
        <v>1.58389710430769</v>
      </c>
      <c r="AV94" s="71">
        <f t="shared" si="37"/>
        <v>1.04892</v>
      </c>
      <c r="AW94" s="97"/>
      <c r="AX94" s="71"/>
      <c r="AY94" s="71">
        <f t="shared" si="38"/>
        <v>0.65780492944</v>
      </c>
      <c r="AZ94" s="71"/>
      <c r="BA94" s="67">
        <f t="shared" si="39"/>
        <v>2.63281710430769</v>
      </c>
      <c r="BB94" s="78"/>
      <c r="BH94" s="99"/>
    </row>
    <row r="95" s="51" customFormat="1" ht="13.5" customHeight="1" spans="1:60">
      <c r="A95" s="68">
        <v>90</v>
      </c>
      <c r="B95" s="69" t="s">
        <v>114</v>
      </c>
      <c r="C95" s="69" t="s">
        <v>114</v>
      </c>
      <c r="D95" s="69" t="s">
        <v>90</v>
      </c>
      <c r="E95" s="69" t="s">
        <v>91</v>
      </c>
      <c r="F95" s="70">
        <v>293.29</v>
      </c>
      <c r="G95" s="71">
        <f t="shared" si="20"/>
        <v>43.8287238228375</v>
      </c>
      <c r="H95" s="71">
        <f t="shared" si="21"/>
        <v>12854.52641</v>
      </c>
      <c r="I95" s="78">
        <v>1</v>
      </c>
      <c r="J95" s="78">
        <v>3</v>
      </c>
      <c r="K95" s="79">
        <f t="shared" si="22"/>
        <v>9803.935277</v>
      </c>
      <c r="L95" s="79">
        <f t="shared" si="23"/>
        <v>8044.195277</v>
      </c>
      <c r="M95" s="78">
        <v>2</v>
      </c>
      <c r="N95" s="80">
        <v>0</v>
      </c>
      <c r="O95" s="78">
        <v>0</v>
      </c>
      <c r="P95" s="71">
        <f t="shared" si="24"/>
        <v>586.58</v>
      </c>
      <c r="Q95" s="80">
        <v>4810.331133</v>
      </c>
      <c r="R95" s="71">
        <f t="shared" si="25"/>
        <v>1759.74</v>
      </c>
      <c r="S95" s="71">
        <v>0</v>
      </c>
      <c r="T95" s="79">
        <f t="shared" si="26"/>
        <v>3840.28755</v>
      </c>
      <c r="U95" s="79"/>
      <c r="V95" s="80">
        <v>1876.574346</v>
      </c>
      <c r="W95" s="78">
        <v>1</v>
      </c>
      <c r="X95" s="79"/>
      <c r="Y95" s="80">
        <v>1813.32419</v>
      </c>
      <c r="Z95" s="80">
        <v>0</v>
      </c>
      <c r="AA95" s="71">
        <f t="shared" si="27"/>
        <v>0</v>
      </c>
      <c r="AB95" s="80">
        <v>0</v>
      </c>
      <c r="AC95" s="71">
        <f t="shared" si="28"/>
        <v>0</v>
      </c>
      <c r="AD95" s="80">
        <v>493.599325</v>
      </c>
      <c r="AE95" s="71">
        <f t="shared" si="29"/>
        <v>987.19865</v>
      </c>
      <c r="AF95" s="83">
        <v>0</v>
      </c>
      <c r="AG95" s="71">
        <f t="shared" si="30"/>
        <v>0</v>
      </c>
      <c r="AH95" s="80">
        <v>0</v>
      </c>
      <c r="AI95" s="71">
        <f t="shared" si="31"/>
        <v>0</v>
      </c>
      <c r="AJ95" s="80">
        <v>150.389014</v>
      </c>
      <c r="AK95" s="80">
        <v>0</v>
      </c>
      <c r="AL95" s="80">
        <v>0</v>
      </c>
      <c r="AM95" s="80">
        <v>562.771597</v>
      </c>
      <c r="AN95" s="80">
        <v>0</v>
      </c>
      <c r="AO95" s="80">
        <v>2653.93748</v>
      </c>
      <c r="AP95" s="71">
        <f t="shared" si="32"/>
        <v>586.58</v>
      </c>
      <c r="AQ95" s="93">
        <f t="shared" si="33"/>
        <v>1.17316</v>
      </c>
      <c r="AR95" s="94">
        <f t="shared" si="34"/>
        <v>0</v>
      </c>
      <c r="AS95" s="71">
        <f t="shared" si="35"/>
        <v>0.58658</v>
      </c>
      <c r="AT95" s="78">
        <v>0</v>
      </c>
      <c r="AU95" s="71">
        <f t="shared" si="36"/>
        <v>0.51203834</v>
      </c>
      <c r="AV95" s="71">
        <f t="shared" si="37"/>
        <v>0.502782857142857</v>
      </c>
      <c r="AW95" s="97"/>
      <c r="AX95" s="71"/>
      <c r="AY95" s="71">
        <f t="shared" si="38"/>
        <v>0.25733672616</v>
      </c>
      <c r="AZ95" s="71"/>
      <c r="BA95" s="67">
        <f t="shared" si="39"/>
        <v>1.01482119714286</v>
      </c>
      <c r="BB95" s="78"/>
      <c r="BH95" s="99"/>
    </row>
    <row r="96" s="51" customFormat="1" ht="13.5" customHeight="1" spans="1:60">
      <c r="A96" s="68">
        <v>91</v>
      </c>
      <c r="B96" s="69" t="s">
        <v>114</v>
      </c>
      <c r="C96" s="69" t="s">
        <v>114</v>
      </c>
      <c r="D96" s="69" t="s">
        <v>91</v>
      </c>
      <c r="E96" s="69" t="s">
        <v>92</v>
      </c>
      <c r="F96" s="70">
        <v>456.81</v>
      </c>
      <c r="G96" s="71">
        <f t="shared" si="20"/>
        <v>56.9101104573017</v>
      </c>
      <c r="H96" s="71">
        <f t="shared" si="21"/>
        <v>25997.107558</v>
      </c>
      <c r="I96" s="78">
        <v>1</v>
      </c>
      <c r="J96" s="78">
        <v>3</v>
      </c>
      <c r="K96" s="79">
        <f t="shared" si="22"/>
        <v>20190.575154</v>
      </c>
      <c r="L96" s="79">
        <f t="shared" si="23"/>
        <v>17425.353594</v>
      </c>
      <c r="M96" s="78">
        <v>2</v>
      </c>
      <c r="N96" s="80">
        <v>0</v>
      </c>
      <c r="O96" s="78">
        <v>0</v>
      </c>
      <c r="P96" s="71">
        <f t="shared" si="24"/>
        <v>913.62</v>
      </c>
      <c r="Q96" s="80">
        <v>8547.392404</v>
      </c>
      <c r="R96" s="71">
        <f t="shared" si="25"/>
        <v>2740.86</v>
      </c>
      <c r="S96" s="71">
        <v>0</v>
      </c>
      <c r="T96" s="79">
        <f t="shared" si="26"/>
        <v>10835.554935</v>
      </c>
      <c r="U96" s="79"/>
      <c r="V96" s="80">
        <v>1938.014001</v>
      </c>
      <c r="W96" s="78">
        <v>1</v>
      </c>
      <c r="X96" s="79"/>
      <c r="Y96" s="80">
        <v>2710.999187</v>
      </c>
      <c r="Z96" s="80">
        <v>0</v>
      </c>
      <c r="AA96" s="71">
        <f t="shared" si="27"/>
        <v>0</v>
      </c>
      <c r="AB96" s="80">
        <v>12.18078</v>
      </c>
      <c r="AC96" s="71">
        <f t="shared" si="28"/>
        <v>24.36156</v>
      </c>
      <c r="AD96" s="80">
        <v>493.800308</v>
      </c>
      <c r="AE96" s="71">
        <f t="shared" si="29"/>
        <v>987.600616</v>
      </c>
      <c r="AF96" s="83">
        <v>0</v>
      </c>
      <c r="AG96" s="71">
        <f t="shared" si="30"/>
        <v>0</v>
      </c>
      <c r="AH96" s="80">
        <v>0</v>
      </c>
      <c r="AI96" s="71">
        <f t="shared" si="31"/>
        <v>0</v>
      </c>
      <c r="AJ96" s="80">
        <v>6186.541747</v>
      </c>
      <c r="AK96" s="80">
        <v>0</v>
      </c>
      <c r="AL96" s="80">
        <v>0</v>
      </c>
      <c r="AM96" s="80">
        <v>665.736249</v>
      </c>
      <c r="AN96" s="80">
        <v>0</v>
      </c>
      <c r="AO96" s="80">
        <v>4936.461794</v>
      </c>
      <c r="AP96" s="71">
        <f t="shared" si="32"/>
        <v>913.62</v>
      </c>
      <c r="AQ96" s="93">
        <f t="shared" si="33"/>
        <v>1.82724</v>
      </c>
      <c r="AR96" s="94">
        <f t="shared" si="34"/>
        <v>0</v>
      </c>
      <c r="AS96" s="71">
        <f t="shared" si="35"/>
        <v>0.91362</v>
      </c>
      <c r="AT96" s="78">
        <v>0</v>
      </c>
      <c r="AU96" s="71">
        <f t="shared" si="36"/>
        <v>1.444740658</v>
      </c>
      <c r="AV96" s="71">
        <f t="shared" si="37"/>
        <v>0.783102857142857</v>
      </c>
      <c r="AW96" s="97"/>
      <c r="AX96" s="71"/>
      <c r="AY96" s="71">
        <f t="shared" si="38"/>
        <v>0.44817584344</v>
      </c>
      <c r="AZ96" s="71"/>
      <c r="BA96" s="67">
        <f t="shared" si="39"/>
        <v>2.22784351514286</v>
      </c>
      <c r="BB96" s="78"/>
      <c r="BH96" s="99"/>
    </row>
    <row r="97" s="51" customFormat="1" ht="13.5" customHeight="1" spans="1:60">
      <c r="A97" s="68">
        <v>92</v>
      </c>
      <c r="B97" s="69" t="s">
        <v>114</v>
      </c>
      <c r="C97" s="69" t="s">
        <v>114</v>
      </c>
      <c r="D97" s="69" t="s">
        <v>88</v>
      </c>
      <c r="E97" s="69" t="s">
        <v>93</v>
      </c>
      <c r="F97" s="70">
        <v>469.75</v>
      </c>
      <c r="G97" s="71">
        <f t="shared" si="20"/>
        <v>48.0398368451304</v>
      </c>
      <c r="H97" s="71">
        <f t="shared" si="21"/>
        <v>22566.713358</v>
      </c>
      <c r="I97" s="78">
        <v>1</v>
      </c>
      <c r="J97" s="78">
        <v>3</v>
      </c>
      <c r="K97" s="79">
        <f t="shared" si="22"/>
        <v>14329.794194</v>
      </c>
      <c r="L97" s="79">
        <f t="shared" si="23"/>
        <v>11511.294194</v>
      </c>
      <c r="M97" s="78">
        <v>2</v>
      </c>
      <c r="N97" s="80">
        <v>0</v>
      </c>
      <c r="O97" s="78">
        <v>0</v>
      </c>
      <c r="P97" s="71">
        <f t="shared" si="24"/>
        <v>939.5</v>
      </c>
      <c r="Q97" s="80">
        <v>11055.419164</v>
      </c>
      <c r="R97" s="71">
        <f t="shared" si="25"/>
        <v>2818.5</v>
      </c>
      <c r="S97" s="71">
        <v>0</v>
      </c>
      <c r="T97" s="79">
        <f t="shared" si="26"/>
        <v>4805.981227</v>
      </c>
      <c r="U97" s="79"/>
      <c r="V97" s="80">
        <v>0</v>
      </c>
      <c r="W97" s="78">
        <v>0</v>
      </c>
      <c r="X97" s="79"/>
      <c r="Y97" s="80">
        <v>2702.47999</v>
      </c>
      <c r="Z97" s="80">
        <v>0</v>
      </c>
      <c r="AA97" s="71">
        <f t="shared" si="27"/>
        <v>0</v>
      </c>
      <c r="AB97" s="80">
        <v>0</v>
      </c>
      <c r="AC97" s="71">
        <f t="shared" si="28"/>
        <v>0</v>
      </c>
      <c r="AD97" s="80">
        <v>0</v>
      </c>
      <c r="AE97" s="71">
        <f t="shared" si="29"/>
        <v>0</v>
      </c>
      <c r="AF97" s="83">
        <v>0</v>
      </c>
      <c r="AG97" s="71">
        <f t="shared" si="30"/>
        <v>0</v>
      </c>
      <c r="AH97" s="80">
        <v>0</v>
      </c>
      <c r="AI97" s="71">
        <f t="shared" si="31"/>
        <v>0</v>
      </c>
      <c r="AJ97" s="80">
        <v>2103.501237</v>
      </c>
      <c r="AK97" s="80">
        <v>0</v>
      </c>
      <c r="AL97" s="80">
        <v>0</v>
      </c>
      <c r="AM97" s="80">
        <v>907.952001</v>
      </c>
      <c r="AN97" s="80">
        <v>0</v>
      </c>
      <c r="AO97" s="80">
        <v>5797.360966</v>
      </c>
      <c r="AP97" s="71">
        <f t="shared" si="32"/>
        <v>939.5</v>
      </c>
      <c r="AQ97" s="93">
        <f t="shared" si="33"/>
        <v>1.879</v>
      </c>
      <c r="AR97" s="94">
        <f t="shared" si="34"/>
        <v>0</v>
      </c>
      <c r="AS97" s="71">
        <f t="shared" si="35"/>
        <v>0.9395</v>
      </c>
      <c r="AT97" s="78">
        <v>0</v>
      </c>
      <c r="AU97" s="71">
        <f t="shared" si="36"/>
        <v>0.640797496933333</v>
      </c>
      <c r="AV97" s="71">
        <f t="shared" si="37"/>
        <v>0.805285714285714</v>
      </c>
      <c r="AW97" s="97"/>
      <c r="AX97" s="71"/>
      <c r="AY97" s="71">
        <f t="shared" si="38"/>
        <v>0.53642503736</v>
      </c>
      <c r="AZ97" s="71"/>
      <c r="BA97" s="67">
        <f t="shared" si="39"/>
        <v>1.44608321121905</v>
      </c>
      <c r="BB97" s="78"/>
      <c r="BH97" s="99"/>
    </row>
    <row r="98" s="51" customFormat="1" ht="13.5" customHeight="1" spans="1:60">
      <c r="A98" s="68">
        <v>93</v>
      </c>
      <c r="B98" s="69" t="s">
        <v>114</v>
      </c>
      <c r="C98" s="69" t="s">
        <v>114</v>
      </c>
      <c r="D98" s="69" t="s">
        <v>111</v>
      </c>
      <c r="E98" s="69" t="s">
        <v>88</v>
      </c>
      <c r="F98" s="70">
        <v>508.99</v>
      </c>
      <c r="G98" s="71">
        <f t="shared" si="20"/>
        <v>42.0658882119492</v>
      </c>
      <c r="H98" s="71">
        <f t="shared" si="21"/>
        <v>21411.116441</v>
      </c>
      <c r="I98" s="78">
        <v>1</v>
      </c>
      <c r="J98" s="78">
        <v>1</v>
      </c>
      <c r="K98" s="79">
        <f t="shared" si="22"/>
        <v>12717.815139</v>
      </c>
      <c r="L98" s="79">
        <f t="shared" si="23"/>
        <v>9627.581581</v>
      </c>
      <c r="M98" s="78">
        <v>2</v>
      </c>
      <c r="N98" s="80">
        <v>0</v>
      </c>
      <c r="O98" s="78">
        <v>0</v>
      </c>
      <c r="P98" s="71">
        <f t="shared" si="24"/>
        <v>1017.98</v>
      </c>
      <c r="Q98" s="80">
        <v>11747.241302</v>
      </c>
      <c r="R98" s="71">
        <f t="shared" si="25"/>
        <v>3053.94</v>
      </c>
      <c r="S98" s="71">
        <v>0</v>
      </c>
      <c r="T98" s="79">
        <f t="shared" si="26"/>
        <v>4736.497405</v>
      </c>
      <c r="U98" s="79"/>
      <c r="V98" s="80">
        <v>0</v>
      </c>
      <c r="W98" s="78">
        <v>0</v>
      </c>
      <c r="X98" s="79"/>
      <c r="Y98" s="80">
        <v>2433.884399</v>
      </c>
      <c r="Z98" s="80">
        <v>0</v>
      </c>
      <c r="AA98" s="71">
        <f t="shared" si="27"/>
        <v>0</v>
      </c>
      <c r="AB98" s="80">
        <v>18.146779</v>
      </c>
      <c r="AC98" s="71">
        <f t="shared" si="28"/>
        <v>36.293558</v>
      </c>
      <c r="AD98" s="80">
        <v>0</v>
      </c>
      <c r="AE98" s="71">
        <f t="shared" si="29"/>
        <v>0</v>
      </c>
      <c r="AF98" s="83">
        <v>0</v>
      </c>
      <c r="AG98" s="71">
        <f t="shared" si="30"/>
        <v>0</v>
      </c>
      <c r="AH98" s="80">
        <v>0</v>
      </c>
      <c r="AI98" s="71">
        <f t="shared" si="31"/>
        <v>0</v>
      </c>
      <c r="AJ98" s="80">
        <v>2302.613006</v>
      </c>
      <c r="AK98" s="80">
        <v>0</v>
      </c>
      <c r="AL98" s="80">
        <v>0</v>
      </c>
      <c r="AM98" s="80">
        <v>967.255514</v>
      </c>
      <c r="AN98" s="80">
        <v>0</v>
      </c>
      <c r="AO98" s="80">
        <v>3923.828662</v>
      </c>
      <c r="AP98" s="71">
        <f t="shared" si="32"/>
        <v>1017.98</v>
      </c>
      <c r="AQ98" s="93">
        <f t="shared" si="33"/>
        <v>0</v>
      </c>
      <c r="AR98" s="94">
        <f t="shared" si="34"/>
        <v>3.05394</v>
      </c>
      <c r="AS98" s="71">
        <f t="shared" si="35"/>
        <v>2.03596</v>
      </c>
      <c r="AT98" s="78">
        <v>0</v>
      </c>
      <c r="AU98" s="71">
        <f t="shared" si="36"/>
        <v>0.861181346363636</v>
      </c>
      <c r="AV98" s="71">
        <f t="shared" si="37"/>
        <v>1.74510857142857</v>
      </c>
      <c r="AW98" s="98"/>
      <c r="AX98" s="71"/>
      <c r="AY98" s="71">
        <f t="shared" si="38"/>
        <v>0.39128673408</v>
      </c>
      <c r="AZ98" s="71"/>
      <c r="BA98" s="67">
        <f t="shared" si="39"/>
        <v>2.60628991779221</v>
      </c>
      <c r="BB98" s="78"/>
      <c r="BH98" s="99"/>
    </row>
    <row r="99" spans="1:54">
      <c r="A99" s="64">
        <v>94</v>
      </c>
      <c r="B99" s="65" t="s">
        <v>185</v>
      </c>
      <c r="C99" s="65" t="s">
        <v>185</v>
      </c>
      <c r="D99" s="65" t="s">
        <v>93</v>
      </c>
      <c r="E99" s="65" t="s">
        <v>113</v>
      </c>
      <c r="F99" s="66">
        <v>455.62</v>
      </c>
      <c r="G99" s="67">
        <f t="shared" si="20"/>
        <v>41.7352533470875</v>
      </c>
      <c r="H99" s="67">
        <f t="shared" si="21"/>
        <v>19015.41613</v>
      </c>
      <c r="I99" s="75">
        <v>2</v>
      </c>
      <c r="J99" s="75">
        <v>2</v>
      </c>
      <c r="K99" s="76">
        <f t="shared" si="22"/>
        <v>17373.338626</v>
      </c>
      <c r="L99" s="76">
        <f t="shared" si="23"/>
        <v>14507.77645</v>
      </c>
      <c r="M99" s="75">
        <v>2</v>
      </c>
      <c r="N99" s="77">
        <v>0</v>
      </c>
      <c r="O99" s="75">
        <v>0</v>
      </c>
      <c r="P99" s="67">
        <f t="shared" si="24"/>
        <v>911.24</v>
      </c>
      <c r="Q99" s="77">
        <v>4375.797504</v>
      </c>
      <c r="R99" s="67">
        <f t="shared" si="25"/>
        <v>2733.72</v>
      </c>
      <c r="S99" s="67">
        <v>0</v>
      </c>
      <c r="T99" s="76">
        <f t="shared" si="26"/>
        <v>5206.051391</v>
      </c>
      <c r="U99" s="76"/>
      <c r="V99" s="77">
        <v>1415.271068</v>
      </c>
      <c r="W99" s="75">
        <v>1</v>
      </c>
      <c r="X99" s="76"/>
      <c r="Y99" s="77">
        <v>1848.73808</v>
      </c>
      <c r="Z99" s="77">
        <v>48.37049</v>
      </c>
      <c r="AA99" s="67">
        <f t="shared" si="27"/>
        <v>96.74098</v>
      </c>
      <c r="AB99" s="77">
        <v>65.921088</v>
      </c>
      <c r="AC99" s="67">
        <f t="shared" si="28"/>
        <v>131.842176</v>
      </c>
      <c r="AD99" s="77">
        <v>761.045263</v>
      </c>
      <c r="AE99" s="67">
        <f t="shared" si="29"/>
        <v>1522.090526</v>
      </c>
      <c r="AF99" s="82">
        <v>0</v>
      </c>
      <c r="AG99" s="67">
        <f t="shared" si="30"/>
        <v>0</v>
      </c>
      <c r="AH99" s="77">
        <v>0</v>
      </c>
      <c r="AI99" s="67">
        <f t="shared" si="31"/>
        <v>0</v>
      </c>
      <c r="AJ99" s="77">
        <v>1942.042243</v>
      </c>
      <c r="AK99" s="77">
        <v>0</v>
      </c>
      <c r="AL99" s="77">
        <v>0</v>
      </c>
      <c r="AM99" s="77">
        <v>569.684519</v>
      </c>
      <c r="AN99" s="77">
        <v>0</v>
      </c>
      <c r="AO99" s="77">
        <v>7113.209034</v>
      </c>
      <c r="AP99" s="67">
        <f t="shared" si="32"/>
        <v>911.24</v>
      </c>
      <c r="AQ99" s="91">
        <f t="shared" si="33"/>
        <v>0</v>
      </c>
      <c r="AR99" s="92">
        <f t="shared" si="34"/>
        <v>1.82248</v>
      </c>
      <c r="AS99" s="67">
        <f t="shared" si="35"/>
        <v>1.36686</v>
      </c>
      <c r="AT99" s="75">
        <v>0</v>
      </c>
      <c r="AU99" s="67">
        <f t="shared" si="36"/>
        <v>0.800930983230769</v>
      </c>
      <c r="AV99" s="71">
        <f t="shared" si="37"/>
        <v>1.093488</v>
      </c>
      <c r="AW99" s="71"/>
      <c r="AX99" s="67"/>
      <c r="AY99" s="67">
        <f t="shared" si="38"/>
        <v>0.61463148424</v>
      </c>
      <c r="AZ99" s="67"/>
      <c r="BA99" s="67">
        <f t="shared" si="39"/>
        <v>1.89441898323077</v>
      </c>
      <c r="BB99" s="75"/>
    </row>
    <row r="100" s="51" customFormat="1" ht="13.5" customHeight="1" spans="1:60">
      <c r="A100" s="68">
        <v>95</v>
      </c>
      <c r="B100" s="69" t="s">
        <v>113</v>
      </c>
      <c r="C100" s="69" t="s">
        <v>113</v>
      </c>
      <c r="D100" s="69" t="s">
        <v>114</v>
      </c>
      <c r="E100" s="69" t="s">
        <v>185</v>
      </c>
      <c r="F100" s="70">
        <v>321.08</v>
      </c>
      <c r="G100" s="71">
        <f t="shared" si="20"/>
        <v>49.4912744674224</v>
      </c>
      <c r="H100" s="71">
        <f t="shared" si="21"/>
        <v>15890.658406</v>
      </c>
      <c r="I100" s="78">
        <v>2</v>
      </c>
      <c r="J100" s="78">
        <v>2</v>
      </c>
      <c r="K100" s="79">
        <f t="shared" si="22"/>
        <v>12563.895271</v>
      </c>
      <c r="L100" s="79">
        <f t="shared" si="23"/>
        <v>10637.415271</v>
      </c>
      <c r="M100" s="78">
        <v>2</v>
      </c>
      <c r="N100" s="80">
        <v>0</v>
      </c>
      <c r="O100" s="78">
        <v>0</v>
      </c>
      <c r="P100" s="71">
        <f t="shared" si="24"/>
        <v>642.16</v>
      </c>
      <c r="Q100" s="80">
        <v>5253.243135</v>
      </c>
      <c r="R100" s="71">
        <f t="shared" si="25"/>
        <v>1926.48</v>
      </c>
      <c r="S100" s="71">
        <v>0</v>
      </c>
      <c r="T100" s="79">
        <f t="shared" si="26"/>
        <v>4266.892518</v>
      </c>
      <c r="U100" s="79"/>
      <c r="V100" s="80">
        <v>0</v>
      </c>
      <c r="W100" s="78">
        <v>0</v>
      </c>
      <c r="X100" s="79"/>
      <c r="Y100" s="80">
        <v>1628.493237</v>
      </c>
      <c r="Z100" s="80">
        <v>128.77004</v>
      </c>
      <c r="AA100" s="71">
        <f t="shared" si="27"/>
        <v>257.54008</v>
      </c>
      <c r="AB100" s="80">
        <v>0</v>
      </c>
      <c r="AC100" s="71">
        <f t="shared" si="28"/>
        <v>0</v>
      </c>
      <c r="AD100" s="80">
        <v>0</v>
      </c>
      <c r="AE100" s="71">
        <f t="shared" si="29"/>
        <v>0</v>
      </c>
      <c r="AF100" s="83">
        <v>0</v>
      </c>
      <c r="AG100" s="71">
        <f t="shared" si="30"/>
        <v>0</v>
      </c>
      <c r="AH100" s="80">
        <v>0</v>
      </c>
      <c r="AI100" s="71">
        <f t="shared" si="31"/>
        <v>0</v>
      </c>
      <c r="AJ100" s="80">
        <v>2638.399281</v>
      </c>
      <c r="AK100" s="80">
        <v>0</v>
      </c>
      <c r="AL100" s="80">
        <v>0</v>
      </c>
      <c r="AM100" s="80">
        <v>795.219788</v>
      </c>
      <c r="AN100" s="80">
        <v>0</v>
      </c>
      <c r="AO100" s="80">
        <v>5317.762885</v>
      </c>
      <c r="AP100" s="71">
        <f t="shared" si="32"/>
        <v>642.16</v>
      </c>
      <c r="AQ100" s="93">
        <f t="shared" si="33"/>
        <v>0</v>
      </c>
      <c r="AR100" s="94">
        <f t="shared" si="34"/>
        <v>1.28432</v>
      </c>
      <c r="AS100" s="71">
        <f t="shared" si="35"/>
        <v>0.96324</v>
      </c>
      <c r="AT100" s="78">
        <v>1</v>
      </c>
      <c r="AU100" s="71">
        <f t="shared" si="36"/>
        <v>0.656445002769231</v>
      </c>
      <c r="AV100" s="71">
        <f t="shared" si="37"/>
        <v>0.770592</v>
      </c>
      <c r="AW100" s="96">
        <v>1</v>
      </c>
      <c r="AX100" s="71"/>
      <c r="AY100" s="71">
        <f t="shared" si="38"/>
        <v>0.48903861384</v>
      </c>
      <c r="AZ100" s="71"/>
      <c r="BA100" s="67">
        <f t="shared" si="39"/>
        <v>2.42703700276923</v>
      </c>
      <c r="BB100" s="78"/>
      <c r="BH100" s="99"/>
    </row>
    <row r="101" s="51" customFormat="1" ht="13.5" customHeight="1" spans="1:60">
      <c r="A101" s="68">
        <v>96</v>
      </c>
      <c r="B101" s="69" t="s">
        <v>113</v>
      </c>
      <c r="C101" s="69" t="s">
        <v>113</v>
      </c>
      <c r="D101" s="69" t="s">
        <v>111</v>
      </c>
      <c r="E101" s="69" t="s">
        <v>93</v>
      </c>
      <c r="F101" s="70">
        <v>755.5</v>
      </c>
      <c r="G101" s="71">
        <f t="shared" si="20"/>
        <v>45.8965757736598</v>
      </c>
      <c r="H101" s="71">
        <f t="shared" si="21"/>
        <v>34674.862997</v>
      </c>
      <c r="I101" s="78">
        <v>2</v>
      </c>
      <c r="J101" s="78">
        <v>2</v>
      </c>
      <c r="K101" s="79">
        <f t="shared" si="22"/>
        <v>27832.248584</v>
      </c>
      <c r="L101" s="79">
        <f t="shared" si="23"/>
        <v>23299.248584</v>
      </c>
      <c r="M101" s="78">
        <v>2</v>
      </c>
      <c r="N101" s="80">
        <v>0</v>
      </c>
      <c r="O101" s="78">
        <v>0</v>
      </c>
      <c r="P101" s="71">
        <f t="shared" si="24"/>
        <v>1511</v>
      </c>
      <c r="Q101" s="80">
        <v>11375.614413</v>
      </c>
      <c r="R101" s="71">
        <f t="shared" si="25"/>
        <v>4533</v>
      </c>
      <c r="S101" s="71">
        <v>0</v>
      </c>
      <c r="T101" s="79">
        <f t="shared" si="26"/>
        <v>7903.355924</v>
      </c>
      <c r="U101" s="79"/>
      <c r="V101" s="80">
        <v>0</v>
      </c>
      <c r="W101" s="78">
        <v>0</v>
      </c>
      <c r="X101" s="79"/>
      <c r="Y101" s="80">
        <v>3969.883282</v>
      </c>
      <c r="Z101" s="80">
        <v>6.375324</v>
      </c>
      <c r="AA101" s="71">
        <f t="shared" si="27"/>
        <v>12.750648</v>
      </c>
      <c r="AB101" s="80">
        <v>0</v>
      </c>
      <c r="AC101" s="71">
        <f t="shared" si="28"/>
        <v>0</v>
      </c>
      <c r="AD101" s="80">
        <v>0</v>
      </c>
      <c r="AE101" s="71">
        <f t="shared" si="29"/>
        <v>0</v>
      </c>
      <c r="AF101" s="83">
        <v>0</v>
      </c>
      <c r="AG101" s="71">
        <f t="shared" si="30"/>
        <v>0</v>
      </c>
      <c r="AH101" s="80">
        <v>137.224842</v>
      </c>
      <c r="AI101" s="71">
        <f t="shared" si="31"/>
        <v>274.449684</v>
      </c>
      <c r="AJ101" s="80">
        <v>3659.022958</v>
      </c>
      <c r="AK101" s="80">
        <v>0</v>
      </c>
      <c r="AL101" s="80">
        <v>0</v>
      </c>
      <c r="AM101" s="80">
        <v>0</v>
      </c>
      <c r="AN101" s="80">
        <v>0</v>
      </c>
      <c r="AO101" s="80">
        <v>15383.142012</v>
      </c>
      <c r="AP101" s="71">
        <f t="shared" si="32"/>
        <v>1511</v>
      </c>
      <c r="AQ101" s="93">
        <f t="shared" si="33"/>
        <v>0</v>
      </c>
      <c r="AR101" s="94">
        <f t="shared" si="34"/>
        <v>3.022</v>
      </c>
      <c r="AS101" s="71">
        <f t="shared" si="35"/>
        <v>2.2665</v>
      </c>
      <c r="AT101" s="78">
        <v>1</v>
      </c>
      <c r="AU101" s="71">
        <f t="shared" si="36"/>
        <v>1.21590091138462</v>
      </c>
      <c r="AV101" s="71">
        <f t="shared" si="37"/>
        <v>1.8132</v>
      </c>
      <c r="AW101" s="97"/>
      <c r="AX101" s="71"/>
      <c r="AY101" s="71">
        <f t="shared" si="38"/>
        <v>1.23065136096</v>
      </c>
      <c r="AZ101" s="71"/>
      <c r="BA101" s="67">
        <f t="shared" si="39"/>
        <v>3.02910091138461</v>
      </c>
      <c r="BB101" s="78"/>
      <c r="BH101" s="99"/>
    </row>
    <row r="102" s="51" customFormat="1" ht="13.5" customHeight="1" spans="1:60">
      <c r="A102" s="68">
        <v>97</v>
      </c>
      <c r="B102" s="69" t="s">
        <v>113</v>
      </c>
      <c r="C102" s="69" t="s">
        <v>113</v>
      </c>
      <c r="D102" s="69" t="s">
        <v>93</v>
      </c>
      <c r="E102" s="69" t="s">
        <v>114</v>
      </c>
      <c r="F102" s="70">
        <v>647.26</v>
      </c>
      <c r="G102" s="71">
        <f t="shared" si="20"/>
        <v>43.6330669839014</v>
      </c>
      <c r="H102" s="71">
        <f t="shared" si="21"/>
        <v>28241.938936</v>
      </c>
      <c r="I102" s="78">
        <v>2</v>
      </c>
      <c r="J102" s="78">
        <v>2</v>
      </c>
      <c r="K102" s="79">
        <f t="shared" si="22"/>
        <v>22375.236142</v>
      </c>
      <c r="L102" s="79">
        <f t="shared" si="23"/>
        <v>18491.676142</v>
      </c>
      <c r="M102" s="78">
        <v>2</v>
      </c>
      <c r="N102" s="80">
        <v>0</v>
      </c>
      <c r="O102" s="78">
        <v>0</v>
      </c>
      <c r="P102" s="71">
        <f t="shared" si="24"/>
        <v>1294.52</v>
      </c>
      <c r="Q102" s="80">
        <v>9750.262794</v>
      </c>
      <c r="R102" s="71">
        <f t="shared" si="25"/>
        <v>3883.56</v>
      </c>
      <c r="S102" s="71">
        <v>0</v>
      </c>
      <c r="T102" s="79">
        <f t="shared" si="26"/>
        <v>6650.620724</v>
      </c>
      <c r="U102" s="79"/>
      <c r="V102" s="80">
        <v>0</v>
      </c>
      <c r="W102" s="78">
        <v>0</v>
      </c>
      <c r="X102" s="79"/>
      <c r="Y102" s="80">
        <v>3297.480952</v>
      </c>
      <c r="Z102" s="80">
        <v>49.82571</v>
      </c>
      <c r="AA102" s="71">
        <f t="shared" si="27"/>
        <v>99.65142</v>
      </c>
      <c r="AB102" s="80">
        <v>0</v>
      </c>
      <c r="AC102" s="71">
        <f t="shared" si="28"/>
        <v>0</v>
      </c>
      <c r="AD102" s="80">
        <v>0</v>
      </c>
      <c r="AE102" s="71">
        <f t="shared" si="29"/>
        <v>0</v>
      </c>
      <c r="AF102" s="83">
        <v>0</v>
      </c>
      <c r="AG102" s="71">
        <f t="shared" si="30"/>
        <v>0</v>
      </c>
      <c r="AH102" s="80">
        <v>0</v>
      </c>
      <c r="AI102" s="71">
        <f t="shared" si="31"/>
        <v>0</v>
      </c>
      <c r="AJ102" s="80">
        <v>3353.139772</v>
      </c>
      <c r="AK102" s="80">
        <v>0</v>
      </c>
      <c r="AL102" s="80">
        <v>0</v>
      </c>
      <c r="AM102" s="80">
        <v>0</v>
      </c>
      <c r="AN102" s="80">
        <v>0</v>
      </c>
      <c r="AO102" s="80">
        <v>11741.403998</v>
      </c>
      <c r="AP102" s="71">
        <f t="shared" si="32"/>
        <v>1294.52</v>
      </c>
      <c r="AQ102" s="93">
        <f t="shared" si="33"/>
        <v>0</v>
      </c>
      <c r="AR102" s="94">
        <f t="shared" si="34"/>
        <v>2.58904</v>
      </c>
      <c r="AS102" s="71">
        <f t="shared" si="35"/>
        <v>1.94178</v>
      </c>
      <c r="AT102" s="78">
        <v>0</v>
      </c>
      <c r="AU102" s="71">
        <f t="shared" si="36"/>
        <v>1.02317241907692</v>
      </c>
      <c r="AV102" s="71">
        <f t="shared" si="37"/>
        <v>1.553424</v>
      </c>
      <c r="AW102" s="97"/>
      <c r="AX102" s="71"/>
      <c r="AY102" s="71">
        <f t="shared" si="38"/>
        <v>0.93931231984</v>
      </c>
      <c r="AZ102" s="71"/>
      <c r="BA102" s="67">
        <f t="shared" si="39"/>
        <v>2.57659641907692</v>
      </c>
      <c r="BB102" s="78"/>
      <c r="BH102" s="99"/>
    </row>
    <row r="103" s="51" customFormat="1" ht="13.5" customHeight="1" spans="1:60">
      <c r="A103" s="68">
        <v>98</v>
      </c>
      <c r="B103" s="69" t="s">
        <v>113</v>
      </c>
      <c r="C103" s="69" t="s">
        <v>186</v>
      </c>
      <c r="D103" s="69"/>
      <c r="E103" s="69"/>
      <c r="F103" s="70">
        <v>28.98</v>
      </c>
      <c r="G103" s="71">
        <f t="shared" si="20"/>
        <v>17.5397097308489</v>
      </c>
      <c r="H103" s="71">
        <f t="shared" si="21"/>
        <v>508.300788</v>
      </c>
      <c r="I103" s="78">
        <v>2</v>
      </c>
      <c r="J103" s="78">
        <v>2</v>
      </c>
      <c r="K103" s="79">
        <f t="shared" si="22"/>
        <v>173.88</v>
      </c>
      <c r="L103" s="79">
        <f t="shared" si="23"/>
        <v>0</v>
      </c>
      <c r="M103" s="78">
        <v>0</v>
      </c>
      <c r="N103" s="80">
        <v>0</v>
      </c>
      <c r="O103" s="78">
        <v>0</v>
      </c>
      <c r="P103" s="71">
        <f t="shared" si="24"/>
        <v>57.96</v>
      </c>
      <c r="Q103" s="80">
        <v>508.300788</v>
      </c>
      <c r="R103" s="71">
        <f t="shared" si="25"/>
        <v>173.88</v>
      </c>
      <c r="S103" s="71">
        <v>0</v>
      </c>
      <c r="T103" s="79">
        <f t="shared" si="26"/>
        <v>0</v>
      </c>
      <c r="U103" s="79"/>
      <c r="V103" s="80">
        <v>0</v>
      </c>
      <c r="W103" s="78">
        <v>0</v>
      </c>
      <c r="X103" s="79"/>
      <c r="Y103" s="80">
        <v>0</v>
      </c>
      <c r="Z103" s="80">
        <v>0</v>
      </c>
      <c r="AA103" s="71">
        <f t="shared" si="27"/>
        <v>0</v>
      </c>
      <c r="AB103" s="80">
        <v>0</v>
      </c>
      <c r="AC103" s="71">
        <f t="shared" si="28"/>
        <v>0</v>
      </c>
      <c r="AD103" s="80">
        <v>0</v>
      </c>
      <c r="AE103" s="71">
        <f t="shared" si="29"/>
        <v>0</v>
      </c>
      <c r="AF103" s="83">
        <v>0</v>
      </c>
      <c r="AG103" s="71">
        <f t="shared" si="30"/>
        <v>0</v>
      </c>
      <c r="AH103" s="80">
        <v>0</v>
      </c>
      <c r="AI103" s="71">
        <f t="shared" si="31"/>
        <v>0</v>
      </c>
      <c r="AJ103" s="80">
        <v>0</v>
      </c>
      <c r="AK103" s="80">
        <v>0</v>
      </c>
      <c r="AL103" s="80">
        <v>0</v>
      </c>
      <c r="AM103" s="80">
        <v>0</v>
      </c>
      <c r="AN103" s="80">
        <v>0</v>
      </c>
      <c r="AO103" s="80">
        <v>0</v>
      </c>
      <c r="AP103" s="71">
        <f t="shared" si="32"/>
        <v>57.96</v>
      </c>
      <c r="AQ103" s="93">
        <f t="shared" si="33"/>
        <v>0</v>
      </c>
      <c r="AR103" s="94">
        <f t="shared" si="34"/>
        <v>0.11592</v>
      </c>
      <c r="AS103" s="71">
        <f t="shared" si="35"/>
        <v>0.08694</v>
      </c>
      <c r="AT103" s="78">
        <v>0</v>
      </c>
      <c r="AU103" s="71">
        <f t="shared" si="36"/>
        <v>0</v>
      </c>
      <c r="AV103" s="71">
        <f t="shared" si="37"/>
        <v>0.069552</v>
      </c>
      <c r="AW103" s="97"/>
      <c r="AX103" s="71"/>
      <c r="AY103" s="71">
        <f t="shared" si="38"/>
        <v>0</v>
      </c>
      <c r="AZ103" s="71"/>
      <c r="BA103" s="67">
        <f t="shared" si="39"/>
        <v>0.069552</v>
      </c>
      <c r="BB103" s="78"/>
      <c r="BH103" s="99"/>
    </row>
    <row r="104" s="51" customFormat="1" ht="13.5" customHeight="1" spans="1:60">
      <c r="A104" s="68">
        <v>99</v>
      </c>
      <c r="B104" s="69" t="s">
        <v>113</v>
      </c>
      <c r="C104" s="69" t="s">
        <v>187</v>
      </c>
      <c r="D104" s="69"/>
      <c r="E104" s="69"/>
      <c r="F104" s="70">
        <v>26.48</v>
      </c>
      <c r="G104" s="71">
        <f t="shared" si="20"/>
        <v>19.5137354607251</v>
      </c>
      <c r="H104" s="71">
        <f t="shared" si="21"/>
        <v>516.723715</v>
      </c>
      <c r="I104" s="78">
        <v>2</v>
      </c>
      <c r="J104" s="78">
        <v>2</v>
      </c>
      <c r="K104" s="79">
        <f t="shared" si="22"/>
        <v>158.88</v>
      </c>
      <c r="L104" s="79">
        <f t="shared" si="23"/>
        <v>0</v>
      </c>
      <c r="M104" s="78">
        <v>0</v>
      </c>
      <c r="N104" s="80">
        <v>0</v>
      </c>
      <c r="O104" s="78">
        <v>0</v>
      </c>
      <c r="P104" s="71">
        <f t="shared" si="24"/>
        <v>52.96</v>
      </c>
      <c r="Q104" s="80">
        <v>516.723715</v>
      </c>
      <c r="R104" s="71">
        <f t="shared" si="25"/>
        <v>158.88</v>
      </c>
      <c r="S104" s="71">
        <v>0</v>
      </c>
      <c r="T104" s="79">
        <f t="shared" si="26"/>
        <v>0</v>
      </c>
      <c r="U104" s="79"/>
      <c r="V104" s="80">
        <v>0</v>
      </c>
      <c r="W104" s="78">
        <v>0</v>
      </c>
      <c r="X104" s="79"/>
      <c r="Y104" s="80">
        <v>0</v>
      </c>
      <c r="Z104" s="80">
        <v>0</v>
      </c>
      <c r="AA104" s="71">
        <f t="shared" si="27"/>
        <v>0</v>
      </c>
      <c r="AB104" s="80">
        <v>0</v>
      </c>
      <c r="AC104" s="71">
        <f t="shared" si="28"/>
        <v>0</v>
      </c>
      <c r="AD104" s="80">
        <v>0</v>
      </c>
      <c r="AE104" s="71">
        <f t="shared" si="29"/>
        <v>0</v>
      </c>
      <c r="AF104" s="83">
        <v>0</v>
      </c>
      <c r="AG104" s="71">
        <f t="shared" si="30"/>
        <v>0</v>
      </c>
      <c r="AH104" s="80">
        <v>0</v>
      </c>
      <c r="AI104" s="71">
        <f t="shared" si="31"/>
        <v>0</v>
      </c>
      <c r="AJ104" s="80">
        <v>0</v>
      </c>
      <c r="AK104" s="80">
        <v>0</v>
      </c>
      <c r="AL104" s="80">
        <v>0</v>
      </c>
      <c r="AM104" s="80">
        <v>0</v>
      </c>
      <c r="AN104" s="80">
        <v>0</v>
      </c>
      <c r="AO104" s="80">
        <v>0</v>
      </c>
      <c r="AP104" s="71">
        <f t="shared" si="32"/>
        <v>52.96</v>
      </c>
      <c r="AQ104" s="93">
        <f t="shared" si="33"/>
        <v>0</v>
      </c>
      <c r="AR104" s="94">
        <f t="shared" si="34"/>
        <v>0.10592</v>
      </c>
      <c r="AS104" s="71">
        <f t="shared" si="35"/>
        <v>0.07944</v>
      </c>
      <c r="AT104" s="78">
        <v>0</v>
      </c>
      <c r="AU104" s="71">
        <f t="shared" si="36"/>
        <v>0</v>
      </c>
      <c r="AV104" s="71">
        <f t="shared" si="37"/>
        <v>0.063552</v>
      </c>
      <c r="AW104" s="97"/>
      <c r="AX104" s="71"/>
      <c r="AY104" s="71">
        <f t="shared" si="38"/>
        <v>0</v>
      </c>
      <c r="AZ104" s="71"/>
      <c r="BA104" s="67">
        <f t="shared" si="39"/>
        <v>0.063552</v>
      </c>
      <c r="BB104" s="78"/>
      <c r="BH104" s="99"/>
    </row>
    <row r="105" s="51" customFormat="1" ht="13.5" customHeight="1" spans="1:60">
      <c r="A105" s="68">
        <v>100</v>
      </c>
      <c r="B105" s="69" t="s">
        <v>113</v>
      </c>
      <c r="C105" s="69" t="s">
        <v>188</v>
      </c>
      <c r="D105" s="69"/>
      <c r="E105" s="69"/>
      <c r="F105" s="70">
        <v>35.41</v>
      </c>
      <c r="G105" s="71">
        <f t="shared" si="20"/>
        <v>21.5059009036995</v>
      </c>
      <c r="H105" s="71">
        <f t="shared" si="21"/>
        <v>761.523951</v>
      </c>
      <c r="I105" s="78">
        <v>2</v>
      </c>
      <c r="J105" s="78">
        <v>2</v>
      </c>
      <c r="K105" s="79">
        <f t="shared" si="22"/>
        <v>212.46</v>
      </c>
      <c r="L105" s="79">
        <f t="shared" si="23"/>
        <v>0</v>
      </c>
      <c r="M105" s="78">
        <v>0</v>
      </c>
      <c r="N105" s="80">
        <v>0</v>
      </c>
      <c r="O105" s="78">
        <v>0</v>
      </c>
      <c r="P105" s="71">
        <f t="shared" si="24"/>
        <v>70.82</v>
      </c>
      <c r="Q105" s="80">
        <v>761.523951</v>
      </c>
      <c r="R105" s="71">
        <f t="shared" si="25"/>
        <v>212.46</v>
      </c>
      <c r="S105" s="71">
        <v>0</v>
      </c>
      <c r="T105" s="79">
        <f t="shared" si="26"/>
        <v>0</v>
      </c>
      <c r="U105" s="79"/>
      <c r="V105" s="80">
        <v>0</v>
      </c>
      <c r="W105" s="78">
        <v>0</v>
      </c>
      <c r="X105" s="79"/>
      <c r="Y105" s="80">
        <v>0</v>
      </c>
      <c r="Z105" s="80">
        <v>0</v>
      </c>
      <c r="AA105" s="71">
        <f t="shared" si="27"/>
        <v>0</v>
      </c>
      <c r="AB105" s="80">
        <v>0</v>
      </c>
      <c r="AC105" s="71">
        <f t="shared" si="28"/>
        <v>0</v>
      </c>
      <c r="AD105" s="80">
        <v>0</v>
      </c>
      <c r="AE105" s="71">
        <f t="shared" si="29"/>
        <v>0</v>
      </c>
      <c r="AF105" s="83">
        <v>0</v>
      </c>
      <c r="AG105" s="71">
        <f t="shared" si="30"/>
        <v>0</v>
      </c>
      <c r="AH105" s="80">
        <v>0</v>
      </c>
      <c r="AI105" s="71">
        <f t="shared" si="31"/>
        <v>0</v>
      </c>
      <c r="AJ105" s="80">
        <v>0</v>
      </c>
      <c r="AK105" s="80">
        <v>0</v>
      </c>
      <c r="AL105" s="80">
        <v>0</v>
      </c>
      <c r="AM105" s="80">
        <v>0</v>
      </c>
      <c r="AN105" s="80">
        <v>0</v>
      </c>
      <c r="AO105" s="80">
        <v>0</v>
      </c>
      <c r="AP105" s="71">
        <f t="shared" si="32"/>
        <v>70.82</v>
      </c>
      <c r="AQ105" s="93">
        <f t="shared" si="33"/>
        <v>0</v>
      </c>
      <c r="AR105" s="94">
        <f t="shared" si="34"/>
        <v>0.14164</v>
      </c>
      <c r="AS105" s="71">
        <f t="shared" si="35"/>
        <v>0.10623</v>
      </c>
      <c r="AT105" s="78">
        <v>0</v>
      </c>
      <c r="AU105" s="71">
        <f t="shared" si="36"/>
        <v>0</v>
      </c>
      <c r="AV105" s="71">
        <f t="shared" si="37"/>
        <v>0.084984</v>
      </c>
      <c r="AW105" s="97"/>
      <c r="AX105" s="71"/>
      <c r="AY105" s="71">
        <f t="shared" si="38"/>
        <v>0</v>
      </c>
      <c r="AZ105" s="71"/>
      <c r="BA105" s="67">
        <f t="shared" si="39"/>
        <v>0.084984</v>
      </c>
      <c r="BB105" s="78"/>
      <c r="BH105" s="99"/>
    </row>
    <row r="106" s="51" customFormat="1" ht="13.5" customHeight="1" spans="1:60">
      <c r="A106" s="68">
        <v>101</v>
      </c>
      <c r="B106" s="69" t="s">
        <v>113</v>
      </c>
      <c r="C106" s="69" t="s">
        <v>189</v>
      </c>
      <c r="D106" s="69"/>
      <c r="E106" s="69"/>
      <c r="F106" s="70">
        <v>25.39</v>
      </c>
      <c r="G106" s="71">
        <f t="shared" si="20"/>
        <v>18.6426428121308</v>
      </c>
      <c r="H106" s="71">
        <f t="shared" si="21"/>
        <v>473.336701</v>
      </c>
      <c r="I106" s="78">
        <v>2</v>
      </c>
      <c r="J106" s="78">
        <v>2</v>
      </c>
      <c r="K106" s="79">
        <f t="shared" si="22"/>
        <v>152.34</v>
      </c>
      <c r="L106" s="79">
        <f t="shared" si="23"/>
        <v>0</v>
      </c>
      <c r="M106" s="78">
        <v>0</v>
      </c>
      <c r="N106" s="80">
        <v>0</v>
      </c>
      <c r="O106" s="78">
        <v>0</v>
      </c>
      <c r="P106" s="71">
        <f t="shared" si="24"/>
        <v>50.78</v>
      </c>
      <c r="Q106" s="80">
        <v>473.336701</v>
      </c>
      <c r="R106" s="71">
        <f t="shared" si="25"/>
        <v>152.34</v>
      </c>
      <c r="S106" s="71">
        <v>0</v>
      </c>
      <c r="T106" s="79">
        <f t="shared" si="26"/>
        <v>0</v>
      </c>
      <c r="U106" s="79"/>
      <c r="V106" s="80">
        <v>0</v>
      </c>
      <c r="W106" s="78">
        <v>0</v>
      </c>
      <c r="X106" s="79"/>
      <c r="Y106" s="80">
        <v>0</v>
      </c>
      <c r="Z106" s="80">
        <v>0</v>
      </c>
      <c r="AA106" s="71">
        <f t="shared" si="27"/>
        <v>0</v>
      </c>
      <c r="AB106" s="80">
        <v>0</v>
      </c>
      <c r="AC106" s="71">
        <f t="shared" si="28"/>
        <v>0</v>
      </c>
      <c r="AD106" s="80">
        <v>0</v>
      </c>
      <c r="AE106" s="71">
        <f t="shared" si="29"/>
        <v>0</v>
      </c>
      <c r="AF106" s="83">
        <v>0</v>
      </c>
      <c r="AG106" s="71">
        <f t="shared" si="30"/>
        <v>0</v>
      </c>
      <c r="AH106" s="80">
        <v>0</v>
      </c>
      <c r="AI106" s="71">
        <f t="shared" si="31"/>
        <v>0</v>
      </c>
      <c r="AJ106" s="80">
        <v>0</v>
      </c>
      <c r="AK106" s="80">
        <v>0</v>
      </c>
      <c r="AL106" s="80">
        <v>0</v>
      </c>
      <c r="AM106" s="80">
        <v>0</v>
      </c>
      <c r="AN106" s="80">
        <v>0</v>
      </c>
      <c r="AO106" s="80">
        <v>0</v>
      </c>
      <c r="AP106" s="71">
        <f t="shared" si="32"/>
        <v>50.78</v>
      </c>
      <c r="AQ106" s="93">
        <f t="shared" si="33"/>
        <v>0</v>
      </c>
      <c r="AR106" s="94">
        <f t="shared" si="34"/>
        <v>0.10156</v>
      </c>
      <c r="AS106" s="71">
        <f t="shared" si="35"/>
        <v>0.07617</v>
      </c>
      <c r="AT106" s="78">
        <v>0</v>
      </c>
      <c r="AU106" s="71">
        <f t="shared" si="36"/>
        <v>0</v>
      </c>
      <c r="AV106" s="71">
        <f t="shared" si="37"/>
        <v>0.060936</v>
      </c>
      <c r="AW106" s="97"/>
      <c r="AX106" s="71"/>
      <c r="AY106" s="71">
        <f t="shared" si="38"/>
        <v>0</v>
      </c>
      <c r="AZ106" s="71"/>
      <c r="BA106" s="67">
        <f t="shared" si="39"/>
        <v>0.060936</v>
      </c>
      <c r="BB106" s="78"/>
      <c r="BH106" s="99"/>
    </row>
    <row r="107" s="51" customFormat="1" ht="13.5" customHeight="1" spans="1:60">
      <c r="A107" s="68">
        <v>102</v>
      </c>
      <c r="B107" s="69" t="s">
        <v>113</v>
      </c>
      <c r="C107" s="69" t="s">
        <v>113</v>
      </c>
      <c r="D107" s="69" t="s">
        <v>92</v>
      </c>
      <c r="E107" s="69" t="s">
        <v>111</v>
      </c>
      <c r="F107" s="70">
        <v>210.01</v>
      </c>
      <c r="G107" s="71">
        <f t="shared" si="20"/>
        <v>42.5067893766963</v>
      </c>
      <c r="H107" s="71">
        <f t="shared" si="21"/>
        <v>8926.850837</v>
      </c>
      <c r="I107" s="78">
        <v>2</v>
      </c>
      <c r="J107" s="78">
        <v>2</v>
      </c>
      <c r="K107" s="79">
        <f t="shared" si="22"/>
        <v>6738.022062</v>
      </c>
      <c r="L107" s="79">
        <f t="shared" si="23"/>
        <v>5477.962062</v>
      </c>
      <c r="M107" s="78">
        <v>2</v>
      </c>
      <c r="N107" s="80">
        <v>0</v>
      </c>
      <c r="O107" s="78">
        <v>0</v>
      </c>
      <c r="P107" s="71">
        <f t="shared" si="24"/>
        <v>420.02</v>
      </c>
      <c r="Q107" s="80">
        <v>3448.888775</v>
      </c>
      <c r="R107" s="71">
        <f t="shared" si="25"/>
        <v>1260.06</v>
      </c>
      <c r="S107" s="71">
        <v>0</v>
      </c>
      <c r="T107" s="79">
        <f t="shared" si="26"/>
        <v>1648.254831</v>
      </c>
      <c r="U107" s="79"/>
      <c r="V107" s="80">
        <v>0</v>
      </c>
      <c r="W107" s="78">
        <v>0</v>
      </c>
      <c r="X107" s="79"/>
      <c r="Y107" s="80">
        <v>1030.17144</v>
      </c>
      <c r="Z107" s="80">
        <v>0</v>
      </c>
      <c r="AA107" s="71">
        <f t="shared" si="27"/>
        <v>0</v>
      </c>
      <c r="AB107" s="80">
        <v>0</v>
      </c>
      <c r="AC107" s="71">
        <f t="shared" si="28"/>
        <v>0</v>
      </c>
      <c r="AD107" s="80">
        <v>0</v>
      </c>
      <c r="AE107" s="71">
        <f t="shared" si="29"/>
        <v>0</v>
      </c>
      <c r="AF107" s="83">
        <v>0</v>
      </c>
      <c r="AG107" s="71">
        <f t="shared" si="30"/>
        <v>0</v>
      </c>
      <c r="AH107" s="80">
        <v>0</v>
      </c>
      <c r="AI107" s="71">
        <f t="shared" si="31"/>
        <v>0</v>
      </c>
      <c r="AJ107" s="80">
        <v>618.083391</v>
      </c>
      <c r="AK107" s="80">
        <v>0</v>
      </c>
      <c r="AL107" s="80">
        <v>0</v>
      </c>
      <c r="AM107" s="80">
        <v>0</v>
      </c>
      <c r="AN107" s="80">
        <v>0</v>
      </c>
      <c r="AO107" s="80">
        <v>3829.707231</v>
      </c>
      <c r="AP107" s="71">
        <f t="shared" si="32"/>
        <v>420.02</v>
      </c>
      <c r="AQ107" s="93">
        <f t="shared" si="33"/>
        <v>0</v>
      </c>
      <c r="AR107" s="94">
        <f t="shared" si="34"/>
        <v>0.84004</v>
      </c>
      <c r="AS107" s="71">
        <f t="shared" si="35"/>
        <v>0.63003</v>
      </c>
      <c r="AT107" s="78">
        <v>0</v>
      </c>
      <c r="AU107" s="71">
        <f t="shared" si="36"/>
        <v>0.253577666307692</v>
      </c>
      <c r="AV107" s="71">
        <f t="shared" si="37"/>
        <v>0.504024</v>
      </c>
      <c r="AW107" s="97"/>
      <c r="AX107" s="71"/>
      <c r="AY107" s="71">
        <f t="shared" si="38"/>
        <v>0.30637657848</v>
      </c>
      <c r="AZ107" s="71"/>
      <c r="BA107" s="67">
        <f t="shared" si="39"/>
        <v>0.757601666307692</v>
      </c>
      <c r="BB107" s="78"/>
      <c r="BH107" s="99"/>
    </row>
    <row r="108" s="51" customFormat="1" ht="13.5" customHeight="1" spans="1:60">
      <c r="A108" s="68">
        <v>103</v>
      </c>
      <c r="B108" s="69" t="s">
        <v>113</v>
      </c>
      <c r="C108" s="69" t="s">
        <v>113</v>
      </c>
      <c r="D108" s="69" t="s">
        <v>185</v>
      </c>
      <c r="E108" s="69" t="s">
        <v>86</v>
      </c>
      <c r="F108" s="70">
        <v>335.12</v>
      </c>
      <c r="G108" s="71">
        <f t="shared" si="20"/>
        <v>60.0619821675818</v>
      </c>
      <c r="H108" s="71">
        <f t="shared" si="21"/>
        <v>20127.971464</v>
      </c>
      <c r="I108" s="78">
        <v>2</v>
      </c>
      <c r="J108" s="78">
        <v>2</v>
      </c>
      <c r="K108" s="79">
        <f t="shared" si="22"/>
        <v>16271.966614</v>
      </c>
      <c r="L108" s="79">
        <f t="shared" si="23"/>
        <v>14142.885372</v>
      </c>
      <c r="M108" s="78">
        <v>4</v>
      </c>
      <c r="N108" s="80">
        <v>0</v>
      </c>
      <c r="O108" s="78">
        <v>0</v>
      </c>
      <c r="P108" s="71">
        <f t="shared" si="24"/>
        <v>670.24</v>
      </c>
      <c r="Q108" s="80">
        <v>5866.72485</v>
      </c>
      <c r="R108" s="71">
        <f t="shared" si="25"/>
        <v>2010.72</v>
      </c>
      <c r="S108" s="71">
        <v>0</v>
      </c>
      <c r="T108" s="79">
        <f t="shared" si="26"/>
        <v>6438.133748</v>
      </c>
      <c r="U108" s="79"/>
      <c r="V108" s="80">
        <v>213.683639</v>
      </c>
      <c r="W108" s="78">
        <v>2</v>
      </c>
      <c r="X108" s="79"/>
      <c r="Y108" s="80">
        <v>1682.817844</v>
      </c>
      <c r="Z108" s="80">
        <v>19.050556</v>
      </c>
      <c r="AA108" s="71">
        <f t="shared" si="27"/>
        <v>38.101112</v>
      </c>
      <c r="AB108" s="80">
        <v>59.180621</v>
      </c>
      <c r="AC108" s="71">
        <f t="shared" si="28"/>
        <v>118.361242</v>
      </c>
      <c r="AD108" s="80">
        <v>0</v>
      </c>
      <c r="AE108" s="71">
        <f t="shared" si="29"/>
        <v>0</v>
      </c>
      <c r="AF108" s="83">
        <v>0</v>
      </c>
      <c r="AG108" s="71">
        <f t="shared" si="30"/>
        <v>0</v>
      </c>
      <c r="AH108" s="80">
        <v>6.497858</v>
      </c>
      <c r="AI108" s="71">
        <f t="shared" si="31"/>
        <v>12.995716</v>
      </c>
      <c r="AJ108" s="80">
        <v>4337.75132</v>
      </c>
      <c r="AK108" s="80">
        <v>190.885229</v>
      </c>
      <c r="AL108" s="80">
        <v>0</v>
      </c>
      <c r="AM108" s="80">
        <v>714.5508</v>
      </c>
      <c r="AN108" s="80">
        <v>150.560726</v>
      </c>
      <c r="AO108" s="80">
        <v>6801.538986</v>
      </c>
      <c r="AP108" s="71">
        <f t="shared" si="32"/>
        <v>670.24</v>
      </c>
      <c r="AQ108" s="93">
        <f t="shared" si="33"/>
        <v>0</v>
      </c>
      <c r="AR108" s="94">
        <f t="shared" si="34"/>
        <v>1.34048</v>
      </c>
      <c r="AS108" s="71">
        <f t="shared" si="35"/>
        <v>1.00536</v>
      </c>
      <c r="AT108" s="78">
        <v>1</v>
      </c>
      <c r="AU108" s="71">
        <f t="shared" si="36"/>
        <v>0.990482115076923</v>
      </c>
      <c r="AV108" s="71">
        <f t="shared" si="37"/>
        <v>0.804288</v>
      </c>
      <c r="AW108" s="98"/>
      <c r="AX108" s="71"/>
      <c r="AY108" s="71">
        <f t="shared" si="38"/>
        <v>0.61333204096</v>
      </c>
      <c r="AZ108" s="71"/>
      <c r="BA108" s="67">
        <f t="shared" si="39"/>
        <v>1.79477011507692</v>
      </c>
      <c r="BB108" s="78"/>
      <c r="BH108" s="99"/>
    </row>
    <row r="109" spans="1:54">
      <c r="A109" s="64">
        <v>104</v>
      </c>
      <c r="B109" s="65" t="s">
        <v>190</v>
      </c>
      <c r="C109" s="65" t="s">
        <v>190</v>
      </c>
      <c r="D109" s="65" t="s">
        <v>191</v>
      </c>
      <c r="E109" s="65" t="s">
        <v>170</v>
      </c>
      <c r="F109" s="66">
        <v>332.42</v>
      </c>
      <c r="G109" s="67">
        <f t="shared" si="20"/>
        <v>31.7467701582336</v>
      </c>
      <c r="H109" s="67">
        <f t="shared" si="21"/>
        <v>10553.261336</v>
      </c>
      <c r="I109" s="75">
        <v>2</v>
      </c>
      <c r="J109" s="75">
        <v>3</v>
      </c>
      <c r="K109" s="76">
        <f t="shared" si="22"/>
        <v>10555.189652</v>
      </c>
      <c r="L109" s="76">
        <f t="shared" si="23"/>
        <v>7893.633306</v>
      </c>
      <c r="M109" s="75">
        <v>2</v>
      </c>
      <c r="N109" s="77">
        <v>0</v>
      </c>
      <c r="O109" s="75">
        <v>0</v>
      </c>
      <c r="P109" s="67">
        <f t="shared" si="24"/>
        <v>664.84</v>
      </c>
      <c r="Q109" s="77">
        <v>1992.591684</v>
      </c>
      <c r="R109" s="67">
        <f t="shared" si="25"/>
        <v>1994.52</v>
      </c>
      <c r="S109" s="67">
        <v>0</v>
      </c>
      <c r="T109" s="76">
        <f t="shared" si="26"/>
        <v>0</v>
      </c>
      <c r="U109" s="76"/>
      <c r="V109" s="77">
        <v>0</v>
      </c>
      <c r="W109" s="75">
        <v>0</v>
      </c>
      <c r="X109" s="76"/>
      <c r="Y109" s="77">
        <v>0</v>
      </c>
      <c r="Z109" s="77">
        <v>0</v>
      </c>
      <c r="AA109" s="67">
        <f t="shared" si="27"/>
        <v>0</v>
      </c>
      <c r="AB109" s="77">
        <v>333.518173</v>
      </c>
      <c r="AC109" s="67">
        <f t="shared" si="28"/>
        <v>667.036346</v>
      </c>
      <c r="AD109" s="77">
        <v>0</v>
      </c>
      <c r="AE109" s="67">
        <f t="shared" si="29"/>
        <v>0</v>
      </c>
      <c r="AF109" s="82">
        <v>0</v>
      </c>
      <c r="AG109" s="67">
        <f t="shared" si="30"/>
        <v>0</v>
      </c>
      <c r="AH109" s="77">
        <v>0</v>
      </c>
      <c r="AI109" s="67">
        <f t="shared" si="31"/>
        <v>0</v>
      </c>
      <c r="AJ109" s="77">
        <v>0</v>
      </c>
      <c r="AK109" s="77">
        <v>0</v>
      </c>
      <c r="AL109" s="77">
        <v>0</v>
      </c>
      <c r="AM109" s="77">
        <v>0</v>
      </c>
      <c r="AN109" s="77">
        <v>0</v>
      </c>
      <c r="AO109" s="77">
        <v>7893.633306</v>
      </c>
      <c r="AP109" s="67">
        <f t="shared" si="32"/>
        <v>664.84</v>
      </c>
      <c r="AQ109" s="91">
        <f t="shared" si="33"/>
        <v>1.32968</v>
      </c>
      <c r="AR109" s="92">
        <f t="shared" si="34"/>
        <v>0</v>
      </c>
      <c r="AS109" s="67">
        <f t="shared" si="35"/>
        <v>0.66484</v>
      </c>
      <c r="AT109" s="75">
        <v>0</v>
      </c>
      <c r="AU109" s="67">
        <f t="shared" si="36"/>
        <v>0</v>
      </c>
      <c r="AV109" s="71">
        <f t="shared" si="37"/>
        <v>0.569862857142857</v>
      </c>
      <c r="AW109" s="71"/>
      <c r="AX109" s="67"/>
      <c r="AY109" s="67">
        <f t="shared" si="38"/>
        <v>0.63149066448</v>
      </c>
      <c r="AZ109" s="67"/>
      <c r="BA109" s="67">
        <f t="shared" si="39"/>
        <v>0.569862857142857</v>
      </c>
      <c r="BB109" s="75"/>
    </row>
    <row r="110" spans="1:54">
      <c r="A110" s="64">
        <v>105</v>
      </c>
      <c r="B110" s="65" t="s">
        <v>192</v>
      </c>
      <c r="C110" s="65" t="s">
        <v>192</v>
      </c>
      <c r="D110" s="65" t="s">
        <v>170</v>
      </c>
      <c r="E110" s="65" t="s">
        <v>193</v>
      </c>
      <c r="F110" s="66">
        <v>281</v>
      </c>
      <c r="G110" s="67">
        <f t="shared" si="20"/>
        <v>6.39280223487544</v>
      </c>
      <c r="H110" s="67">
        <f t="shared" si="21"/>
        <v>1796.377428</v>
      </c>
      <c r="I110" s="75">
        <v>2</v>
      </c>
      <c r="J110" s="75">
        <v>3</v>
      </c>
      <c r="K110" s="76">
        <f t="shared" si="22"/>
        <v>2067.449308</v>
      </c>
      <c r="L110" s="76">
        <f t="shared" si="23"/>
        <v>0</v>
      </c>
      <c r="M110" s="75">
        <v>2</v>
      </c>
      <c r="N110" s="77">
        <v>0</v>
      </c>
      <c r="O110" s="75">
        <v>0</v>
      </c>
      <c r="P110" s="67">
        <f t="shared" si="24"/>
        <v>562</v>
      </c>
      <c r="Q110" s="77">
        <v>1414.92812</v>
      </c>
      <c r="R110" s="67">
        <f t="shared" si="25"/>
        <v>1686</v>
      </c>
      <c r="S110" s="67">
        <v>0</v>
      </c>
      <c r="T110" s="76">
        <f t="shared" si="26"/>
        <v>0</v>
      </c>
      <c r="U110" s="76"/>
      <c r="V110" s="77">
        <v>0</v>
      </c>
      <c r="W110" s="75">
        <v>0</v>
      </c>
      <c r="X110" s="76"/>
      <c r="Y110" s="77">
        <v>0</v>
      </c>
      <c r="Z110" s="77">
        <v>0</v>
      </c>
      <c r="AA110" s="67">
        <f t="shared" si="27"/>
        <v>0</v>
      </c>
      <c r="AB110" s="77">
        <v>190.724654</v>
      </c>
      <c r="AC110" s="67">
        <f t="shared" si="28"/>
        <v>381.449308</v>
      </c>
      <c r="AD110" s="77">
        <v>0</v>
      </c>
      <c r="AE110" s="67">
        <f t="shared" si="29"/>
        <v>0</v>
      </c>
      <c r="AF110" s="82">
        <v>0</v>
      </c>
      <c r="AG110" s="67">
        <f t="shared" si="30"/>
        <v>0</v>
      </c>
      <c r="AH110" s="77">
        <v>0</v>
      </c>
      <c r="AI110" s="67">
        <f t="shared" si="31"/>
        <v>0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  <c r="AO110" s="77">
        <v>0</v>
      </c>
      <c r="AP110" s="67">
        <f t="shared" si="32"/>
        <v>562</v>
      </c>
      <c r="AQ110" s="91">
        <f t="shared" si="33"/>
        <v>1.124</v>
      </c>
      <c r="AR110" s="92">
        <f t="shared" si="34"/>
        <v>0</v>
      </c>
      <c r="AS110" s="67">
        <f t="shared" si="35"/>
        <v>0.562</v>
      </c>
      <c r="AT110" s="75">
        <v>0</v>
      </c>
      <c r="AU110" s="67">
        <f t="shared" si="36"/>
        <v>0</v>
      </c>
      <c r="AV110" s="71">
        <f t="shared" si="37"/>
        <v>0.481714285714286</v>
      </c>
      <c r="AW110" s="71"/>
      <c r="AX110" s="67"/>
      <c r="AY110" s="67">
        <f t="shared" si="38"/>
        <v>0</v>
      </c>
      <c r="AZ110" s="67"/>
      <c r="BA110" s="67">
        <f t="shared" si="39"/>
        <v>0.481714285714286</v>
      </c>
      <c r="BB110" s="75"/>
    </row>
    <row r="111" spans="1:54">
      <c r="A111" s="64">
        <v>106</v>
      </c>
      <c r="B111" s="65" t="s">
        <v>194</v>
      </c>
      <c r="C111" s="65" t="s">
        <v>194</v>
      </c>
      <c r="D111" s="65" t="s">
        <v>195</v>
      </c>
      <c r="E111" s="65" t="s">
        <v>170</v>
      </c>
      <c r="F111" s="66">
        <v>266.98</v>
      </c>
      <c r="G111" s="67">
        <f t="shared" si="20"/>
        <v>27.1203660274178</v>
      </c>
      <c r="H111" s="67">
        <f t="shared" si="21"/>
        <v>7240.595322</v>
      </c>
      <c r="I111" s="75">
        <v>2</v>
      </c>
      <c r="J111" s="75">
        <v>3</v>
      </c>
      <c r="K111" s="76">
        <f t="shared" si="22"/>
        <v>7105.635814</v>
      </c>
      <c r="L111" s="76">
        <f t="shared" si="23"/>
        <v>5141.271882</v>
      </c>
      <c r="M111" s="75">
        <v>2</v>
      </c>
      <c r="N111" s="77">
        <v>0</v>
      </c>
      <c r="O111" s="75">
        <v>0</v>
      </c>
      <c r="P111" s="67">
        <f t="shared" si="24"/>
        <v>533.96</v>
      </c>
      <c r="Q111" s="77">
        <v>1736.839508</v>
      </c>
      <c r="R111" s="67">
        <f t="shared" si="25"/>
        <v>1601.88</v>
      </c>
      <c r="S111" s="67">
        <v>0</v>
      </c>
      <c r="T111" s="76">
        <f t="shared" si="26"/>
        <v>735.866715</v>
      </c>
      <c r="U111" s="76"/>
      <c r="V111" s="77">
        <v>0</v>
      </c>
      <c r="W111" s="75">
        <v>0</v>
      </c>
      <c r="X111" s="76"/>
      <c r="Y111" s="77">
        <v>0</v>
      </c>
      <c r="Z111" s="77">
        <v>0</v>
      </c>
      <c r="AA111" s="67">
        <f t="shared" si="27"/>
        <v>0</v>
      </c>
      <c r="AB111" s="77">
        <v>181.241966</v>
      </c>
      <c r="AC111" s="67">
        <f t="shared" si="28"/>
        <v>362.483932</v>
      </c>
      <c r="AD111" s="77">
        <v>0</v>
      </c>
      <c r="AE111" s="67">
        <f t="shared" si="29"/>
        <v>0</v>
      </c>
      <c r="AF111" s="82">
        <v>0</v>
      </c>
      <c r="AG111" s="67">
        <f t="shared" si="30"/>
        <v>0</v>
      </c>
      <c r="AH111" s="77">
        <v>0</v>
      </c>
      <c r="AI111" s="67">
        <f t="shared" si="31"/>
        <v>0</v>
      </c>
      <c r="AJ111" s="77">
        <v>735.866715</v>
      </c>
      <c r="AK111" s="77">
        <v>0</v>
      </c>
      <c r="AL111" s="77">
        <v>0</v>
      </c>
      <c r="AM111" s="77">
        <v>0</v>
      </c>
      <c r="AN111" s="77">
        <v>0</v>
      </c>
      <c r="AO111" s="77">
        <v>4405.405167</v>
      </c>
      <c r="AP111" s="67">
        <f t="shared" si="32"/>
        <v>533.96</v>
      </c>
      <c r="AQ111" s="91">
        <f t="shared" si="33"/>
        <v>1.06792</v>
      </c>
      <c r="AR111" s="92">
        <f t="shared" si="34"/>
        <v>0</v>
      </c>
      <c r="AS111" s="67">
        <f t="shared" si="35"/>
        <v>0.53396</v>
      </c>
      <c r="AT111" s="75">
        <v>0</v>
      </c>
      <c r="AU111" s="67">
        <f t="shared" si="36"/>
        <v>0.098115562</v>
      </c>
      <c r="AV111" s="71">
        <f t="shared" si="37"/>
        <v>0.45768</v>
      </c>
      <c r="AW111" s="71"/>
      <c r="AX111" s="67"/>
      <c r="AY111" s="67">
        <f t="shared" si="38"/>
        <v>0.35243241336</v>
      </c>
      <c r="AZ111" s="67"/>
      <c r="BA111" s="67">
        <f t="shared" si="39"/>
        <v>0.555795562</v>
      </c>
      <c r="BB111" s="75"/>
    </row>
    <row r="112" spans="1:54">
      <c r="A112" s="64">
        <v>107</v>
      </c>
      <c r="B112" s="65" t="s">
        <v>196</v>
      </c>
      <c r="C112" s="65" t="s">
        <v>196</v>
      </c>
      <c r="D112" s="65" t="s">
        <v>170</v>
      </c>
      <c r="E112" s="65" t="s">
        <v>197</v>
      </c>
      <c r="F112" s="66">
        <v>287.63</v>
      </c>
      <c r="G112" s="67">
        <f t="shared" si="20"/>
        <v>27.4874544727601</v>
      </c>
      <c r="H112" s="67">
        <f t="shared" si="21"/>
        <v>7906.21653</v>
      </c>
      <c r="I112" s="75">
        <v>2</v>
      </c>
      <c r="J112" s="75">
        <v>3</v>
      </c>
      <c r="K112" s="76">
        <f t="shared" si="22"/>
        <v>8451.256333</v>
      </c>
      <c r="L112" s="76">
        <f t="shared" si="23"/>
        <v>6152.844097</v>
      </c>
      <c r="M112" s="75">
        <v>2</v>
      </c>
      <c r="N112" s="77">
        <v>0</v>
      </c>
      <c r="O112" s="75">
        <v>0</v>
      </c>
      <c r="P112" s="67">
        <f t="shared" si="24"/>
        <v>575.26</v>
      </c>
      <c r="Q112" s="77">
        <v>1180.740197</v>
      </c>
      <c r="R112" s="67">
        <f t="shared" si="25"/>
        <v>1725.78</v>
      </c>
      <c r="S112" s="67">
        <v>0</v>
      </c>
      <c r="T112" s="76">
        <f t="shared" si="26"/>
        <v>0</v>
      </c>
      <c r="U112" s="76"/>
      <c r="V112" s="77">
        <v>0</v>
      </c>
      <c r="W112" s="75">
        <v>0</v>
      </c>
      <c r="X112" s="76"/>
      <c r="Y112" s="77">
        <v>0</v>
      </c>
      <c r="Z112" s="77">
        <v>0</v>
      </c>
      <c r="AA112" s="67">
        <f t="shared" si="27"/>
        <v>0</v>
      </c>
      <c r="AB112" s="77">
        <v>286.316118</v>
      </c>
      <c r="AC112" s="67">
        <f t="shared" si="28"/>
        <v>572.632236</v>
      </c>
      <c r="AD112" s="77">
        <v>0</v>
      </c>
      <c r="AE112" s="67">
        <f t="shared" si="29"/>
        <v>0</v>
      </c>
      <c r="AF112" s="82">
        <v>0</v>
      </c>
      <c r="AG112" s="67">
        <f t="shared" si="30"/>
        <v>0</v>
      </c>
      <c r="AH112" s="77">
        <v>0</v>
      </c>
      <c r="AI112" s="67">
        <f t="shared" si="31"/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  <c r="AO112" s="77">
        <v>6152.844097</v>
      </c>
      <c r="AP112" s="67">
        <f t="shared" si="32"/>
        <v>575.26</v>
      </c>
      <c r="AQ112" s="91">
        <f t="shared" si="33"/>
        <v>1.15052</v>
      </c>
      <c r="AR112" s="92">
        <f t="shared" si="34"/>
        <v>0</v>
      </c>
      <c r="AS112" s="67">
        <f t="shared" si="35"/>
        <v>0.57526</v>
      </c>
      <c r="AT112" s="75">
        <v>0</v>
      </c>
      <c r="AU112" s="67">
        <f t="shared" si="36"/>
        <v>0</v>
      </c>
      <c r="AV112" s="71">
        <f t="shared" si="37"/>
        <v>0.49308</v>
      </c>
      <c r="AW112" s="71"/>
      <c r="AX112" s="67"/>
      <c r="AY112" s="67">
        <f t="shared" si="38"/>
        <v>0.49222752776</v>
      </c>
      <c r="AZ112" s="67"/>
      <c r="BA112" s="67">
        <f t="shared" si="39"/>
        <v>0.49308</v>
      </c>
      <c r="BB112" s="75"/>
    </row>
    <row r="113" spans="1:54">
      <c r="A113" s="64">
        <v>108</v>
      </c>
      <c r="B113" s="65" t="s">
        <v>198</v>
      </c>
      <c r="C113" s="65" t="s">
        <v>198</v>
      </c>
      <c r="D113" s="65" t="s">
        <v>196</v>
      </c>
      <c r="E113" s="65" t="s">
        <v>194</v>
      </c>
      <c r="F113" s="66">
        <v>83.58</v>
      </c>
      <c r="G113" s="67">
        <f t="shared" si="20"/>
        <v>5.59593269921034</v>
      </c>
      <c r="H113" s="67">
        <f t="shared" si="21"/>
        <v>467.708055</v>
      </c>
      <c r="I113" s="75">
        <v>3</v>
      </c>
      <c r="J113" s="75">
        <v>3</v>
      </c>
      <c r="K113" s="76">
        <f t="shared" si="22"/>
        <v>969.188055</v>
      </c>
      <c r="L113" s="76">
        <f t="shared" si="23"/>
        <v>467.708055</v>
      </c>
      <c r="M113" s="75">
        <v>0</v>
      </c>
      <c r="N113" s="77">
        <v>0</v>
      </c>
      <c r="O113" s="75">
        <v>0</v>
      </c>
      <c r="P113" s="67">
        <f t="shared" si="24"/>
        <v>167.16</v>
      </c>
      <c r="Q113" s="77">
        <v>0</v>
      </c>
      <c r="R113" s="67">
        <f t="shared" si="25"/>
        <v>501.48</v>
      </c>
      <c r="S113" s="67">
        <v>0</v>
      </c>
      <c r="T113" s="76">
        <f t="shared" si="26"/>
        <v>332.417013</v>
      </c>
      <c r="U113" s="76"/>
      <c r="V113" s="77">
        <v>332.417013</v>
      </c>
      <c r="W113" s="75">
        <v>1</v>
      </c>
      <c r="X113" s="76"/>
      <c r="Y113" s="77">
        <v>0</v>
      </c>
      <c r="Z113" s="77">
        <v>0</v>
      </c>
      <c r="AA113" s="67">
        <f t="shared" si="27"/>
        <v>0</v>
      </c>
      <c r="AB113" s="77">
        <v>0</v>
      </c>
      <c r="AC113" s="67">
        <f t="shared" si="28"/>
        <v>0</v>
      </c>
      <c r="AD113" s="77">
        <v>67.645521</v>
      </c>
      <c r="AE113" s="67">
        <f t="shared" si="29"/>
        <v>135.291042</v>
      </c>
      <c r="AF113" s="82">
        <v>0</v>
      </c>
      <c r="AG113" s="67">
        <f t="shared" si="30"/>
        <v>0</v>
      </c>
      <c r="AH113" s="77">
        <v>0</v>
      </c>
      <c r="AI113" s="67">
        <f t="shared" si="31"/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  <c r="AO113" s="77">
        <v>0</v>
      </c>
      <c r="AP113" s="67">
        <f t="shared" si="32"/>
        <v>167.16</v>
      </c>
      <c r="AQ113" s="91">
        <f t="shared" si="33"/>
        <v>0.33432</v>
      </c>
      <c r="AR113" s="92">
        <f t="shared" si="34"/>
        <v>0</v>
      </c>
      <c r="AS113" s="67">
        <f t="shared" si="35"/>
        <v>0.16716</v>
      </c>
      <c r="AT113" s="75">
        <v>0</v>
      </c>
      <c r="AU113" s="67">
        <f t="shared" si="36"/>
        <v>0.0443222684</v>
      </c>
      <c r="AV113" s="71">
        <f t="shared" si="37"/>
        <v>0.14328</v>
      </c>
      <c r="AW113" s="71"/>
      <c r="AX113" s="67"/>
      <c r="AY113" s="67">
        <f t="shared" si="38"/>
        <v>0</v>
      </c>
      <c r="AZ113" s="67"/>
      <c r="BA113" s="67">
        <f t="shared" si="39"/>
        <v>0.1876022684</v>
      </c>
      <c r="BB113" s="75"/>
    </row>
    <row r="114" spans="1:54">
      <c r="A114" s="64">
        <v>109</v>
      </c>
      <c r="B114" s="65" t="s">
        <v>199</v>
      </c>
      <c r="C114" s="65" t="s">
        <v>199</v>
      </c>
      <c r="D114" s="65" t="s">
        <v>190</v>
      </c>
      <c r="E114" s="65" t="s">
        <v>192</v>
      </c>
      <c r="F114" s="66">
        <v>115.35</v>
      </c>
      <c r="G114" s="67">
        <f t="shared" si="20"/>
        <v>4.05398241005635</v>
      </c>
      <c r="H114" s="67">
        <f t="shared" si="21"/>
        <v>467.626871</v>
      </c>
      <c r="I114" s="75">
        <v>3</v>
      </c>
      <c r="J114" s="75">
        <v>3</v>
      </c>
      <c r="K114" s="76">
        <f t="shared" si="22"/>
        <v>1159.726871</v>
      </c>
      <c r="L114" s="76">
        <f t="shared" si="23"/>
        <v>467.626871</v>
      </c>
      <c r="M114" s="75">
        <v>0</v>
      </c>
      <c r="N114" s="77">
        <v>0</v>
      </c>
      <c r="O114" s="75">
        <v>0</v>
      </c>
      <c r="P114" s="67">
        <f t="shared" si="24"/>
        <v>230.7</v>
      </c>
      <c r="Q114" s="77">
        <v>0</v>
      </c>
      <c r="R114" s="67">
        <f t="shared" si="25"/>
        <v>692.1</v>
      </c>
      <c r="S114" s="67">
        <v>0</v>
      </c>
      <c r="T114" s="76">
        <f t="shared" si="26"/>
        <v>467.626871</v>
      </c>
      <c r="U114" s="76"/>
      <c r="V114" s="77">
        <v>467.626871</v>
      </c>
      <c r="W114" s="75">
        <v>1</v>
      </c>
      <c r="X114" s="76"/>
      <c r="Y114" s="77">
        <v>0</v>
      </c>
      <c r="Z114" s="77">
        <v>0</v>
      </c>
      <c r="AA114" s="67">
        <f t="shared" si="27"/>
        <v>0</v>
      </c>
      <c r="AB114" s="77">
        <v>0</v>
      </c>
      <c r="AC114" s="67">
        <f t="shared" si="28"/>
        <v>0</v>
      </c>
      <c r="AD114" s="77">
        <v>0</v>
      </c>
      <c r="AE114" s="67">
        <f t="shared" si="29"/>
        <v>0</v>
      </c>
      <c r="AF114" s="82">
        <v>0</v>
      </c>
      <c r="AG114" s="67">
        <f t="shared" si="30"/>
        <v>0</v>
      </c>
      <c r="AH114" s="77">
        <v>0</v>
      </c>
      <c r="AI114" s="67">
        <f t="shared" si="31"/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  <c r="AO114" s="77">
        <v>0</v>
      </c>
      <c r="AP114" s="67">
        <f t="shared" si="32"/>
        <v>230.7</v>
      </c>
      <c r="AQ114" s="91">
        <f t="shared" si="33"/>
        <v>0.4614</v>
      </c>
      <c r="AR114" s="92">
        <f t="shared" si="34"/>
        <v>0</v>
      </c>
      <c r="AS114" s="67">
        <f t="shared" si="35"/>
        <v>0.2307</v>
      </c>
      <c r="AT114" s="75">
        <v>0</v>
      </c>
      <c r="AU114" s="67">
        <f t="shared" si="36"/>
        <v>0.0623502494666667</v>
      </c>
      <c r="AV114" s="71">
        <f t="shared" si="37"/>
        <v>0.197742857142857</v>
      </c>
      <c r="AW114" s="71"/>
      <c r="AX114" s="67"/>
      <c r="AY114" s="67">
        <f t="shared" si="38"/>
        <v>0</v>
      </c>
      <c r="AZ114" s="67"/>
      <c r="BA114" s="67">
        <f t="shared" si="39"/>
        <v>0.260093106609524</v>
      </c>
      <c r="BB114" s="75"/>
    </row>
    <row r="115" spans="1:54">
      <c r="A115" s="64">
        <v>110</v>
      </c>
      <c r="B115" s="65" t="s">
        <v>200</v>
      </c>
      <c r="C115" s="65" t="s">
        <v>200</v>
      </c>
      <c r="D115" s="65" t="s">
        <v>201</v>
      </c>
      <c r="E115" s="65" t="s">
        <v>202</v>
      </c>
      <c r="F115" s="66">
        <v>1188.98</v>
      </c>
      <c r="G115" s="67">
        <f t="shared" si="20"/>
        <v>6.12093942286666</v>
      </c>
      <c r="H115" s="67">
        <f t="shared" si="21"/>
        <v>7277.674555</v>
      </c>
      <c r="I115" s="75">
        <v>3</v>
      </c>
      <c r="J115" s="75">
        <v>3</v>
      </c>
      <c r="K115" s="76">
        <f t="shared" si="22"/>
        <v>7572.86129</v>
      </c>
      <c r="L115" s="76">
        <f t="shared" si="23"/>
        <v>438.98129</v>
      </c>
      <c r="M115" s="75">
        <v>0</v>
      </c>
      <c r="N115" s="77">
        <v>0</v>
      </c>
      <c r="O115" s="75">
        <v>0</v>
      </c>
      <c r="P115" s="67">
        <f t="shared" si="24"/>
        <v>2377.96</v>
      </c>
      <c r="Q115" s="77">
        <v>6838.693265</v>
      </c>
      <c r="R115" s="67">
        <f t="shared" si="25"/>
        <v>7133.88</v>
      </c>
      <c r="S115" s="67">
        <v>0</v>
      </c>
      <c r="T115" s="76">
        <f t="shared" si="26"/>
        <v>438.98129</v>
      </c>
      <c r="U115" s="76"/>
      <c r="V115" s="77">
        <v>0</v>
      </c>
      <c r="W115" s="75">
        <v>0</v>
      </c>
      <c r="X115" s="76"/>
      <c r="Y115" s="77">
        <v>0</v>
      </c>
      <c r="Z115" s="77">
        <v>0</v>
      </c>
      <c r="AA115" s="67">
        <f t="shared" si="27"/>
        <v>0</v>
      </c>
      <c r="AB115" s="77">
        <v>0</v>
      </c>
      <c r="AC115" s="67">
        <f t="shared" si="28"/>
        <v>0</v>
      </c>
      <c r="AD115" s="77">
        <v>0</v>
      </c>
      <c r="AE115" s="67">
        <f t="shared" si="29"/>
        <v>0</v>
      </c>
      <c r="AF115" s="82">
        <v>0</v>
      </c>
      <c r="AG115" s="67">
        <f t="shared" si="30"/>
        <v>0</v>
      </c>
      <c r="AH115" s="77">
        <v>0</v>
      </c>
      <c r="AI115" s="67">
        <f t="shared" si="31"/>
        <v>0</v>
      </c>
      <c r="AJ115" s="77">
        <v>438.98129</v>
      </c>
      <c r="AK115" s="77">
        <v>0</v>
      </c>
      <c r="AL115" s="77">
        <v>0</v>
      </c>
      <c r="AM115" s="77">
        <v>0</v>
      </c>
      <c r="AN115" s="77">
        <v>0</v>
      </c>
      <c r="AO115" s="77">
        <v>0</v>
      </c>
      <c r="AP115" s="67">
        <f t="shared" si="32"/>
        <v>2377.96</v>
      </c>
      <c r="AQ115" s="91">
        <f t="shared" si="33"/>
        <v>4.75592</v>
      </c>
      <c r="AR115" s="92">
        <f t="shared" si="34"/>
        <v>0</v>
      </c>
      <c r="AS115" s="67">
        <f t="shared" si="35"/>
        <v>2.37796</v>
      </c>
      <c r="AT115" s="75">
        <v>0</v>
      </c>
      <c r="AU115" s="67">
        <f t="shared" si="36"/>
        <v>0.0585308386666667</v>
      </c>
      <c r="AV115" s="71">
        <f t="shared" si="37"/>
        <v>2.03825142857143</v>
      </c>
      <c r="AW115" s="71"/>
      <c r="AX115" s="67"/>
      <c r="AY115" s="67">
        <f t="shared" si="38"/>
        <v>0</v>
      </c>
      <c r="AZ115" s="67"/>
      <c r="BA115" s="67">
        <f t="shared" si="39"/>
        <v>2.09678226723809</v>
      </c>
      <c r="BB115" s="75"/>
    </row>
    <row r="116" spans="1:54">
      <c r="A116" s="64">
        <v>111</v>
      </c>
      <c r="B116" s="65" t="s">
        <v>203</v>
      </c>
      <c r="C116" s="65" t="s">
        <v>203</v>
      </c>
      <c r="D116" s="65" t="s">
        <v>204</v>
      </c>
      <c r="E116" s="65" t="s">
        <v>92</v>
      </c>
      <c r="F116" s="66">
        <v>551.29</v>
      </c>
      <c r="G116" s="67">
        <f t="shared" si="20"/>
        <v>14.9947614866948</v>
      </c>
      <c r="H116" s="67">
        <f t="shared" si="21"/>
        <v>8266.46206</v>
      </c>
      <c r="I116" s="75">
        <v>3</v>
      </c>
      <c r="J116" s="75">
        <v>3</v>
      </c>
      <c r="K116" s="76">
        <f t="shared" si="22"/>
        <v>7209.9982</v>
      </c>
      <c r="L116" s="76">
        <f t="shared" si="23"/>
        <v>3902.2582</v>
      </c>
      <c r="M116" s="75">
        <v>2</v>
      </c>
      <c r="N116" s="77">
        <v>0</v>
      </c>
      <c r="O116" s="75">
        <v>0</v>
      </c>
      <c r="P116" s="67">
        <f t="shared" si="24"/>
        <v>1102.58</v>
      </c>
      <c r="Q116" s="77">
        <v>4364.20386</v>
      </c>
      <c r="R116" s="67">
        <f t="shared" si="25"/>
        <v>3307.74</v>
      </c>
      <c r="S116" s="67">
        <v>0</v>
      </c>
      <c r="T116" s="76">
        <f t="shared" si="26"/>
        <v>2857.378828</v>
      </c>
      <c r="U116" s="76"/>
      <c r="V116" s="77">
        <v>312.035734</v>
      </c>
      <c r="W116" s="75">
        <v>1</v>
      </c>
      <c r="X116" s="76"/>
      <c r="Y116" s="77">
        <v>1457.550347</v>
      </c>
      <c r="Z116" s="77">
        <v>0</v>
      </c>
      <c r="AA116" s="67">
        <f t="shared" si="27"/>
        <v>0</v>
      </c>
      <c r="AB116" s="77">
        <v>0</v>
      </c>
      <c r="AC116" s="67">
        <f t="shared" si="28"/>
        <v>0</v>
      </c>
      <c r="AD116" s="77">
        <v>230.478698</v>
      </c>
      <c r="AE116" s="67">
        <f t="shared" si="29"/>
        <v>460.957396</v>
      </c>
      <c r="AF116" s="82">
        <v>0</v>
      </c>
      <c r="AG116" s="67">
        <f t="shared" si="30"/>
        <v>0</v>
      </c>
      <c r="AH116" s="77">
        <v>0</v>
      </c>
      <c r="AI116" s="67">
        <f t="shared" si="31"/>
        <v>0</v>
      </c>
      <c r="AJ116" s="77">
        <v>1087.792747</v>
      </c>
      <c r="AK116" s="77">
        <v>0</v>
      </c>
      <c r="AL116" s="77">
        <v>0</v>
      </c>
      <c r="AM116" s="77">
        <v>0</v>
      </c>
      <c r="AN116" s="77">
        <v>0</v>
      </c>
      <c r="AO116" s="77">
        <v>583.921976</v>
      </c>
      <c r="AP116" s="67">
        <f t="shared" si="32"/>
        <v>1102.58</v>
      </c>
      <c r="AQ116" s="91">
        <f t="shared" si="33"/>
        <v>2.20516</v>
      </c>
      <c r="AR116" s="92">
        <f t="shared" si="34"/>
        <v>0</v>
      </c>
      <c r="AS116" s="67">
        <f t="shared" si="35"/>
        <v>1.10258</v>
      </c>
      <c r="AT116" s="75">
        <v>0</v>
      </c>
      <c r="AU116" s="67">
        <f t="shared" si="36"/>
        <v>0.380983843733333</v>
      </c>
      <c r="AV116" s="71">
        <f t="shared" si="37"/>
        <v>0.945068571428571</v>
      </c>
      <c r="AW116" s="71"/>
      <c r="AX116" s="67"/>
      <c r="AY116" s="67">
        <f t="shared" si="38"/>
        <v>0.04671375808</v>
      </c>
      <c r="AZ116" s="67"/>
      <c r="BA116" s="67">
        <f t="shared" si="39"/>
        <v>1.3260524151619</v>
      </c>
      <c r="BB116" s="75"/>
    </row>
    <row r="117" s="51" customFormat="1" ht="13.5" customHeight="1" spans="1:60">
      <c r="A117" s="68">
        <v>112</v>
      </c>
      <c r="B117" s="69" t="s">
        <v>80</v>
      </c>
      <c r="C117" s="69" t="s">
        <v>80</v>
      </c>
      <c r="D117" s="69" t="s">
        <v>143</v>
      </c>
      <c r="E117" s="69" t="s">
        <v>90</v>
      </c>
      <c r="F117" s="70">
        <v>108.12</v>
      </c>
      <c r="G117" s="71">
        <f t="shared" si="20"/>
        <v>61.8288639937107</v>
      </c>
      <c r="H117" s="71">
        <f t="shared" si="21"/>
        <v>6684.936775</v>
      </c>
      <c r="I117" s="78">
        <v>1</v>
      </c>
      <c r="J117" s="78">
        <v>3</v>
      </c>
      <c r="K117" s="79">
        <f t="shared" si="22"/>
        <v>4384.267163</v>
      </c>
      <c r="L117" s="79">
        <f t="shared" si="23"/>
        <v>3575.797391</v>
      </c>
      <c r="M117" s="78">
        <v>2</v>
      </c>
      <c r="N117" s="80">
        <v>0</v>
      </c>
      <c r="O117" s="78">
        <v>0</v>
      </c>
      <c r="P117" s="71">
        <f t="shared" si="24"/>
        <v>216.24</v>
      </c>
      <c r="Q117" s="80">
        <v>2949.389612</v>
      </c>
      <c r="R117" s="71">
        <f t="shared" si="25"/>
        <v>648.72</v>
      </c>
      <c r="S117" s="71">
        <v>0</v>
      </c>
      <c r="T117" s="79">
        <f t="shared" si="26"/>
        <v>1579.976706</v>
      </c>
      <c r="U117" s="79"/>
      <c r="V117" s="80">
        <v>0</v>
      </c>
      <c r="W117" s="78">
        <v>0</v>
      </c>
      <c r="X117" s="79"/>
      <c r="Y117" s="80">
        <v>472.176142</v>
      </c>
      <c r="Z117" s="80">
        <v>0</v>
      </c>
      <c r="AA117" s="71">
        <f t="shared" si="27"/>
        <v>0</v>
      </c>
      <c r="AB117" s="80">
        <v>79.874886</v>
      </c>
      <c r="AC117" s="71">
        <f t="shared" si="28"/>
        <v>159.749772</v>
      </c>
      <c r="AD117" s="80">
        <v>0</v>
      </c>
      <c r="AE117" s="71">
        <f t="shared" si="29"/>
        <v>0</v>
      </c>
      <c r="AF117" s="83">
        <v>0</v>
      </c>
      <c r="AG117" s="71">
        <f t="shared" si="30"/>
        <v>0</v>
      </c>
      <c r="AH117" s="80">
        <v>0</v>
      </c>
      <c r="AI117" s="71">
        <f t="shared" si="31"/>
        <v>0</v>
      </c>
      <c r="AJ117" s="80">
        <v>1107.800564</v>
      </c>
      <c r="AK117" s="80">
        <v>0</v>
      </c>
      <c r="AL117" s="80">
        <v>0</v>
      </c>
      <c r="AM117" s="80">
        <v>41.528869</v>
      </c>
      <c r="AN117" s="80">
        <v>0</v>
      </c>
      <c r="AO117" s="80">
        <v>1954.291816</v>
      </c>
      <c r="AP117" s="71">
        <f t="shared" si="32"/>
        <v>216.24</v>
      </c>
      <c r="AQ117" s="93">
        <f t="shared" si="33"/>
        <v>0.43248</v>
      </c>
      <c r="AR117" s="94">
        <f t="shared" si="34"/>
        <v>0</v>
      </c>
      <c r="AS117" s="71">
        <f t="shared" si="35"/>
        <v>0.21624</v>
      </c>
      <c r="AT117" s="78">
        <v>0</v>
      </c>
      <c r="AU117" s="71">
        <f t="shared" si="36"/>
        <v>0.2106635608</v>
      </c>
      <c r="AV117" s="71">
        <f t="shared" si="37"/>
        <v>0.185348571428571</v>
      </c>
      <c r="AW117" s="96">
        <v>1</v>
      </c>
      <c r="AX117" s="71"/>
      <c r="AY117" s="71">
        <f t="shared" si="38"/>
        <v>0.1596656548</v>
      </c>
      <c r="AZ117" s="71"/>
      <c r="BA117" s="67">
        <f t="shared" si="39"/>
        <v>1.39601213222857</v>
      </c>
      <c r="BB117" s="78"/>
      <c r="BH117" s="99"/>
    </row>
    <row r="118" s="51" customFormat="1" ht="13.5" customHeight="1" spans="1:60">
      <c r="A118" s="68">
        <v>113</v>
      </c>
      <c r="B118" s="69" t="s">
        <v>80</v>
      </c>
      <c r="C118" s="69" t="s">
        <v>80</v>
      </c>
      <c r="D118" s="69" t="s">
        <v>205</v>
      </c>
      <c r="E118" s="69" t="s">
        <v>143</v>
      </c>
      <c r="F118" s="70">
        <v>1447.83</v>
      </c>
      <c r="G118" s="71">
        <f t="shared" si="20"/>
        <v>50.8718700986994</v>
      </c>
      <c r="H118" s="71">
        <f t="shared" si="21"/>
        <v>73653.819685</v>
      </c>
      <c r="I118" s="78">
        <v>1</v>
      </c>
      <c r="J118" s="78">
        <v>2</v>
      </c>
      <c r="K118" s="79">
        <f t="shared" si="22"/>
        <v>53351.005255</v>
      </c>
      <c r="L118" s="79">
        <f t="shared" si="23"/>
        <v>44518.800619</v>
      </c>
      <c r="M118" s="78">
        <v>2</v>
      </c>
      <c r="N118" s="80">
        <v>0</v>
      </c>
      <c r="O118" s="78">
        <v>0</v>
      </c>
      <c r="P118" s="71">
        <f t="shared" si="24"/>
        <v>2895.66</v>
      </c>
      <c r="Q118" s="80">
        <v>28989.79443</v>
      </c>
      <c r="R118" s="71">
        <f t="shared" si="25"/>
        <v>8686.98</v>
      </c>
      <c r="S118" s="71">
        <v>0</v>
      </c>
      <c r="T118" s="79">
        <f t="shared" si="26"/>
        <v>15411.574132</v>
      </c>
      <c r="U118" s="79"/>
      <c r="V118" s="80">
        <v>5627.638364</v>
      </c>
      <c r="W118" s="78">
        <v>1</v>
      </c>
      <c r="X118" s="79"/>
      <c r="Y118" s="80">
        <v>6513.817409</v>
      </c>
      <c r="Z118" s="80">
        <v>0</v>
      </c>
      <c r="AA118" s="71">
        <f t="shared" si="27"/>
        <v>0</v>
      </c>
      <c r="AB118" s="80">
        <v>72.612318</v>
      </c>
      <c r="AC118" s="71">
        <f t="shared" si="28"/>
        <v>145.224636</v>
      </c>
      <c r="AD118" s="80">
        <v>1429.325943</v>
      </c>
      <c r="AE118" s="71">
        <f t="shared" si="29"/>
        <v>2858.651886</v>
      </c>
      <c r="AF118" s="83">
        <v>0</v>
      </c>
      <c r="AG118" s="71">
        <f t="shared" si="30"/>
        <v>0</v>
      </c>
      <c r="AH118" s="80">
        <v>0</v>
      </c>
      <c r="AI118" s="71">
        <f t="shared" si="31"/>
        <v>0</v>
      </c>
      <c r="AJ118" s="80">
        <v>3270.118359</v>
      </c>
      <c r="AK118" s="80">
        <v>0</v>
      </c>
      <c r="AL118" s="80">
        <v>0</v>
      </c>
      <c r="AM118" s="80">
        <v>2537.283674</v>
      </c>
      <c r="AN118" s="80">
        <v>0</v>
      </c>
      <c r="AO118" s="80">
        <v>23711.290927</v>
      </c>
      <c r="AP118" s="71">
        <f t="shared" si="32"/>
        <v>2895.66</v>
      </c>
      <c r="AQ118" s="93">
        <f t="shared" si="33"/>
        <v>0</v>
      </c>
      <c r="AR118" s="94">
        <f t="shared" si="34"/>
        <v>5.79132</v>
      </c>
      <c r="AS118" s="71">
        <f t="shared" si="35"/>
        <v>4.34349</v>
      </c>
      <c r="AT118" s="78">
        <v>0</v>
      </c>
      <c r="AU118" s="71">
        <f t="shared" si="36"/>
        <v>2.37101140492308</v>
      </c>
      <c r="AV118" s="71">
        <f t="shared" si="37"/>
        <v>3.474792</v>
      </c>
      <c r="AW118" s="97"/>
      <c r="AX118" s="71"/>
      <c r="AY118" s="71">
        <f t="shared" si="38"/>
        <v>2.09988596808</v>
      </c>
      <c r="AZ118" s="71"/>
      <c r="BA118" s="67">
        <f t="shared" si="39"/>
        <v>5.84580340492308</v>
      </c>
      <c r="BB118" s="78"/>
      <c r="BH118" s="99"/>
    </row>
    <row r="119" s="51" customFormat="1" ht="13.5" customHeight="1" spans="1:60">
      <c r="A119" s="68">
        <v>114</v>
      </c>
      <c r="B119" s="69" t="s">
        <v>80</v>
      </c>
      <c r="C119" s="69" t="s">
        <v>80</v>
      </c>
      <c r="D119" s="69" t="s">
        <v>91</v>
      </c>
      <c r="E119" s="69" t="s">
        <v>92</v>
      </c>
      <c r="F119" s="70">
        <v>424.19</v>
      </c>
      <c r="G119" s="71">
        <f t="shared" si="20"/>
        <v>28.4950961833141</v>
      </c>
      <c r="H119" s="71">
        <f t="shared" si="21"/>
        <v>12087.33485</v>
      </c>
      <c r="I119" s="78">
        <v>1</v>
      </c>
      <c r="J119" s="78">
        <v>3</v>
      </c>
      <c r="K119" s="79">
        <f t="shared" si="22"/>
        <v>10814.348947</v>
      </c>
      <c r="L119" s="79">
        <f t="shared" si="23"/>
        <v>8203.740855</v>
      </c>
      <c r="M119" s="78">
        <v>2</v>
      </c>
      <c r="N119" s="80">
        <v>0</v>
      </c>
      <c r="O119" s="78">
        <v>0</v>
      </c>
      <c r="P119" s="71">
        <f t="shared" si="24"/>
        <v>848.38</v>
      </c>
      <c r="Q119" s="80">
        <v>3818.125903</v>
      </c>
      <c r="R119" s="71">
        <f t="shared" si="25"/>
        <v>2545.14</v>
      </c>
      <c r="S119" s="71">
        <v>0</v>
      </c>
      <c r="T119" s="79">
        <f t="shared" si="26"/>
        <v>5114.756028</v>
      </c>
      <c r="U119" s="79"/>
      <c r="V119" s="80">
        <v>1634.784069</v>
      </c>
      <c r="W119" s="78">
        <v>0</v>
      </c>
      <c r="X119" s="79"/>
      <c r="Y119" s="80">
        <v>394.958993</v>
      </c>
      <c r="Z119" s="80">
        <v>0</v>
      </c>
      <c r="AA119" s="71">
        <f t="shared" si="27"/>
        <v>0</v>
      </c>
      <c r="AB119" s="80">
        <v>32.734046</v>
      </c>
      <c r="AC119" s="71">
        <f t="shared" si="28"/>
        <v>65.468092</v>
      </c>
      <c r="AD119" s="80">
        <v>338.209794</v>
      </c>
      <c r="AE119" s="71">
        <f t="shared" si="29"/>
        <v>676.419588</v>
      </c>
      <c r="AF119" s="83">
        <v>0</v>
      </c>
      <c r="AG119" s="71">
        <f t="shared" si="30"/>
        <v>0</v>
      </c>
      <c r="AH119" s="80">
        <v>0</v>
      </c>
      <c r="AI119" s="71">
        <f t="shared" si="31"/>
        <v>0</v>
      </c>
      <c r="AJ119" s="80">
        <v>3085.012966</v>
      </c>
      <c r="AK119" s="80">
        <v>0</v>
      </c>
      <c r="AL119" s="80">
        <v>0</v>
      </c>
      <c r="AM119" s="80">
        <v>0</v>
      </c>
      <c r="AN119" s="80">
        <v>0</v>
      </c>
      <c r="AO119" s="80">
        <v>2412.565239</v>
      </c>
      <c r="AP119" s="71">
        <f t="shared" si="32"/>
        <v>848.38</v>
      </c>
      <c r="AQ119" s="93">
        <f t="shared" si="33"/>
        <v>1.69676</v>
      </c>
      <c r="AR119" s="94">
        <f t="shared" si="34"/>
        <v>0</v>
      </c>
      <c r="AS119" s="71">
        <f t="shared" si="35"/>
        <v>0.84838</v>
      </c>
      <c r="AT119" s="78">
        <v>0</v>
      </c>
      <c r="AU119" s="71">
        <f t="shared" si="36"/>
        <v>0.6819674704</v>
      </c>
      <c r="AV119" s="71">
        <f t="shared" si="37"/>
        <v>0.727182857142857</v>
      </c>
      <c r="AW119" s="98"/>
      <c r="AX119" s="71"/>
      <c r="AY119" s="71">
        <f t="shared" si="38"/>
        <v>0.19300521912</v>
      </c>
      <c r="AZ119" s="71"/>
      <c r="BA119" s="67">
        <f t="shared" si="39"/>
        <v>1.40915032754286</v>
      </c>
      <c r="BB119" s="78"/>
      <c r="BH119" s="99"/>
    </row>
    <row r="120" spans="1:54">
      <c r="A120" s="64">
        <v>115</v>
      </c>
      <c r="B120" s="65" t="s">
        <v>206</v>
      </c>
      <c r="C120" s="65" t="s">
        <v>206</v>
      </c>
      <c r="D120" s="65" t="s">
        <v>80</v>
      </c>
      <c r="E120" s="65" t="s">
        <v>80</v>
      </c>
      <c r="F120" s="66">
        <v>417.57</v>
      </c>
      <c r="G120" s="67">
        <f t="shared" si="20"/>
        <v>15.4756037981656</v>
      </c>
      <c r="H120" s="67">
        <f t="shared" si="21"/>
        <v>6462.147878</v>
      </c>
      <c r="I120" s="75">
        <v>3</v>
      </c>
      <c r="J120" s="75">
        <v>3</v>
      </c>
      <c r="K120" s="76">
        <f t="shared" si="22"/>
        <v>6279.990536</v>
      </c>
      <c r="L120" s="76">
        <f t="shared" si="23"/>
        <v>3709.7467</v>
      </c>
      <c r="M120" s="75">
        <v>2</v>
      </c>
      <c r="N120" s="77">
        <v>0</v>
      </c>
      <c r="O120" s="75">
        <v>0</v>
      </c>
      <c r="P120" s="67">
        <f t="shared" si="24"/>
        <v>835.14</v>
      </c>
      <c r="Q120" s="77">
        <v>2687.577342</v>
      </c>
      <c r="R120" s="67">
        <f t="shared" si="25"/>
        <v>2505.42</v>
      </c>
      <c r="S120" s="67">
        <v>0</v>
      </c>
      <c r="T120" s="76">
        <f t="shared" si="26"/>
        <v>2291.10074</v>
      </c>
      <c r="U120" s="76"/>
      <c r="V120" s="77">
        <v>0</v>
      </c>
      <c r="W120" s="75">
        <v>0</v>
      </c>
      <c r="X120" s="76"/>
      <c r="Y120" s="77">
        <v>0</v>
      </c>
      <c r="Z120" s="77">
        <v>0</v>
      </c>
      <c r="AA120" s="67">
        <f t="shared" si="27"/>
        <v>0</v>
      </c>
      <c r="AB120" s="77">
        <v>32.411918</v>
      </c>
      <c r="AC120" s="67">
        <f t="shared" si="28"/>
        <v>64.823836</v>
      </c>
      <c r="AD120" s="77">
        <v>0</v>
      </c>
      <c r="AE120" s="67">
        <f t="shared" si="29"/>
        <v>0</v>
      </c>
      <c r="AF120" s="82">
        <v>0</v>
      </c>
      <c r="AG120" s="67">
        <f t="shared" si="30"/>
        <v>0</v>
      </c>
      <c r="AH120" s="77">
        <v>0</v>
      </c>
      <c r="AI120" s="67">
        <f t="shared" si="31"/>
        <v>0</v>
      </c>
      <c r="AJ120" s="77">
        <v>2291.10074</v>
      </c>
      <c r="AK120" s="77">
        <v>0</v>
      </c>
      <c r="AL120" s="77">
        <v>0</v>
      </c>
      <c r="AM120" s="77">
        <v>0</v>
      </c>
      <c r="AN120" s="77">
        <v>0</v>
      </c>
      <c r="AO120" s="77">
        <v>1418.64596</v>
      </c>
      <c r="AP120" s="67">
        <f t="shared" si="32"/>
        <v>835.14</v>
      </c>
      <c r="AQ120" s="91">
        <f t="shared" si="33"/>
        <v>1.67028</v>
      </c>
      <c r="AR120" s="92">
        <f t="shared" si="34"/>
        <v>0</v>
      </c>
      <c r="AS120" s="67">
        <f t="shared" si="35"/>
        <v>0.83514</v>
      </c>
      <c r="AT120" s="75">
        <v>0</v>
      </c>
      <c r="AU120" s="67">
        <f t="shared" si="36"/>
        <v>0.305480098666667</v>
      </c>
      <c r="AV120" s="71">
        <f t="shared" si="37"/>
        <v>0.715834285714286</v>
      </c>
      <c r="AW120" s="71"/>
      <c r="AX120" s="67"/>
      <c r="AY120" s="67">
        <f t="shared" si="38"/>
        <v>0.1134916768</v>
      </c>
      <c r="AZ120" s="67"/>
      <c r="BA120" s="67">
        <f t="shared" si="39"/>
        <v>1.02131438438095</v>
      </c>
      <c r="BB120" s="75"/>
    </row>
    <row r="121" spans="1:54">
      <c r="A121" s="64">
        <v>116</v>
      </c>
      <c r="B121" s="65" t="s">
        <v>169</v>
      </c>
      <c r="C121" s="65" t="s">
        <v>169</v>
      </c>
      <c r="D121" s="65" t="s">
        <v>166</v>
      </c>
      <c r="E121" s="65" t="s">
        <v>80</v>
      </c>
      <c r="F121" s="66">
        <v>576.48</v>
      </c>
      <c r="G121" s="67">
        <f t="shared" si="20"/>
        <v>18.1323065622398</v>
      </c>
      <c r="H121" s="67">
        <f t="shared" si="21"/>
        <v>10452.912087</v>
      </c>
      <c r="I121" s="75">
        <v>2</v>
      </c>
      <c r="J121" s="78">
        <v>3</v>
      </c>
      <c r="K121" s="76">
        <f t="shared" si="22"/>
        <v>3458.88</v>
      </c>
      <c r="L121" s="76">
        <f t="shared" si="23"/>
        <v>0</v>
      </c>
      <c r="M121" s="75">
        <v>0</v>
      </c>
      <c r="N121" s="77">
        <v>0</v>
      </c>
      <c r="O121" s="75">
        <v>0</v>
      </c>
      <c r="P121" s="67">
        <f t="shared" si="24"/>
        <v>1152.96</v>
      </c>
      <c r="Q121" s="77">
        <v>10452.912087</v>
      </c>
      <c r="R121" s="67">
        <f t="shared" si="25"/>
        <v>3458.88</v>
      </c>
      <c r="S121" s="67">
        <v>0</v>
      </c>
      <c r="T121" s="76">
        <f t="shared" si="26"/>
        <v>0</v>
      </c>
      <c r="U121" s="76"/>
      <c r="V121" s="77">
        <v>0</v>
      </c>
      <c r="W121" s="75">
        <v>0</v>
      </c>
      <c r="X121" s="76"/>
      <c r="Y121" s="77">
        <v>0</v>
      </c>
      <c r="Z121" s="77">
        <v>0</v>
      </c>
      <c r="AA121" s="67">
        <f t="shared" si="27"/>
        <v>0</v>
      </c>
      <c r="AB121" s="77">
        <v>0</v>
      </c>
      <c r="AC121" s="67">
        <f t="shared" si="28"/>
        <v>0</v>
      </c>
      <c r="AD121" s="77">
        <v>0</v>
      </c>
      <c r="AE121" s="67">
        <f t="shared" si="29"/>
        <v>0</v>
      </c>
      <c r="AF121" s="82">
        <v>0</v>
      </c>
      <c r="AG121" s="67">
        <f t="shared" si="30"/>
        <v>0</v>
      </c>
      <c r="AH121" s="77">
        <v>0</v>
      </c>
      <c r="AI121" s="67">
        <f t="shared" si="31"/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  <c r="AO121" s="77">
        <v>0</v>
      </c>
      <c r="AP121" s="67">
        <f t="shared" si="32"/>
        <v>1152.96</v>
      </c>
      <c r="AQ121" s="91">
        <f t="shared" si="33"/>
        <v>2.30592</v>
      </c>
      <c r="AR121" s="92">
        <f t="shared" si="34"/>
        <v>0</v>
      </c>
      <c r="AS121" s="67">
        <f t="shared" si="35"/>
        <v>1.15296</v>
      </c>
      <c r="AT121" s="75">
        <v>0</v>
      </c>
      <c r="AU121" s="67">
        <f t="shared" si="36"/>
        <v>0</v>
      </c>
      <c r="AV121" s="71">
        <f t="shared" si="37"/>
        <v>0.988251428571429</v>
      </c>
      <c r="AW121" s="71"/>
      <c r="AX121" s="67"/>
      <c r="AY121" s="67">
        <f t="shared" si="38"/>
        <v>0</v>
      </c>
      <c r="AZ121" s="67"/>
      <c r="BA121" s="67">
        <f t="shared" si="39"/>
        <v>0.988251428571429</v>
      </c>
      <c r="BB121" s="75" t="s">
        <v>649</v>
      </c>
    </row>
    <row r="122" s="52" customFormat="1" ht="13.5" customHeight="1" spans="1:60">
      <c r="A122" s="64">
        <v>117</v>
      </c>
      <c r="B122" s="65" t="s">
        <v>207</v>
      </c>
      <c r="C122" s="65" t="s">
        <v>207</v>
      </c>
      <c r="D122" s="65" t="s">
        <v>114</v>
      </c>
      <c r="E122" s="65" t="s">
        <v>80</v>
      </c>
      <c r="F122" s="66">
        <v>552.13</v>
      </c>
      <c r="G122" s="67">
        <f t="shared" si="20"/>
        <v>4.75342849691196</v>
      </c>
      <c r="H122" s="67">
        <f t="shared" si="21"/>
        <v>2624.510476</v>
      </c>
      <c r="I122" s="75">
        <v>2</v>
      </c>
      <c r="J122" s="78">
        <v>3</v>
      </c>
      <c r="K122" s="76">
        <f t="shared" si="22"/>
        <v>3359.179592</v>
      </c>
      <c r="L122" s="76">
        <f t="shared" si="23"/>
        <v>46.399592</v>
      </c>
      <c r="M122" s="75">
        <v>0</v>
      </c>
      <c r="N122" s="77">
        <v>0</v>
      </c>
      <c r="O122" s="75">
        <v>0</v>
      </c>
      <c r="P122" s="67">
        <f t="shared" si="24"/>
        <v>1104.26</v>
      </c>
      <c r="Q122" s="77">
        <v>2578.110884</v>
      </c>
      <c r="R122" s="67">
        <f t="shared" si="25"/>
        <v>3312.78</v>
      </c>
      <c r="S122" s="67">
        <v>0</v>
      </c>
      <c r="T122" s="76">
        <f t="shared" si="26"/>
        <v>46.399592</v>
      </c>
      <c r="U122" s="76"/>
      <c r="V122" s="77">
        <v>0</v>
      </c>
      <c r="W122" s="75">
        <v>0</v>
      </c>
      <c r="X122" s="76"/>
      <c r="Y122" s="77">
        <v>0</v>
      </c>
      <c r="Z122" s="77">
        <v>0</v>
      </c>
      <c r="AA122" s="67">
        <f t="shared" si="27"/>
        <v>0</v>
      </c>
      <c r="AB122" s="77">
        <v>0</v>
      </c>
      <c r="AC122" s="67">
        <f t="shared" si="28"/>
        <v>0</v>
      </c>
      <c r="AD122" s="77">
        <v>0</v>
      </c>
      <c r="AE122" s="67">
        <f t="shared" si="29"/>
        <v>0</v>
      </c>
      <c r="AF122" s="82">
        <v>0</v>
      </c>
      <c r="AG122" s="67">
        <f t="shared" si="30"/>
        <v>0</v>
      </c>
      <c r="AH122" s="77">
        <v>0</v>
      </c>
      <c r="AI122" s="67">
        <f t="shared" si="31"/>
        <v>0</v>
      </c>
      <c r="AJ122" s="77">
        <v>46.399592</v>
      </c>
      <c r="AK122" s="77">
        <v>0</v>
      </c>
      <c r="AL122" s="77">
        <v>0</v>
      </c>
      <c r="AM122" s="77">
        <v>0</v>
      </c>
      <c r="AN122" s="77">
        <v>0</v>
      </c>
      <c r="AO122" s="77">
        <v>0</v>
      </c>
      <c r="AP122" s="67">
        <f t="shared" si="32"/>
        <v>1104.26</v>
      </c>
      <c r="AQ122" s="91">
        <f t="shared" si="33"/>
        <v>2.20852</v>
      </c>
      <c r="AR122" s="92">
        <f t="shared" si="34"/>
        <v>0</v>
      </c>
      <c r="AS122" s="67">
        <f t="shared" si="35"/>
        <v>1.10426</v>
      </c>
      <c r="AT122" s="75">
        <v>0</v>
      </c>
      <c r="AU122" s="67">
        <f t="shared" si="36"/>
        <v>0.00618661226666667</v>
      </c>
      <c r="AV122" s="71">
        <f t="shared" si="37"/>
        <v>0.946508571428571</v>
      </c>
      <c r="AW122" s="71"/>
      <c r="AX122" s="67"/>
      <c r="AY122" s="67">
        <f t="shared" si="38"/>
        <v>0</v>
      </c>
      <c r="AZ122" s="67"/>
      <c r="BA122" s="67">
        <f t="shared" si="39"/>
        <v>0.952695183695238</v>
      </c>
      <c r="BB122" s="75" t="s">
        <v>649</v>
      </c>
      <c r="BH122" s="102"/>
    </row>
    <row r="123" s="52" customFormat="1" ht="13.5" customHeight="1" spans="1:60">
      <c r="A123" s="64">
        <v>118</v>
      </c>
      <c r="B123" s="65" t="s">
        <v>202</v>
      </c>
      <c r="C123" s="65" t="s">
        <v>202</v>
      </c>
      <c r="D123" s="65" t="s">
        <v>176</v>
      </c>
      <c r="E123" s="65" t="s">
        <v>80</v>
      </c>
      <c r="F123" s="66">
        <v>489.2</v>
      </c>
      <c r="G123" s="67">
        <f t="shared" si="20"/>
        <v>14.7194193969747</v>
      </c>
      <c r="H123" s="67">
        <f t="shared" si="21"/>
        <v>7200.739969</v>
      </c>
      <c r="I123" s="75">
        <v>3</v>
      </c>
      <c r="J123" s="75">
        <v>3</v>
      </c>
      <c r="K123" s="76">
        <f t="shared" si="22"/>
        <v>6577.447446</v>
      </c>
      <c r="L123" s="76">
        <f t="shared" si="23"/>
        <v>3642.247446</v>
      </c>
      <c r="M123" s="75">
        <v>0</v>
      </c>
      <c r="N123" s="77">
        <v>0</v>
      </c>
      <c r="O123" s="75">
        <v>0</v>
      </c>
      <c r="P123" s="67">
        <f t="shared" si="24"/>
        <v>978.4</v>
      </c>
      <c r="Q123" s="77">
        <v>3558.492523</v>
      </c>
      <c r="R123" s="67">
        <f t="shared" si="25"/>
        <v>2935.2</v>
      </c>
      <c r="S123" s="67">
        <v>0</v>
      </c>
      <c r="T123" s="76">
        <f t="shared" si="26"/>
        <v>2461.603591</v>
      </c>
      <c r="U123" s="76"/>
      <c r="V123" s="77">
        <v>0</v>
      </c>
      <c r="W123" s="75">
        <v>0</v>
      </c>
      <c r="X123" s="76"/>
      <c r="Y123" s="77">
        <v>1503.032564</v>
      </c>
      <c r="Z123" s="77">
        <v>0</v>
      </c>
      <c r="AA123" s="67">
        <f t="shared" si="27"/>
        <v>0</v>
      </c>
      <c r="AB123" s="77">
        <v>0</v>
      </c>
      <c r="AC123" s="67">
        <f t="shared" si="28"/>
        <v>0</v>
      </c>
      <c r="AD123" s="77">
        <v>0</v>
      </c>
      <c r="AE123" s="67">
        <f t="shared" si="29"/>
        <v>0</v>
      </c>
      <c r="AF123" s="82">
        <v>0</v>
      </c>
      <c r="AG123" s="67">
        <f t="shared" si="30"/>
        <v>0</v>
      </c>
      <c r="AH123" s="77">
        <v>0</v>
      </c>
      <c r="AI123" s="67">
        <f t="shared" si="31"/>
        <v>0</v>
      </c>
      <c r="AJ123" s="77">
        <v>958.571027</v>
      </c>
      <c r="AK123" s="77">
        <v>0</v>
      </c>
      <c r="AL123" s="77">
        <v>0</v>
      </c>
      <c r="AM123" s="77">
        <v>0</v>
      </c>
      <c r="AN123" s="77">
        <v>0</v>
      </c>
      <c r="AO123" s="77">
        <v>1180.643855</v>
      </c>
      <c r="AP123" s="67">
        <f t="shared" si="32"/>
        <v>978.4</v>
      </c>
      <c r="AQ123" s="91">
        <f t="shared" si="33"/>
        <v>1.9568</v>
      </c>
      <c r="AR123" s="92">
        <f t="shared" si="34"/>
        <v>0</v>
      </c>
      <c r="AS123" s="67">
        <f t="shared" si="35"/>
        <v>0.9784</v>
      </c>
      <c r="AT123" s="75">
        <v>0</v>
      </c>
      <c r="AU123" s="67">
        <f t="shared" si="36"/>
        <v>0.328213812133333</v>
      </c>
      <c r="AV123" s="71">
        <f t="shared" si="37"/>
        <v>0.838628571428571</v>
      </c>
      <c r="AW123" s="71"/>
      <c r="AX123" s="67"/>
      <c r="AY123" s="67">
        <f t="shared" si="38"/>
        <v>0.0944515084</v>
      </c>
      <c r="AZ123" s="67"/>
      <c r="BA123" s="67">
        <f t="shared" si="39"/>
        <v>1.1668423835619</v>
      </c>
      <c r="BB123" s="75"/>
      <c r="BH123" s="102"/>
    </row>
    <row r="124" spans="1:54">
      <c r="A124" s="64">
        <v>119</v>
      </c>
      <c r="B124" s="65" t="s">
        <v>208</v>
      </c>
      <c r="C124" s="65" t="s">
        <v>208</v>
      </c>
      <c r="D124" s="65" t="s">
        <v>144</v>
      </c>
      <c r="E124" s="65" t="s">
        <v>142</v>
      </c>
      <c r="F124" s="66">
        <v>198.58</v>
      </c>
      <c r="G124" s="67">
        <f t="shared" si="20"/>
        <v>26.8059394752744</v>
      </c>
      <c r="H124" s="67">
        <f t="shared" si="21"/>
        <v>5323.123461</v>
      </c>
      <c r="I124" s="75">
        <v>3</v>
      </c>
      <c r="J124" s="75">
        <v>3</v>
      </c>
      <c r="K124" s="76">
        <f t="shared" si="22"/>
        <v>4405.861825</v>
      </c>
      <c r="L124" s="76">
        <f t="shared" si="23"/>
        <v>3214.381825</v>
      </c>
      <c r="M124" s="75">
        <v>2</v>
      </c>
      <c r="N124" s="77">
        <v>0</v>
      </c>
      <c r="O124" s="75">
        <v>0</v>
      </c>
      <c r="P124" s="67">
        <f t="shared" si="24"/>
        <v>397.16</v>
      </c>
      <c r="Q124" s="77">
        <v>2108.741636</v>
      </c>
      <c r="R124" s="67">
        <f t="shared" si="25"/>
        <v>1191.48</v>
      </c>
      <c r="S124" s="67">
        <v>0</v>
      </c>
      <c r="T124" s="76">
        <f t="shared" si="26"/>
        <v>0</v>
      </c>
      <c r="U124" s="76"/>
      <c r="V124" s="77">
        <v>0</v>
      </c>
      <c r="W124" s="75">
        <v>0</v>
      </c>
      <c r="X124" s="76"/>
      <c r="Y124" s="77">
        <v>0</v>
      </c>
      <c r="Z124" s="77">
        <v>0</v>
      </c>
      <c r="AA124" s="67">
        <f t="shared" si="27"/>
        <v>0</v>
      </c>
      <c r="AB124" s="77">
        <v>0</v>
      </c>
      <c r="AC124" s="67">
        <f t="shared" si="28"/>
        <v>0</v>
      </c>
      <c r="AD124" s="77">
        <v>0</v>
      </c>
      <c r="AE124" s="67">
        <f t="shared" si="29"/>
        <v>0</v>
      </c>
      <c r="AF124" s="82">
        <v>0</v>
      </c>
      <c r="AG124" s="67">
        <f t="shared" si="30"/>
        <v>0</v>
      </c>
      <c r="AH124" s="77">
        <v>0</v>
      </c>
      <c r="AI124" s="67">
        <f t="shared" si="31"/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  <c r="AO124" s="77">
        <v>3214.381825</v>
      </c>
      <c r="AP124" s="67">
        <f t="shared" si="32"/>
        <v>397.16</v>
      </c>
      <c r="AQ124" s="91">
        <f t="shared" si="33"/>
        <v>0.79432</v>
      </c>
      <c r="AR124" s="92">
        <f t="shared" si="34"/>
        <v>0</v>
      </c>
      <c r="AS124" s="67">
        <f t="shared" si="35"/>
        <v>0.39716</v>
      </c>
      <c r="AT124" s="75">
        <v>0</v>
      </c>
      <c r="AU124" s="67">
        <f t="shared" si="36"/>
        <v>0</v>
      </c>
      <c r="AV124" s="71">
        <f t="shared" si="37"/>
        <v>0.340422857142857</v>
      </c>
      <c r="AW124" s="71"/>
      <c r="AX124" s="67"/>
      <c r="AY124" s="67">
        <f t="shared" si="38"/>
        <v>0.257150546</v>
      </c>
      <c r="AZ124" s="67"/>
      <c r="BA124" s="67">
        <f t="shared" si="39"/>
        <v>0.340422857142857</v>
      </c>
      <c r="BB124" s="75"/>
    </row>
    <row r="125" spans="1:54">
      <c r="A125" s="64">
        <v>120</v>
      </c>
      <c r="B125" s="65" t="s">
        <v>209</v>
      </c>
      <c r="C125" s="65" t="s">
        <v>209</v>
      </c>
      <c r="D125" s="65" t="s">
        <v>210</v>
      </c>
      <c r="E125" s="65" t="s">
        <v>92</v>
      </c>
      <c r="F125" s="66">
        <v>210.31</v>
      </c>
      <c r="G125" s="67">
        <f t="shared" si="20"/>
        <v>6.38470430792639</v>
      </c>
      <c r="H125" s="67">
        <f t="shared" si="21"/>
        <v>1342.767163</v>
      </c>
      <c r="I125" s="75">
        <v>3</v>
      </c>
      <c r="J125" s="75">
        <v>3</v>
      </c>
      <c r="K125" s="76">
        <f t="shared" si="22"/>
        <v>1261.86</v>
      </c>
      <c r="L125" s="76">
        <f t="shared" si="23"/>
        <v>0</v>
      </c>
      <c r="M125" s="75">
        <v>0</v>
      </c>
      <c r="N125" s="77">
        <v>0</v>
      </c>
      <c r="O125" s="75">
        <v>0</v>
      </c>
      <c r="P125" s="67">
        <f t="shared" si="24"/>
        <v>420.62</v>
      </c>
      <c r="Q125" s="77">
        <v>1342.767163</v>
      </c>
      <c r="R125" s="67">
        <f t="shared" si="25"/>
        <v>1261.86</v>
      </c>
      <c r="S125" s="67">
        <v>0</v>
      </c>
      <c r="T125" s="76">
        <f t="shared" si="26"/>
        <v>0</v>
      </c>
      <c r="U125" s="76"/>
      <c r="V125" s="77">
        <v>0</v>
      </c>
      <c r="W125" s="75">
        <v>0</v>
      </c>
      <c r="X125" s="76"/>
      <c r="Y125" s="77">
        <v>0</v>
      </c>
      <c r="Z125" s="77">
        <v>0</v>
      </c>
      <c r="AA125" s="67">
        <f t="shared" si="27"/>
        <v>0</v>
      </c>
      <c r="AB125" s="77">
        <v>0</v>
      </c>
      <c r="AC125" s="67">
        <f t="shared" si="28"/>
        <v>0</v>
      </c>
      <c r="AD125" s="77">
        <v>0</v>
      </c>
      <c r="AE125" s="67">
        <f t="shared" si="29"/>
        <v>0</v>
      </c>
      <c r="AF125" s="82">
        <v>0</v>
      </c>
      <c r="AG125" s="67">
        <f t="shared" si="30"/>
        <v>0</v>
      </c>
      <c r="AH125" s="77">
        <v>0</v>
      </c>
      <c r="AI125" s="67">
        <f t="shared" si="31"/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  <c r="AO125" s="77">
        <v>0</v>
      </c>
      <c r="AP125" s="67">
        <f t="shared" si="32"/>
        <v>420.62</v>
      </c>
      <c r="AQ125" s="91">
        <f t="shared" si="33"/>
        <v>0.84124</v>
      </c>
      <c r="AR125" s="92">
        <f t="shared" si="34"/>
        <v>0</v>
      </c>
      <c r="AS125" s="67">
        <f t="shared" si="35"/>
        <v>0.42062</v>
      </c>
      <c r="AT125" s="75">
        <v>0</v>
      </c>
      <c r="AU125" s="67">
        <f t="shared" si="36"/>
        <v>0</v>
      </c>
      <c r="AV125" s="71">
        <f t="shared" si="37"/>
        <v>0.360531428571429</v>
      </c>
      <c r="AW125" s="71"/>
      <c r="AX125" s="67"/>
      <c r="AY125" s="67">
        <f t="shared" si="38"/>
        <v>0</v>
      </c>
      <c r="AZ125" s="67"/>
      <c r="BA125" s="67">
        <f t="shared" si="39"/>
        <v>0.360531428571429</v>
      </c>
      <c r="BB125" s="75"/>
    </row>
    <row r="126" spans="1:54">
      <c r="A126" s="64">
        <v>121</v>
      </c>
      <c r="B126" s="65" t="s">
        <v>151</v>
      </c>
      <c r="C126" s="65" t="s">
        <v>151</v>
      </c>
      <c r="D126" s="65" t="s">
        <v>211</v>
      </c>
      <c r="E126" s="65" t="s">
        <v>206</v>
      </c>
      <c r="F126" s="66">
        <v>827.97</v>
      </c>
      <c r="G126" s="67">
        <f t="shared" si="20"/>
        <v>10.7542958078191</v>
      </c>
      <c r="H126" s="67">
        <f t="shared" si="21"/>
        <v>8904.2343</v>
      </c>
      <c r="I126" s="75">
        <v>3</v>
      </c>
      <c r="J126" s="75">
        <v>3</v>
      </c>
      <c r="K126" s="76">
        <f t="shared" si="22"/>
        <v>10469.605112</v>
      </c>
      <c r="L126" s="76">
        <f t="shared" si="23"/>
        <v>5501.785112</v>
      </c>
      <c r="M126" s="75">
        <v>0</v>
      </c>
      <c r="N126" s="77">
        <v>0</v>
      </c>
      <c r="O126" s="75">
        <v>0</v>
      </c>
      <c r="P126" s="67">
        <f t="shared" si="24"/>
        <v>1655.94</v>
      </c>
      <c r="Q126" s="77">
        <v>3402.449188</v>
      </c>
      <c r="R126" s="67">
        <f t="shared" si="25"/>
        <v>4967.82</v>
      </c>
      <c r="S126" s="67">
        <v>0</v>
      </c>
      <c r="T126" s="76">
        <f t="shared" si="26"/>
        <v>5482.876996</v>
      </c>
      <c r="U126" s="76"/>
      <c r="V126" s="77">
        <v>0</v>
      </c>
      <c r="W126" s="75">
        <v>0</v>
      </c>
      <c r="X126" s="76"/>
      <c r="Y126" s="77">
        <v>3984.764083</v>
      </c>
      <c r="Z126" s="77">
        <v>0</v>
      </c>
      <c r="AA126" s="67">
        <f t="shared" si="27"/>
        <v>0</v>
      </c>
      <c r="AB126" s="77">
        <v>0</v>
      </c>
      <c r="AC126" s="67">
        <f t="shared" si="28"/>
        <v>0</v>
      </c>
      <c r="AD126" s="77">
        <v>0</v>
      </c>
      <c r="AE126" s="67">
        <f t="shared" si="29"/>
        <v>0</v>
      </c>
      <c r="AF126" s="82">
        <v>0</v>
      </c>
      <c r="AG126" s="67">
        <f t="shared" si="30"/>
        <v>0</v>
      </c>
      <c r="AH126" s="77">
        <v>0</v>
      </c>
      <c r="AI126" s="67">
        <f t="shared" si="31"/>
        <v>0</v>
      </c>
      <c r="AJ126" s="77">
        <v>1498.112913</v>
      </c>
      <c r="AK126" s="77">
        <v>0</v>
      </c>
      <c r="AL126" s="77">
        <v>0</v>
      </c>
      <c r="AM126" s="77">
        <v>0</v>
      </c>
      <c r="AN126" s="77">
        <v>0</v>
      </c>
      <c r="AO126" s="77">
        <v>18.908116</v>
      </c>
      <c r="AP126" s="67">
        <f t="shared" si="32"/>
        <v>1655.94</v>
      </c>
      <c r="AQ126" s="91">
        <f t="shared" si="33"/>
        <v>3.31188</v>
      </c>
      <c r="AR126" s="92">
        <f t="shared" si="34"/>
        <v>0</v>
      </c>
      <c r="AS126" s="67">
        <f t="shared" si="35"/>
        <v>1.65594</v>
      </c>
      <c r="AT126" s="75">
        <v>0</v>
      </c>
      <c r="AU126" s="67">
        <f t="shared" si="36"/>
        <v>0.731050266133333</v>
      </c>
      <c r="AV126" s="71">
        <f t="shared" si="37"/>
        <v>1.41937714285714</v>
      </c>
      <c r="AW126" s="71"/>
      <c r="AX126" s="67"/>
      <c r="AY126" s="67">
        <f t="shared" si="38"/>
        <v>0.00151264928</v>
      </c>
      <c r="AZ126" s="67"/>
      <c r="BA126" s="67">
        <f t="shared" si="39"/>
        <v>2.15042740899048</v>
      </c>
      <c r="BB126" s="75"/>
    </row>
    <row r="127" spans="1:54">
      <c r="A127" s="64">
        <v>122</v>
      </c>
      <c r="B127" s="65" t="s">
        <v>212</v>
      </c>
      <c r="C127" s="65" t="s">
        <v>212</v>
      </c>
      <c r="D127" s="65" t="s">
        <v>148</v>
      </c>
      <c r="E127" s="65" t="s">
        <v>213</v>
      </c>
      <c r="F127" s="66">
        <v>310.5</v>
      </c>
      <c r="G127" s="67">
        <f t="shared" si="20"/>
        <v>6.0798107826087</v>
      </c>
      <c r="H127" s="67">
        <f t="shared" si="21"/>
        <v>1887.781248</v>
      </c>
      <c r="I127" s="75">
        <v>3</v>
      </c>
      <c r="J127" s="75">
        <v>3</v>
      </c>
      <c r="K127" s="76">
        <f t="shared" si="22"/>
        <v>2274.228612</v>
      </c>
      <c r="L127" s="76">
        <f t="shared" si="23"/>
        <v>411.228612</v>
      </c>
      <c r="M127" s="75">
        <v>0</v>
      </c>
      <c r="N127" s="77">
        <v>0</v>
      </c>
      <c r="O127" s="75">
        <v>0</v>
      </c>
      <c r="P127" s="67">
        <f t="shared" si="24"/>
        <v>621</v>
      </c>
      <c r="Q127" s="77">
        <v>1476.552636</v>
      </c>
      <c r="R127" s="67">
        <f t="shared" si="25"/>
        <v>1863</v>
      </c>
      <c r="S127" s="67">
        <v>0</v>
      </c>
      <c r="T127" s="76">
        <f t="shared" si="26"/>
        <v>23.080974</v>
      </c>
      <c r="U127" s="76"/>
      <c r="V127" s="77">
        <v>0</v>
      </c>
      <c r="W127" s="75">
        <v>0</v>
      </c>
      <c r="X127" s="76"/>
      <c r="Y127" s="77">
        <v>23.080974</v>
      </c>
      <c r="Z127" s="77">
        <v>0</v>
      </c>
      <c r="AA127" s="67">
        <f t="shared" si="27"/>
        <v>0</v>
      </c>
      <c r="AB127" s="77">
        <v>0</v>
      </c>
      <c r="AC127" s="67">
        <f t="shared" si="28"/>
        <v>0</v>
      </c>
      <c r="AD127" s="77">
        <v>0</v>
      </c>
      <c r="AE127" s="67">
        <f t="shared" si="29"/>
        <v>0</v>
      </c>
      <c r="AF127" s="82">
        <v>0</v>
      </c>
      <c r="AG127" s="67">
        <f t="shared" si="30"/>
        <v>0</v>
      </c>
      <c r="AH127" s="77">
        <v>0</v>
      </c>
      <c r="AI127" s="67">
        <f t="shared" si="31"/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  <c r="AO127" s="77">
        <v>388.147638</v>
      </c>
      <c r="AP127" s="67">
        <f t="shared" si="32"/>
        <v>621</v>
      </c>
      <c r="AQ127" s="91">
        <f t="shared" si="33"/>
        <v>1.242</v>
      </c>
      <c r="AR127" s="92">
        <f t="shared" si="34"/>
        <v>0</v>
      </c>
      <c r="AS127" s="67">
        <f t="shared" si="35"/>
        <v>0.621</v>
      </c>
      <c r="AT127" s="75">
        <v>0</v>
      </c>
      <c r="AU127" s="67">
        <f t="shared" si="36"/>
        <v>0.0030774632</v>
      </c>
      <c r="AV127" s="71">
        <f t="shared" si="37"/>
        <v>0.532285714285714</v>
      </c>
      <c r="AW127" s="71"/>
      <c r="AX127" s="67"/>
      <c r="AY127" s="67">
        <f t="shared" si="38"/>
        <v>0.03105181104</v>
      </c>
      <c r="AZ127" s="67"/>
      <c r="BA127" s="67">
        <f t="shared" si="39"/>
        <v>0.535363177485714</v>
      </c>
      <c r="BB127" s="75"/>
    </row>
    <row r="128" s="51" customFormat="1" ht="13.5" customHeight="1" spans="1:60">
      <c r="A128" s="68">
        <v>123</v>
      </c>
      <c r="B128" s="69" t="s">
        <v>90</v>
      </c>
      <c r="C128" s="69" t="s">
        <v>214</v>
      </c>
      <c r="D128" s="69"/>
      <c r="E128" s="69"/>
      <c r="F128" s="70">
        <v>34.72</v>
      </c>
      <c r="G128" s="71">
        <f t="shared" si="20"/>
        <v>22.7452194988479</v>
      </c>
      <c r="H128" s="71">
        <f t="shared" si="21"/>
        <v>789.714021</v>
      </c>
      <c r="I128" s="78">
        <v>3</v>
      </c>
      <c r="J128" s="78">
        <v>3</v>
      </c>
      <c r="K128" s="79">
        <f t="shared" si="22"/>
        <v>208.32</v>
      </c>
      <c r="L128" s="79">
        <f t="shared" si="23"/>
        <v>0</v>
      </c>
      <c r="M128" s="78">
        <v>0</v>
      </c>
      <c r="N128" s="80">
        <v>0</v>
      </c>
      <c r="O128" s="78">
        <v>0</v>
      </c>
      <c r="P128" s="71">
        <f t="shared" si="24"/>
        <v>69.44</v>
      </c>
      <c r="Q128" s="80">
        <v>789.714021</v>
      </c>
      <c r="R128" s="71">
        <f t="shared" si="25"/>
        <v>208.32</v>
      </c>
      <c r="S128" s="71">
        <v>0</v>
      </c>
      <c r="T128" s="79">
        <f t="shared" si="26"/>
        <v>0</v>
      </c>
      <c r="U128" s="79"/>
      <c r="V128" s="80">
        <v>0</v>
      </c>
      <c r="W128" s="78">
        <v>0</v>
      </c>
      <c r="X128" s="79"/>
      <c r="Y128" s="80">
        <v>0</v>
      </c>
      <c r="Z128" s="80">
        <v>0</v>
      </c>
      <c r="AA128" s="71">
        <f t="shared" si="27"/>
        <v>0</v>
      </c>
      <c r="AB128" s="80">
        <v>0</v>
      </c>
      <c r="AC128" s="71">
        <f t="shared" si="28"/>
        <v>0</v>
      </c>
      <c r="AD128" s="80">
        <v>0</v>
      </c>
      <c r="AE128" s="71">
        <f t="shared" si="29"/>
        <v>0</v>
      </c>
      <c r="AF128" s="83">
        <v>0</v>
      </c>
      <c r="AG128" s="71">
        <f t="shared" si="30"/>
        <v>0</v>
      </c>
      <c r="AH128" s="80">
        <v>0</v>
      </c>
      <c r="AI128" s="71">
        <f t="shared" si="31"/>
        <v>0</v>
      </c>
      <c r="AJ128" s="80">
        <v>0</v>
      </c>
      <c r="AK128" s="80">
        <v>0</v>
      </c>
      <c r="AL128" s="80">
        <v>0</v>
      </c>
      <c r="AM128" s="80">
        <v>0</v>
      </c>
      <c r="AN128" s="80">
        <v>0</v>
      </c>
      <c r="AO128" s="80">
        <v>0</v>
      </c>
      <c r="AP128" s="71">
        <f t="shared" si="32"/>
        <v>69.44</v>
      </c>
      <c r="AQ128" s="93">
        <f t="shared" si="33"/>
        <v>0.13888</v>
      </c>
      <c r="AR128" s="94">
        <f t="shared" si="34"/>
        <v>0</v>
      </c>
      <c r="AS128" s="71">
        <f t="shared" si="35"/>
        <v>0.06944</v>
      </c>
      <c r="AT128" s="78">
        <v>0</v>
      </c>
      <c r="AU128" s="71">
        <f t="shared" si="36"/>
        <v>0</v>
      </c>
      <c r="AV128" s="100">
        <f t="shared" si="37"/>
        <v>0.05952</v>
      </c>
      <c r="AW128" s="96">
        <v>1</v>
      </c>
      <c r="AX128" s="101"/>
      <c r="AY128" s="71">
        <f t="shared" si="38"/>
        <v>0</v>
      </c>
      <c r="AZ128" s="71"/>
      <c r="BA128" s="67">
        <f t="shared" si="39"/>
        <v>1.05952</v>
      </c>
      <c r="BB128" s="78"/>
      <c r="BH128" s="99"/>
    </row>
    <row r="129" s="51" customFormat="1" ht="13.5" customHeight="1" spans="1:60">
      <c r="A129" s="68">
        <v>124</v>
      </c>
      <c r="B129" s="69" t="s">
        <v>90</v>
      </c>
      <c r="C129" s="69" t="s">
        <v>90</v>
      </c>
      <c r="D129" s="69" t="s">
        <v>114</v>
      </c>
      <c r="E129" s="69" t="s">
        <v>86</v>
      </c>
      <c r="F129" s="70">
        <v>492.54</v>
      </c>
      <c r="G129" s="71">
        <f t="shared" si="20"/>
        <v>52.9629175072075</v>
      </c>
      <c r="H129" s="71">
        <f t="shared" si="21"/>
        <v>26086.355389</v>
      </c>
      <c r="I129" s="78">
        <v>3</v>
      </c>
      <c r="J129" s="78">
        <v>3</v>
      </c>
      <c r="K129" s="79">
        <f t="shared" si="22"/>
        <v>20815.853386</v>
      </c>
      <c r="L129" s="79">
        <f t="shared" si="23"/>
        <v>17860.613386</v>
      </c>
      <c r="M129" s="78">
        <v>2</v>
      </c>
      <c r="N129" s="80">
        <v>0</v>
      </c>
      <c r="O129" s="78">
        <v>0</v>
      </c>
      <c r="P129" s="71">
        <f t="shared" si="24"/>
        <v>985.08</v>
      </c>
      <c r="Q129" s="80">
        <v>8225.742003</v>
      </c>
      <c r="R129" s="71">
        <f t="shared" si="25"/>
        <v>2955.24</v>
      </c>
      <c r="S129" s="71">
        <v>0</v>
      </c>
      <c r="T129" s="79">
        <f t="shared" si="26"/>
        <v>2057.481772</v>
      </c>
      <c r="U129" s="79"/>
      <c r="V129" s="80">
        <v>0</v>
      </c>
      <c r="W129" s="78">
        <v>0</v>
      </c>
      <c r="X129" s="79"/>
      <c r="Y129" s="80">
        <v>0</v>
      </c>
      <c r="Z129" s="80">
        <v>0</v>
      </c>
      <c r="AA129" s="71">
        <f t="shared" si="27"/>
        <v>0</v>
      </c>
      <c r="AB129" s="80">
        <v>0</v>
      </c>
      <c r="AC129" s="71">
        <f t="shared" si="28"/>
        <v>0</v>
      </c>
      <c r="AD129" s="80">
        <v>0</v>
      </c>
      <c r="AE129" s="71">
        <f t="shared" si="29"/>
        <v>0</v>
      </c>
      <c r="AF129" s="83">
        <v>0</v>
      </c>
      <c r="AG129" s="71">
        <f t="shared" si="30"/>
        <v>0</v>
      </c>
      <c r="AH129" s="80">
        <v>210.853923</v>
      </c>
      <c r="AI129" s="71">
        <f t="shared" si="31"/>
        <v>421.707846</v>
      </c>
      <c r="AJ129" s="80">
        <v>55.353288</v>
      </c>
      <c r="AK129" s="80">
        <v>1580.420638</v>
      </c>
      <c r="AL129" s="80">
        <v>0</v>
      </c>
      <c r="AM129" s="80">
        <v>0</v>
      </c>
      <c r="AN129" s="80">
        <v>0</v>
      </c>
      <c r="AO129" s="80">
        <v>15803.131614</v>
      </c>
      <c r="AP129" s="71">
        <f t="shared" si="32"/>
        <v>985.08</v>
      </c>
      <c r="AQ129" s="93">
        <f t="shared" si="33"/>
        <v>1.97016</v>
      </c>
      <c r="AR129" s="94">
        <f t="shared" si="34"/>
        <v>0</v>
      </c>
      <c r="AS129" s="71">
        <f t="shared" si="35"/>
        <v>0.98508</v>
      </c>
      <c r="AT129" s="78">
        <v>0</v>
      </c>
      <c r="AU129" s="71">
        <f t="shared" si="36"/>
        <v>0.274330902933333</v>
      </c>
      <c r="AV129" s="100">
        <f t="shared" si="37"/>
        <v>0.844354285714286</v>
      </c>
      <c r="AW129" s="97"/>
      <c r="AX129" s="101"/>
      <c r="AY129" s="71">
        <f t="shared" si="38"/>
        <v>1.26425052912</v>
      </c>
      <c r="AZ129" s="71"/>
      <c r="BA129" s="67">
        <f t="shared" si="39"/>
        <v>1.11868518864762</v>
      </c>
      <c r="BB129" s="78"/>
      <c r="BH129" s="99"/>
    </row>
    <row r="130" s="51" customFormat="1" ht="13.5" customHeight="1" spans="1:60">
      <c r="A130" s="68">
        <v>125</v>
      </c>
      <c r="B130" s="69" t="s">
        <v>90</v>
      </c>
      <c r="C130" s="69" t="s">
        <v>90</v>
      </c>
      <c r="D130" s="69" t="s">
        <v>215</v>
      </c>
      <c r="E130" s="69" t="s">
        <v>114</v>
      </c>
      <c r="F130" s="70">
        <v>233.11</v>
      </c>
      <c r="G130" s="71">
        <f t="shared" si="20"/>
        <v>57.9218783406975</v>
      </c>
      <c r="H130" s="71">
        <f t="shared" si="21"/>
        <v>13502.16906</v>
      </c>
      <c r="I130" s="78">
        <v>3</v>
      </c>
      <c r="J130" s="78">
        <v>3</v>
      </c>
      <c r="K130" s="79">
        <f t="shared" si="22"/>
        <v>11460.519885</v>
      </c>
      <c r="L130" s="79">
        <f t="shared" si="23"/>
        <v>9962.191547</v>
      </c>
      <c r="M130" s="78">
        <v>2</v>
      </c>
      <c r="N130" s="80">
        <v>0</v>
      </c>
      <c r="O130" s="78">
        <v>0</v>
      </c>
      <c r="P130" s="71">
        <f t="shared" si="24"/>
        <v>466.22</v>
      </c>
      <c r="Q130" s="80">
        <v>3440.309175</v>
      </c>
      <c r="R130" s="71">
        <f t="shared" si="25"/>
        <v>1398.66</v>
      </c>
      <c r="S130" s="71">
        <v>0</v>
      </c>
      <c r="T130" s="79">
        <f t="shared" si="26"/>
        <v>1048.654778</v>
      </c>
      <c r="U130" s="79"/>
      <c r="V130" s="80">
        <v>618.884</v>
      </c>
      <c r="W130" s="78">
        <v>1</v>
      </c>
      <c r="X130" s="79"/>
      <c r="Y130" s="80">
        <v>364.650374</v>
      </c>
      <c r="Z130" s="80">
        <v>0</v>
      </c>
      <c r="AA130" s="71">
        <f t="shared" si="27"/>
        <v>0</v>
      </c>
      <c r="AB130" s="80">
        <v>49.834169</v>
      </c>
      <c r="AC130" s="71">
        <f t="shared" si="28"/>
        <v>99.668338</v>
      </c>
      <c r="AD130" s="80">
        <v>165.662872</v>
      </c>
      <c r="AE130" s="71">
        <f t="shared" si="29"/>
        <v>331.325744</v>
      </c>
      <c r="AF130" s="83">
        <v>0</v>
      </c>
      <c r="AG130" s="71">
        <f t="shared" si="30"/>
        <v>0</v>
      </c>
      <c r="AH130" s="80">
        <v>0</v>
      </c>
      <c r="AI130" s="71">
        <f t="shared" si="31"/>
        <v>0</v>
      </c>
      <c r="AJ130" s="80">
        <v>65.120404</v>
      </c>
      <c r="AK130" s="80">
        <v>0</v>
      </c>
      <c r="AL130" s="80">
        <v>0</v>
      </c>
      <c r="AM130" s="80">
        <v>0</v>
      </c>
      <c r="AN130" s="80">
        <v>0</v>
      </c>
      <c r="AO130" s="80">
        <v>8582.211025</v>
      </c>
      <c r="AP130" s="71">
        <f t="shared" si="32"/>
        <v>466.22</v>
      </c>
      <c r="AQ130" s="93">
        <f t="shared" si="33"/>
        <v>0.93244</v>
      </c>
      <c r="AR130" s="94">
        <f t="shared" si="34"/>
        <v>0</v>
      </c>
      <c r="AS130" s="71">
        <f t="shared" si="35"/>
        <v>0.46622</v>
      </c>
      <c r="AT130" s="78">
        <v>0</v>
      </c>
      <c r="AU130" s="71">
        <f t="shared" si="36"/>
        <v>0.139820637066667</v>
      </c>
      <c r="AV130" s="100">
        <f t="shared" si="37"/>
        <v>0.399617142857143</v>
      </c>
      <c r="AW130" s="98"/>
      <c r="AX130" s="101"/>
      <c r="AY130" s="71">
        <f t="shared" si="38"/>
        <v>0.686576882</v>
      </c>
      <c r="AZ130" s="71"/>
      <c r="BA130" s="67">
        <f t="shared" si="39"/>
        <v>0.539437779923809</v>
      </c>
      <c r="BB130" s="78"/>
      <c r="BH130" s="99"/>
    </row>
    <row r="131" s="51" customFormat="1" ht="13.5" customHeight="1" spans="1:60">
      <c r="A131" s="68">
        <v>126</v>
      </c>
      <c r="B131" s="69" t="s">
        <v>87</v>
      </c>
      <c r="C131" s="69" t="s">
        <v>216</v>
      </c>
      <c r="D131" s="69"/>
      <c r="E131" s="69"/>
      <c r="F131" s="70">
        <v>32.54</v>
      </c>
      <c r="G131" s="71">
        <f t="shared" si="20"/>
        <v>30.1181918869084</v>
      </c>
      <c r="H131" s="71">
        <f t="shared" si="21"/>
        <v>980.045964</v>
      </c>
      <c r="I131" s="78">
        <v>3</v>
      </c>
      <c r="J131" s="78">
        <v>3</v>
      </c>
      <c r="K131" s="79">
        <f t="shared" si="22"/>
        <v>195.24</v>
      </c>
      <c r="L131" s="79">
        <f t="shared" si="23"/>
        <v>0</v>
      </c>
      <c r="M131" s="78">
        <v>0</v>
      </c>
      <c r="N131" s="80">
        <v>0</v>
      </c>
      <c r="O131" s="78">
        <v>0</v>
      </c>
      <c r="P131" s="71">
        <f t="shared" si="24"/>
        <v>65.08</v>
      </c>
      <c r="Q131" s="80">
        <v>980.045964</v>
      </c>
      <c r="R131" s="71">
        <f t="shared" si="25"/>
        <v>195.24</v>
      </c>
      <c r="S131" s="71">
        <v>0</v>
      </c>
      <c r="T131" s="79">
        <f t="shared" si="26"/>
        <v>0</v>
      </c>
      <c r="U131" s="79"/>
      <c r="V131" s="80">
        <v>0</v>
      </c>
      <c r="W131" s="78">
        <v>0</v>
      </c>
      <c r="X131" s="79"/>
      <c r="Y131" s="80">
        <v>0</v>
      </c>
      <c r="Z131" s="80">
        <v>0</v>
      </c>
      <c r="AA131" s="71">
        <f t="shared" si="27"/>
        <v>0</v>
      </c>
      <c r="AB131" s="80">
        <v>0</v>
      </c>
      <c r="AC131" s="71">
        <f t="shared" si="28"/>
        <v>0</v>
      </c>
      <c r="AD131" s="80">
        <v>0</v>
      </c>
      <c r="AE131" s="71">
        <f t="shared" si="29"/>
        <v>0</v>
      </c>
      <c r="AF131" s="83">
        <v>0</v>
      </c>
      <c r="AG131" s="71">
        <f t="shared" si="30"/>
        <v>0</v>
      </c>
      <c r="AH131" s="80">
        <v>0</v>
      </c>
      <c r="AI131" s="71">
        <f t="shared" si="31"/>
        <v>0</v>
      </c>
      <c r="AJ131" s="80">
        <v>0</v>
      </c>
      <c r="AK131" s="80">
        <v>0</v>
      </c>
      <c r="AL131" s="80">
        <v>0</v>
      </c>
      <c r="AM131" s="80">
        <v>0</v>
      </c>
      <c r="AN131" s="80">
        <v>0</v>
      </c>
      <c r="AO131" s="80">
        <v>0</v>
      </c>
      <c r="AP131" s="71">
        <f t="shared" si="32"/>
        <v>65.08</v>
      </c>
      <c r="AQ131" s="93">
        <f t="shared" si="33"/>
        <v>0.13016</v>
      </c>
      <c r="AR131" s="94">
        <f t="shared" si="34"/>
        <v>0</v>
      </c>
      <c r="AS131" s="71">
        <f t="shared" si="35"/>
        <v>0.06508</v>
      </c>
      <c r="AT131" s="78">
        <v>0</v>
      </c>
      <c r="AU131" s="71">
        <f t="shared" si="36"/>
        <v>0</v>
      </c>
      <c r="AV131" s="71">
        <f t="shared" si="37"/>
        <v>0.0557828571428571</v>
      </c>
      <c r="AW131" s="97">
        <v>1</v>
      </c>
      <c r="AX131" s="71"/>
      <c r="AY131" s="71">
        <f t="shared" si="38"/>
        <v>0</v>
      </c>
      <c r="AZ131" s="71"/>
      <c r="BA131" s="67">
        <f t="shared" si="39"/>
        <v>1.05578285714286</v>
      </c>
      <c r="BB131" s="78"/>
      <c r="BH131" s="99"/>
    </row>
    <row r="132" s="51" customFormat="1" ht="13.5" customHeight="1" spans="1:60">
      <c r="A132" s="68">
        <v>127</v>
      </c>
      <c r="B132" s="69" t="s">
        <v>87</v>
      </c>
      <c r="C132" s="69" t="s">
        <v>87</v>
      </c>
      <c r="D132" s="69" t="s">
        <v>86</v>
      </c>
      <c r="E132" s="69" t="s">
        <v>217</v>
      </c>
      <c r="F132" s="70">
        <v>469.34</v>
      </c>
      <c r="G132" s="71">
        <f t="shared" si="20"/>
        <v>38.7478648442494</v>
      </c>
      <c r="H132" s="71">
        <f t="shared" si="21"/>
        <v>18185.922886</v>
      </c>
      <c r="I132" s="78">
        <v>3</v>
      </c>
      <c r="J132" s="78">
        <v>3</v>
      </c>
      <c r="K132" s="79">
        <f t="shared" si="22"/>
        <v>11843.604744</v>
      </c>
      <c r="L132" s="79">
        <f t="shared" si="23"/>
        <v>8842.444984</v>
      </c>
      <c r="M132" s="78">
        <v>2</v>
      </c>
      <c r="N132" s="80">
        <v>0</v>
      </c>
      <c r="O132" s="78">
        <v>0</v>
      </c>
      <c r="P132" s="71">
        <f t="shared" si="24"/>
        <v>938.68</v>
      </c>
      <c r="Q132" s="80">
        <v>9158.358142</v>
      </c>
      <c r="R132" s="71">
        <f t="shared" si="25"/>
        <v>2816.04</v>
      </c>
      <c r="S132" s="71">
        <v>0</v>
      </c>
      <c r="T132" s="79">
        <f t="shared" si="26"/>
        <v>4038.127201</v>
      </c>
      <c r="U132" s="79"/>
      <c r="V132" s="80">
        <v>299.170579</v>
      </c>
      <c r="W132" s="78">
        <v>1</v>
      </c>
      <c r="X132" s="79"/>
      <c r="Y132" s="80">
        <v>1869.113444</v>
      </c>
      <c r="Z132" s="80">
        <v>24.689471</v>
      </c>
      <c r="AA132" s="71">
        <f t="shared" si="27"/>
        <v>49.378942</v>
      </c>
      <c r="AB132" s="80">
        <v>92.55988</v>
      </c>
      <c r="AC132" s="71">
        <f t="shared" si="28"/>
        <v>185.11976</v>
      </c>
      <c r="AD132" s="80">
        <v>108.263503</v>
      </c>
      <c r="AE132" s="71">
        <f t="shared" si="29"/>
        <v>216.527006</v>
      </c>
      <c r="AF132" s="83">
        <v>0</v>
      </c>
      <c r="AG132" s="71">
        <f t="shared" si="30"/>
        <v>0</v>
      </c>
      <c r="AH132" s="80">
        <v>0</v>
      </c>
      <c r="AI132" s="71">
        <f t="shared" si="31"/>
        <v>0</v>
      </c>
      <c r="AJ132" s="80">
        <v>1869.843178</v>
      </c>
      <c r="AK132" s="80">
        <v>0</v>
      </c>
      <c r="AL132" s="80">
        <v>0</v>
      </c>
      <c r="AM132" s="80">
        <v>0</v>
      </c>
      <c r="AN132" s="80">
        <v>0</v>
      </c>
      <c r="AO132" s="80">
        <v>4538.411835</v>
      </c>
      <c r="AP132" s="71">
        <f t="shared" si="32"/>
        <v>938.68</v>
      </c>
      <c r="AQ132" s="93">
        <f t="shared" si="33"/>
        <v>1.87736</v>
      </c>
      <c r="AR132" s="94">
        <f t="shared" si="34"/>
        <v>0</v>
      </c>
      <c r="AS132" s="71">
        <f t="shared" si="35"/>
        <v>0.93868</v>
      </c>
      <c r="AT132" s="78">
        <v>2</v>
      </c>
      <c r="AU132" s="71">
        <f t="shared" si="36"/>
        <v>0.538416960133333</v>
      </c>
      <c r="AV132" s="71">
        <f t="shared" si="37"/>
        <v>0.804582857142857</v>
      </c>
      <c r="AW132" s="97"/>
      <c r="AX132" s="71"/>
      <c r="AY132" s="71">
        <f t="shared" si="38"/>
        <v>0.3630729468</v>
      </c>
      <c r="AZ132" s="71"/>
      <c r="BA132" s="67">
        <f t="shared" si="39"/>
        <v>1.34299981727619</v>
      </c>
      <c r="BB132" s="78"/>
      <c r="BH132" s="99"/>
    </row>
    <row r="133" s="51" customFormat="1" ht="13.5" customHeight="1" spans="1:60">
      <c r="A133" s="68">
        <v>128</v>
      </c>
      <c r="B133" s="69" t="s">
        <v>218</v>
      </c>
      <c r="C133" s="69" t="s">
        <v>218</v>
      </c>
      <c r="D133" s="69" t="s">
        <v>219</v>
      </c>
      <c r="E133" s="69" t="s">
        <v>87</v>
      </c>
      <c r="F133" s="70">
        <v>404.57</v>
      </c>
      <c r="G133" s="71">
        <f t="shared" si="20"/>
        <v>32.2231787601651</v>
      </c>
      <c r="H133" s="71">
        <f t="shared" si="21"/>
        <v>13036.531431</v>
      </c>
      <c r="I133" s="78">
        <v>3</v>
      </c>
      <c r="J133" s="78">
        <v>3</v>
      </c>
      <c r="K133" s="79">
        <f t="shared" si="22"/>
        <v>9097.571672</v>
      </c>
      <c r="L133" s="79">
        <f t="shared" si="23"/>
        <v>6670.151672</v>
      </c>
      <c r="M133" s="78">
        <v>2</v>
      </c>
      <c r="N133" s="80">
        <v>0</v>
      </c>
      <c r="O133" s="78">
        <v>0</v>
      </c>
      <c r="P133" s="71">
        <f t="shared" si="24"/>
        <v>809.14</v>
      </c>
      <c r="Q133" s="80">
        <v>6366.379759</v>
      </c>
      <c r="R133" s="71">
        <f t="shared" si="25"/>
        <v>2427.42</v>
      </c>
      <c r="S133" s="71">
        <v>0</v>
      </c>
      <c r="T133" s="79">
        <f t="shared" si="26"/>
        <v>1485.545729</v>
      </c>
      <c r="U133" s="79"/>
      <c r="V133" s="80">
        <v>0</v>
      </c>
      <c r="W133" s="78">
        <v>0</v>
      </c>
      <c r="X133" s="79"/>
      <c r="Y133" s="80">
        <v>930.561385</v>
      </c>
      <c r="Z133" s="80">
        <v>0</v>
      </c>
      <c r="AA133" s="71">
        <f t="shared" si="27"/>
        <v>0</v>
      </c>
      <c r="AB133" s="80">
        <v>0</v>
      </c>
      <c r="AC133" s="71">
        <f t="shared" si="28"/>
        <v>0</v>
      </c>
      <c r="AD133" s="80">
        <v>0</v>
      </c>
      <c r="AE133" s="71">
        <f t="shared" si="29"/>
        <v>0</v>
      </c>
      <c r="AF133" s="83">
        <v>0</v>
      </c>
      <c r="AG133" s="71">
        <f t="shared" si="30"/>
        <v>0</v>
      </c>
      <c r="AH133" s="80">
        <v>0</v>
      </c>
      <c r="AI133" s="71">
        <f t="shared" si="31"/>
        <v>0</v>
      </c>
      <c r="AJ133" s="80">
        <v>0</v>
      </c>
      <c r="AK133" s="80">
        <v>554.984344</v>
      </c>
      <c r="AL133" s="80">
        <v>0</v>
      </c>
      <c r="AM133" s="80">
        <v>258.384975</v>
      </c>
      <c r="AN133" s="80">
        <v>0</v>
      </c>
      <c r="AO133" s="80">
        <v>4926.220968</v>
      </c>
      <c r="AP133" s="71">
        <f t="shared" si="32"/>
        <v>809.14</v>
      </c>
      <c r="AQ133" s="93">
        <f t="shared" si="33"/>
        <v>1.61828</v>
      </c>
      <c r="AR133" s="94">
        <f t="shared" si="34"/>
        <v>0</v>
      </c>
      <c r="AS133" s="71">
        <f t="shared" si="35"/>
        <v>0.80914</v>
      </c>
      <c r="AT133" s="78">
        <v>0</v>
      </c>
      <c r="AU133" s="71">
        <f t="shared" si="36"/>
        <v>0.198072763866667</v>
      </c>
      <c r="AV133" s="71">
        <f t="shared" si="37"/>
        <v>0.693548571428571</v>
      </c>
      <c r="AW133" s="97"/>
      <c r="AX133" s="71"/>
      <c r="AY133" s="71">
        <f t="shared" si="38"/>
        <v>0.41476847544</v>
      </c>
      <c r="AZ133" s="71"/>
      <c r="BA133" s="67">
        <f t="shared" si="39"/>
        <v>0.891621335295238</v>
      </c>
      <c r="BB133" s="78"/>
      <c r="BH133" s="99"/>
    </row>
    <row r="134" s="51" customFormat="1" ht="13.5" customHeight="1" spans="1:60">
      <c r="A134" s="68">
        <v>129</v>
      </c>
      <c r="B134" s="69" t="s">
        <v>219</v>
      </c>
      <c r="C134" s="69" t="s">
        <v>219</v>
      </c>
      <c r="D134" s="69" t="s">
        <v>92</v>
      </c>
      <c r="E134" s="69" t="s">
        <v>220</v>
      </c>
      <c r="F134" s="70">
        <v>762.22</v>
      </c>
      <c r="G134" s="71">
        <f t="shared" ref="G134:G197" si="40">H134/F134</f>
        <v>24.8120172902836</v>
      </c>
      <c r="H134" s="71">
        <f t="shared" ref="H134:H197" si="41">Q134+V134+Y134+AA134+AC134+AE134+AG134+AI134+AJ134+AK134+AL134+AM134+AN134+AO134</f>
        <v>18912.215819</v>
      </c>
      <c r="I134" s="78">
        <v>3</v>
      </c>
      <c r="J134" s="78">
        <v>3</v>
      </c>
      <c r="K134" s="79">
        <f t="shared" ref="K134:K197" si="42">R134+V134+Y134+AA134+AC134+AE134+AG134+AI134+AJ134+AK134+AL134+AM134+AN134+AO134</f>
        <v>13808.289004</v>
      </c>
      <c r="L134" s="79">
        <f t="shared" ref="L134:L197" si="43">S134+V134+Y134+AA134+AE134+AG134+AI134+AJ134+AK134+AL134+AM134+AN134+AO134</f>
        <v>9024.089406</v>
      </c>
      <c r="M134" s="78">
        <v>2</v>
      </c>
      <c r="N134" s="80">
        <v>0</v>
      </c>
      <c r="O134" s="78">
        <v>0</v>
      </c>
      <c r="P134" s="71">
        <f t="shared" ref="P134:P197" si="44">F134*2</f>
        <v>1524.44</v>
      </c>
      <c r="Q134" s="80">
        <v>9677.246815</v>
      </c>
      <c r="R134" s="71">
        <f t="shared" ref="R134:R197" si="45">P134*3</f>
        <v>4573.32</v>
      </c>
      <c r="S134" s="71">
        <v>0</v>
      </c>
      <c r="T134" s="79">
        <f t="shared" ref="T134:T197" si="46">V134+Y134+AG134+AI134+AJ134+AK134+AL134</f>
        <v>3096.958828</v>
      </c>
      <c r="U134" s="79"/>
      <c r="V134" s="80">
        <v>122.663885</v>
      </c>
      <c r="W134" s="78">
        <v>1</v>
      </c>
      <c r="X134" s="79"/>
      <c r="Y134" s="80">
        <v>2209.521796</v>
      </c>
      <c r="Z134" s="80">
        <v>14.344546</v>
      </c>
      <c r="AA134" s="71">
        <f t="shared" ref="AA134:AA197" si="47">Z134*2</f>
        <v>28.689092</v>
      </c>
      <c r="AB134" s="80">
        <v>105.439799</v>
      </c>
      <c r="AC134" s="71">
        <f t="shared" ref="AC134:AC197" si="48">AB134*2</f>
        <v>210.879598</v>
      </c>
      <c r="AD134" s="80">
        <v>19.843436</v>
      </c>
      <c r="AE134" s="71">
        <f t="shared" ref="AE134:AE197" si="49">AD134*2</f>
        <v>39.686872</v>
      </c>
      <c r="AF134" s="83">
        <v>0</v>
      </c>
      <c r="AG134" s="71">
        <f t="shared" ref="AG134:AG197" si="50">AF134*2</f>
        <v>0</v>
      </c>
      <c r="AH134" s="80">
        <v>0</v>
      </c>
      <c r="AI134" s="71">
        <f t="shared" ref="AI134:AI197" si="51">AH134*2</f>
        <v>0</v>
      </c>
      <c r="AJ134" s="80">
        <v>270.726988</v>
      </c>
      <c r="AK134" s="80">
        <v>494.046159</v>
      </c>
      <c r="AL134" s="80">
        <v>0</v>
      </c>
      <c r="AM134" s="80">
        <v>57.877237</v>
      </c>
      <c r="AN134" s="80">
        <v>0</v>
      </c>
      <c r="AO134" s="80">
        <v>5800.877377</v>
      </c>
      <c r="AP134" s="71">
        <f t="shared" ref="AP134:AP197" si="52">F134*2</f>
        <v>1524.44</v>
      </c>
      <c r="AQ134" s="93">
        <f t="shared" ref="AQ134:AQ197" si="53">P134*IF(J134=1,0,IF(J134=2,0,IF(J134=3,2,IF(J134=4,0))))/1000</f>
        <v>3.04888</v>
      </c>
      <c r="AR134" s="94">
        <f t="shared" ref="AR134:AR197" si="54">P134*IF(J134=1,3,IF(J134=2,2,IF(J134=3,0,IF(J134=4,0))))/1000</f>
        <v>0</v>
      </c>
      <c r="AS134" s="71">
        <f t="shared" ref="AS134:AS197" si="55">P134/1000/2*IF(J134=1,4,IF(J134=2,3,IF(J134=3,2,IF(J134=4,0))))</f>
        <v>1.52444</v>
      </c>
      <c r="AT134" s="78">
        <v>0</v>
      </c>
      <c r="AU134" s="71">
        <f t="shared" ref="AU134:AU197" si="56">T134/IF(J134=1,5500,IF(J134=2,6500,IF(J134=3,7500)))</f>
        <v>0.412927843733333</v>
      </c>
      <c r="AV134" s="71">
        <f t="shared" ref="AV134:AV197" si="57">AP134/IF(J134=1,350,IF(J134=2,500,IF(J134=3,700)))*0.6</f>
        <v>1.30666285714286</v>
      </c>
      <c r="AW134" s="71">
        <v>1</v>
      </c>
      <c r="AX134" s="71"/>
      <c r="AY134" s="71">
        <f t="shared" ref="AY134:AY197" si="58">(AM134+AN134+AO134)*0.8/10000</f>
        <v>0.46870036912</v>
      </c>
      <c r="AZ134" s="71"/>
      <c r="BA134" s="67">
        <f t="shared" ref="BA134:BA197" si="59">AU134+AV134+AW134</f>
        <v>2.71959070087619</v>
      </c>
      <c r="BB134" s="78"/>
      <c r="BH134" s="99"/>
    </row>
    <row r="135" s="51" customFormat="1" ht="13.5" customHeight="1" spans="1:60">
      <c r="A135" s="68">
        <v>130</v>
      </c>
      <c r="B135" s="69" t="s">
        <v>93</v>
      </c>
      <c r="C135" s="69" t="s">
        <v>93</v>
      </c>
      <c r="D135" s="69" t="s">
        <v>113</v>
      </c>
      <c r="E135" s="69" t="s">
        <v>114</v>
      </c>
      <c r="F135" s="70">
        <v>625.91</v>
      </c>
      <c r="G135" s="71">
        <f t="shared" si="40"/>
        <v>42.3655236663418</v>
      </c>
      <c r="H135" s="71">
        <f t="shared" si="41"/>
        <v>26517.004918</v>
      </c>
      <c r="I135" s="78">
        <v>1</v>
      </c>
      <c r="J135" s="78">
        <v>2</v>
      </c>
      <c r="K135" s="79">
        <f t="shared" si="42"/>
        <v>24587.222695</v>
      </c>
      <c r="L135" s="79">
        <f t="shared" si="43"/>
        <v>20831.762695</v>
      </c>
      <c r="M135" s="78">
        <v>2</v>
      </c>
      <c r="N135" s="80">
        <v>0</v>
      </c>
      <c r="O135" s="78">
        <v>0</v>
      </c>
      <c r="P135" s="71">
        <f t="shared" si="44"/>
        <v>1251.82</v>
      </c>
      <c r="Q135" s="80">
        <v>5685.242223</v>
      </c>
      <c r="R135" s="71">
        <f t="shared" si="45"/>
        <v>3755.46</v>
      </c>
      <c r="S135" s="71">
        <v>0</v>
      </c>
      <c r="T135" s="79">
        <f t="shared" si="46"/>
        <v>7602.895254</v>
      </c>
      <c r="U135" s="79"/>
      <c r="V135" s="80">
        <v>0</v>
      </c>
      <c r="W135" s="78">
        <v>0</v>
      </c>
      <c r="X135" s="79"/>
      <c r="Y135" s="80">
        <v>3003.195867</v>
      </c>
      <c r="Z135" s="80">
        <v>70.268781</v>
      </c>
      <c r="AA135" s="71">
        <f t="shared" si="47"/>
        <v>140.537562</v>
      </c>
      <c r="AB135" s="80">
        <v>0</v>
      </c>
      <c r="AC135" s="71">
        <f t="shared" si="48"/>
        <v>0</v>
      </c>
      <c r="AD135" s="80">
        <v>0</v>
      </c>
      <c r="AE135" s="71">
        <f t="shared" si="49"/>
        <v>0</v>
      </c>
      <c r="AF135" s="83">
        <v>0</v>
      </c>
      <c r="AG135" s="71">
        <f t="shared" si="50"/>
        <v>0</v>
      </c>
      <c r="AH135" s="80">
        <v>57.813608</v>
      </c>
      <c r="AI135" s="71">
        <f t="shared" si="51"/>
        <v>115.627216</v>
      </c>
      <c r="AJ135" s="80">
        <v>4484.072171</v>
      </c>
      <c r="AK135" s="80">
        <v>0</v>
      </c>
      <c r="AL135" s="80">
        <v>0</v>
      </c>
      <c r="AM135" s="80">
        <v>0</v>
      </c>
      <c r="AN135" s="80">
        <v>0</v>
      </c>
      <c r="AO135" s="80">
        <v>13088.329879</v>
      </c>
      <c r="AP135" s="71">
        <f t="shared" si="52"/>
        <v>1251.82</v>
      </c>
      <c r="AQ135" s="93">
        <f t="shared" si="53"/>
        <v>0</v>
      </c>
      <c r="AR135" s="94">
        <f t="shared" si="54"/>
        <v>2.50364</v>
      </c>
      <c r="AS135" s="71">
        <f t="shared" si="55"/>
        <v>1.87773</v>
      </c>
      <c r="AT135" s="78">
        <v>0</v>
      </c>
      <c r="AU135" s="71">
        <f t="shared" si="56"/>
        <v>1.16967619292308</v>
      </c>
      <c r="AV135" s="71">
        <f t="shared" si="57"/>
        <v>1.502184</v>
      </c>
      <c r="AW135" s="96">
        <v>1</v>
      </c>
      <c r="AX135" s="71"/>
      <c r="AY135" s="71">
        <f t="shared" si="58"/>
        <v>1.04706639032</v>
      </c>
      <c r="AZ135" s="71"/>
      <c r="BA135" s="67">
        <f t="shared" si="59"/>
        <v>3.67186019292308</v>
      </c>
      <c r="BB135" s="78"/>
      <c r="BH135" s="99"/>
    </row>
    <row r="136" s="51" customFormat="1" ht="13.5" customHeight="1" spans="1:60">
      <c r="A136" s="68">
        <v>131</v>
      </c>
      <c r="B136" s="69" t="s">
        <v>93</v>
      </c>
      <c r="C136" s="69" t="s">
        <v>93</v>
      </c>
      <c r="D136" s="69" t="s">
        <v>114</v>
      </c>
      <c r="E136" s="69" t="s">
        <v>86</v>
      </c>
      <c r="F136" s="70">
        <v>691.77</v>
      </c>
      <c r="G136" s="71">
        <f t="shared" si="40"/>
        <v>54.3334176315828</v>
      </c>
      <c r="H136" s="71">
        <f t="shared" si="41"/>
        <v>37586.228315</v>
      </c>
      <c r="I136" s="78">
        <v>1</v>
      </c>
      <c r="J136" s="78">
        <v>1</v>
      </c>
      <c r="K136" s="79">
        <f t="shared" si="42"/>
        <v>30593.323174</v>
      </c>
      <c r="L136" s="79">
        <f t="shared" si="43"/>
        <v>25206.210142</v>
      </c>
      <c r="M136" s="78">
        <v>2</v>
      </c>
      <c r="N136" s="80">
        <v>0</v>
      </c>
      <c r="O136" s="78">
        <v>0</v>
      </c>
      <c r="P136" s="71">
        <f t="shared" si="44"/>
        <v>1383.54</v>
      </c>
      <c r="Q136" s="80">
        <v>11143.525141</v>
      </c>
      <c r="R136" s="71">
        <f t="shared" si="45"/>
        <v>4150.62</v>
      </c>
      <c r="S136" s="71">
        <v>0</v>
      </c>
      <c r="T136" s="79">
        <f t="shared" si="46"/>
        <v>11834.356646</v>
      </c>
      <c r="U136" s="79"/>
      <c r="V136" s="80">
        <v>204.389475</v>
      </c>
      <c r="W136" s="78">
        <v>2</v>
      </c>
      <c r="X136" s="79"/>
      <c r="Y136" s="80">
        <v>3804.536384</v>
      </c>
      <c r="Z136" s="80">
        <v>70.693894</v>
      </c>
      <c r="AA136" s="71">
        <f t="shared" si="47"/>
        <v>141.387788</v>
      </c>
      <c r="AB136" s="80">
        <v>618.246516</v>
      </c>
      <c r="AC136" s="71">
        <f t="shared" si="48"/>
        <v>1236.493032</v>
      </c>
      <c r="AD136" s="80">
        <v>0</v>
      </c>
      <c r="AE136" s="71">
        <f t="shared" si="49"/>
        <v>0</v>
      </c>
      <c r="AF136" s="83">
        <v>0</v>
      </c>
      <c r="AG136" s="71">
        <f t="shared" si="50"/>
        <v>0</v>
      </c>
      <c r="AH136" s="80">
        <v>0</v>
      </c>
      <c r="AI136" s="71">
        <f t="shared" si="51"/>
        <v>0</v>
      </c>
      <c r="AJ136" s="80">
        <v>7825.430787</v>
      </c>
      <c r="AK136" s="80">
        <v>0</v>
      </c>
      <c r="AL136" s="80">
        <v>0</v>
      </c>
      <c r="AM136" s="80">
        <v>0</v>
      </c>
      <c r="AN136" s="80">
        <v>168.529833</v>
      </c>
      <c r="AO136" s="80">
        <v>13061.935875</v>
      </c>
      <c r="AP136" s="71">
        <f t="shared" si="52"/>
        <v>1383.54</v>
      </c>
      <c r="AQ136" s="93">
        <f t="shared" si="53"/>
        <v>0</v>
      </c>
      <c r="AR136" s="94">
        <f t="shared" si="54"/>
        <v>4.15062</v>
      </c>
      <c r="AS136" s="71">
        <f t="shared" si="55"/>
        <v>2.76708</v>
      </c>
      <c r="AT136" s="78">
        <v>3</v>
      </c>
      <c r="AU136" s="71">
        <f t="shared" si="56"/>
        <v>2.15170120836364</v>
      </c>
      <c r="AV136" s="71">
        <f t="shared" si="57"/>
        <v>2.37178285714286</v>
      </c>
      <c r="AW136" s="98"/>
      <c r="AX136" s="71"/>
      <c r="AY136" s="71">
        <f t="shared" si="58"/>
        <v>1.05843725664</v>
      </c>
      <c r="AZ136" s="71"/>
      <c r="BA136" s="67">
        <f t="shared" si="59"/>
        <v>4.52348406550649</v>
      </c>
      <c r="BB136" s="78"/>
      <c r="BH136" s="99"/>
    </row>
    <row r="137" s="51" customFormat="1" ht="13.5" customHeight="1" spans="1:60">
      <c r="A137" s="68">
        <v>132</v>
      </c>
      <c r="B137" s="69" t="s">
        <v>88</v>
      </c>
      <c r="C137" s="69" t="s">
        <v>88</v>
      </c>
      <c r="D137" s="69" t="s">
        <v>86</v>
      </c>
      <c r="E137" s="69" t="s">
        <v>217</v>
      </c>
      <c r="F137" s="70">
        <v>378.8</v>
      </c>
      <c r="G137" s="71">
        <f t="shared" si="40"/>
        <v>50.9792699445618</v>
      </c>
      <c r="H137" s="71">
        <f t="shared" si="41"/>
        <v>19310.947455</v>
      </c>
      <c r="I137" s="78">
        <v>1</v>
      </c>
      <c r="J137" s="78">
        <v>3</v>
      </c>
      <c r="K137" s="79">
        <f t="shared" si="42"/>
        <v>13996.806139</v>
      </c>
      <c r="L137" s="79">
        <f t="shared" si="43"/>
        <v>11724.006139</v>
      </c>
      <c r="M137" s="78">
        <v>2</v>
      </c>
      <c r="N137" s="80">
        <v>0</v>
      </c>
      <c r="O137" s="78">
        <v>0</v>
      </c>
      <c r="P137" s="71">
        <f t="shared" si="44"/>
        <v>757.6</v>
      </c>
      <c r="Q137" s="80">
        <v>7586.941316</v>
      </c>
      <c r="R137" s="71">
        <f t="shared" si="45"/>
        <v>2272.8</v>
      </c>
      <c r="S137" s="71">
        <v>0</v>
      </c>
      <c r="T137" s="79">
        <f t="shared" si="46"/>
        <v>2438.595938</v>
      </c>
      <c r="U137" s="79"/>
      <c r="V137" s="80">
        <v>0</v>
      </c>
      <c r="W137" s="78">
        <v>0</v>
      </c>
      <c r="X137" s="79"/>
      <c r="Y137" s="80">
        <v>1549.803793</v>
      </c>
      <c r="Z137" s="80">
        <v>0</v>
      </c>
      <c r="AA137" s="71">
        <f t="shared" si="47"/>
        <v>0</v>
      </c>
      <c r="AB137" s="80">
        <v>0</v>
      </c>
      <c r="AC137" s="71">
        <f t="shared" si="48"/>
        <v>0</v>
      </c>
      <c r="AD137" s="80">
        <v>0</v>
      </c>
      <c r="AE137" s="71">
        <f t="shared" si="49"/>
        <v>0</v>
      </c>
      <c r="AF137" s="83">
        <v>0</v>
      </c>
      <c r="AG137" s="71">
        <f t="shared" si="50"/>
        <v>0</v>
      </c>
      <c r="AH137" s="80">
        <v>0</v>
      </c>
      <c r="AI137" s="71">
        <f t="shared" si="51"/>
        <v>0</v>
      </c>
      <c r="AJ137" s="80">
        <v>0</v>
      </c>
      <c r="AK137" s="80">
        <v>888.792145</v>
      </c>
      <c r="AL137" s="80">
        <v>0</v>
      </c>
      <c r="AM137" s="80">
        <v>0</v>
      </c>
      <c r="AN137" s="80">
        <v>0</v>
      </c>
      <c r="AO137" s="80">
        <v>9285.410201</v>
      </c>
      <c r="AP137" s="71">
        <f t="shared" si="52"/>
        <v>757.6</v>
      </c>
      <c r="AQ137" s="93">
        <f t="shared" si="53"/>
        <v>1.5152</v>
      </c>
      <c r="AR137" s="94">
        <f t="shared" si="54"/>
        <v>0</v>
      </c>
      <c r="AS137" s="71">
        <f t="shared" si="55"/>
        <v>0.7576</v>
      </c>
      <c r="AT137" s="78">
        <v>1</v>
      </c>
      <c r="AU137" s="71">
        <f t="shared" si="56"/>
        <v>0.325146125066667</v>
      </c>
      <c r="AV137" s="71">
        <f t="shared" si="57"/>
        <v>0.649371428571429</v>
      </c>
      <c r="AW137" s="96">
        <v>1</v>
      </c>
      <c r="AX137" s="71"/>
      <c r="AY137" s="71">
        <f t="shared" si="58"/>
        <v>0.74283281608</v>
      </c>
      <c r="AZ137" s="71"/>
      <c r="BA137" s="67">
        <f t="shared" si="59"/>
        <v>1.9745175536381</v>
      </c>
      <c r="BB137" s="78"/>
      <c r="BH137" s="99"/>
    </row>
    <row r="138" s="51" customFormat="1" ht="13.5" customHeight="1" spans="1:60">
      <c r="A138" s="68">
        <v>133</v>
      </c>
      <c r="B138" s="69" t="s">
        <v>88</v>
      </c>
      <c r="C138" s="69" t="s">
        <v>88</v>
      </c>
      <c r="D138" s="69" t="s">
        <v>114</v>
      </c>
      <c r="E138" s="69" t="s">
        <v>86</v>
      </c>
      <c r="F138" s="70">
        <v>667.98</v>
      </c>
      <c r="G138" s="71">
        <f t="shared" si="40"/>
        <v>47.9421919668254</v>
      </c>
      <c r="H138" s="71">
        <f t="shared" si="41"/>
        <v>32024.42539</v>
      </c>
      <c r="I138" s="78">
        <v>1</v>
      </c>
      <c r="J138" s="78">
        <v>3</v>
      </c>
      <c r="K138" s="79">
        <f t="shared" si="42"/>
        <v>20566.956511</v>
      </c>
      <c r="L138" s="79">
        <f t="shared" si="43"/>
        <v>15436.452695</v>
      </c>
      <c r="M138" s="78">
        <v>2</v>
      </c>
      <c r="N138" s="80">
        <v>0</v>
      </c>
      <c r="O138" s="78">
        <v>0</v>
      </c>
      <c r="P138" s="71">
        <f t="shared" si="44"/>
        <v>1335.96</v>
      </c>
      <c r="Q138" s="80">
        <v>15465.348879</v>
      </c>
      <c r="R138" s="71">
        <f t="shared" si="45"/>
        <v>4007.88</v>
      </c>
      <c r="S138" s="71">
        <v>0</v>
      </c>
      <c r="T138" s="79">
        <f t="shared" si="46"/>
        <v>6806.264913</v>
      </c>
      <c r="U138" s="79"/>
      <c r="V138" s="80">
        <v>0</v>
      </c>
      <c r="W138" s="78">
        <v>0</v>
      </c>
      <c r="X138" s="79"/>
      <c r="Y138" s="80">
        <v>3913.045353</v>
      </c>
      <c r="Z138" s="80">
        <v>0</v>
      </c>
      <c r="AA138" s="71">
        <f t="shared" si="47"/>
        <v>0</v>
      </c>
      <c r="AB138" s="80">
        <v>561.311908</v>
      </c>
      <c r="AC138" s="71">
        <f t="shared" si="48"/>
        <v>1122.623816</v>
      </c>
      <c r="AD138" s="80">
        <v>0</v>
      </c>
      <c r="AE138" s="71">
        <f t="shared" si="49"/>
        <v>0</v>
      </c>
      <c r="AF138" s="83">
        <v>0</v>
      </c>
      <c r="AG138" s="71">
        <f t="shared" si="50"/>
        <v>0</v>
      </c>
      <c r="AH138" s="80">
        <v>0</v>
      </c>
      <c r="AI138" s="71">
        <f t="shared" si="51"/>
        <v>0</v>
      </c>
      <c r="AJ138" s="80">
        <v>2893.21956</v>
      </c>
      <c r="AK138" s="80">
        <v>0</v>
      </c>
      <c r="AL138" s="80">
        <v>0</v>
      </c>
      <c r="AM138" s="80">
        <v>0</v>
      </c>
      <c r="AN138" s="80">
        <v>0</v>
      </c>
      <c r="AO138" s="80">
        <v>8630.187782</v>
      </c>
      <c r="AP138" s="71">
        <f t="shared" si="52"/>
        <v>1335.96</v>
      </c>
      <c r="AQ138" s="93">
        <f t="shared" si="53"/>
        <v>2.67192</v>
      </c>
      <c r="AR138" s="94">
        <f t="shared" si="54"/>
        <v>0</v>
      </c>
      <c r="AS138" s="71">
        <f t="shared" si="55"/>
        <v>1.33596</v>
      </c>
      <c r="AT138" s="78">
        <v>2</v>
      </c>
      <c r="AU138" s="71">
        <f t="shared" si="56"/>
        <v>0.9075019884</v>
      </c>
      <c r="AV138" s="71">
        <f t="shared" si="57"/>
        <v>1.14510857142857</v>
      </c>
      <c r="AW138" s="97"/>
      <c r="AX138" s="71"/>
      <c r="AY138" s="71">
        <f t="shared" si="58"/>
        <v>0.69041502256</v>
      </c>
      <c r="AZ138" s="71"/>
      <c r="BA138" s="67">
        <f t="shared" si="59"/>
        <v>2.05261055982857</v>
      </c>
      <c r="BB138" s="78"/>
      <c r="BH138" s="99"/>
    </row>
    <row r="139" s="51" customFormat="1" ht="13.5" customHeight="1" spans="1:60">
      <c r="A139" s="68">
        <v>134</v>
      </c>
      <c r="B139" s="69" t="s">
        <v>88</v>
      </c>
      <c r="C139" s="69" t="s">
        <v>88</v>
      </c>
      <c r="D139" s="69" t="s">
        <v>112</v>
      </c>
      <c r="E139" s="69" t="s">
        <v>114</v>
      </c>
      <c r="F139" s="70">
        <v>440.22</v>
      </c>
      <c r="G139" s="71">
        <f t="shared" si="40"/>
        <v>48.2414749488892</v>
      </c>
      <c r="H139" s="71">
        <f t="shared" si="41"/>
        <v>21236.862102</v>
      </c>
      <c r="I139" s="78">
        <v>1</v>
      </c>
      <c r="J139" s="78">
        <v>2</v>
      </c>
      <c r="K139" s="79">
        <f t="shared" si="42"/>
        <v>13591.873589</v>
      </c>
      <c r="L139" s="79">
        <f t="shared" si="43"/>
        <v>10169.125943</v>
      </c>
      <c r="M139" s="78">
        <v>2</v>
      </c>
      <c r="N139" s="80">
        <v>0</v>
      </c>
      <c r="O139" s="78">
        <v>0</v>
      </c>
      <c r="P139" s="71">
        <f t="shared" si="44"/>
        <v>880.44</v>
      </c>
      <c r="Q139" s="80">
        <v>10286.308513</v>
      </c>
      <c r="R139" s="71">
        <f t="shared" si="45"/>
        <v>2641.32</v>
      </c>
      <c r="S139" s="71">
        <v>0</v>
      </c>
      <c r="T139" s="79">
        <f t="shared" si="46"/>
        <v>3371.061285</v>
      </c>
      <c r="U139" s="79"/>
      <c r="V139" s="80">
        <v>0</v>
      </c>
      <c r="W139" s="78">
        <v>0</v>
      </c>
      <c r="X139" s="79"/>
      <c r="Y139" s="80">
        <v>2641.647448</v>
      </c>
      <c r="Z139" s="80">
        <v>0</v>
      </c>
      <c r="AA139" s="71">
        <f t="shared" si="47"/>
        <v>0</v>
      </c>
      <c r="AB139" s="80">
        <v>390.713823</v>
      </c>
      <c r="AC139" s="71">
        <f t="shared" si="48"/>
        <v>781.427646</v>
      </c>
      <c r="AD139" s="80">
        <v>0</v>
      </c>
      <c r="AE139" s="71">
        <f t="shared" si="49"/>
        <v>0</v>
      </c>
      <c r="AF139" s="83">
        <v>0</v>
      </c>
      <c r="AG139" s="71">
        <f t="shared" si="50"/>
        <v>0</v>
      </c>
      <c r="AH139" s="80">
        <v>13.104396</v>
      </c>
      <c r="AI139" s="71">
        <f t="shared" si="51"/>
        <v>26.208792</v>
      </c>
      <c r="AJ139" s="80">
        <v>703.205045</v>
      </c>
      <c r="AK139" s="80">
        <v>0</v>
      </c>
      <c r="AL139" s="80">
        <v>0</v>
      </c>
      <c r="AM139" s="80">
        <v>0</v>
      </c>
      <c r="AN139" s="80">
        <v>0</v>
      </c>
      <c r="AO139" s="80">
        <v>6798.064658</v>
      </c>
      <c r="AP139" s="71">
        <f t="shared" si="52"/>
        <v>880.44</v>
      </c>
      <c r="AQ139" s="93">
        <f t="shared" si="53"/>
        <v>0</v>
      </c>
      <c r="AR139" s="94">
        <f t="shared" si="54"/>
        <v>1.76088</v>
      </c>
      <c r="AS139" s="71">
        <f t="shared" si="55"/>
        <v>1.32066</v>
      </c>
      <c r="AT139" s="78">
        <v>6</v>
      </c>
      <c r="AU139" s="71">
        <f t="shared" si="56"/>
        <v>0.518624813076923</v>
      </c>
      <c r="AV139" s="71">
        <f t="shared" si="57"/>
        <v>1.056528</v>
      </c>
      <c r="AW139" s="98"/>
      <c r="AX139" s="71"/>
      <c r="AY139" s="71">
        <f t="shared" si="58"/>
        <v>0.54384517264</v>
      </c>
      <c r="AZ139" s="71"/>
      <c r="BA139" s="67">
        <f t="shared" si="59"/>
        <v>1.57515281307692</v>
      </c>
      <c r="BB139" s="78"/>
      <c r="BH139" s="99"/>
    </row>
    <row r="140" spans="1:54">
      <c r="A140" s="64">
        <v>135</v>
      </c>
      <c r="B140" s="65" t="s">
        <v>221</v>
      </c>
      <c r="C140" s="65" t="s">
        <v>221</v>
      </c>
      <c r="D140" s="65" t="s">
        <v>222</v>
      </c>
      <c r="E140" s="65" t="s">
        <v>139</v>
      </c>
      <c r="F140" s="66">
        <v>633.6</v>
      </c>
      <c r="G140" s="67">
        <f t="shared" si="40"/>
        <v>14.3896979008838</v>
      </c>
      <c r="H140" s="67">
        <f t="shared" si="41"/>
        <v>9117.31259</v>
      </c>
      <c r="I140" s="75">
        <v>3</v>
      </c>
      <c r="J140" s="75">
        <v>3</v>
      </c>
      <c r="K140" s="76">
        <f t="shared" si="42"/>
        <v>5314.202801</v>
      </c>
      <c r="L140" s="76">
        <f t="shared" si="43"/>
        <v>1512.602801</v>
      </c>
      <c r="M140" s="75">
        <v>0</v>
      </c>
      <c r="N140" s="77">
        <v>0</v>
      </c>
      <c r="O140" s="75">
        <v>0</v>
      </c>
      <c r="P140" s="67">
        <f t="shared" si="44"/>
        <v>1267.2</v>
      </c>
      <c r="Q140" s="77">
        <v>7604.709789</v>
      </c>
      <c r="R140" s="67">
        <f t="shared" si="45"/>
        <v>3801.6</v>
      </c>
      <c r="S140" s="67">
        <v>0</v>
      </c>
      <c r="T140" s="76">
        <f t="shared" si="46"/>
        <v>249.2827</v>
      </c>
      <c r="U140" s="76"/>
      <c r="V140" s="77">
        <v>0</v>
      </c>
      <c r="W140" s="75">
        <v>0</v>
      </c>
      <c r="X140" s="76"/>
      <c r="Y140" s="77">
        <v>0</v>
      </c>
      <c r="Z140" s="77">
        <v>0</v>
      </c>
      <c r="AA140" s="67">
        <f t="shared" si="47"/>
        <v>0</v>
      </c>
      <c r="AB140" s="77">
        <v>0</v>
      </c>
      <c r="AC140" s="67">
        <f t="shared" si="48"/>
        <v>0</v>
      </c>
      <c r="AD140" s="77">
        <v>0</v>
      </c>
      <c r="AE140" s="67">
        <f t="shared" si="49"/>
        <v>0</v>
      </c>
      <c r="AF140" s="82">
        <v>0</v>
      </c>
      <c r="AG140" s="67">
        <f t="shared" si="50"/>
        <v>0</v>
      </c>
      <c r="AH140" s="77">
        <v>41.942708</v>
      </c>
      <c r="AI140" s="67">
        <f t="shared" si="51"/>
        <v>83.885416</v>
      </c>
      <c r="AJ140" s="77">
        <v>165.397284</v>
      </c>
      <c r="AK140" s="77">
        <v>0</v>
      </c>
      <c r="AL140" s="77">
        <v>0</v>
      </c>
      <c r="AM140" s="77">
        <v>0</v>
      </c>
      <c r="AN140" s="77">
        <v>0</v>
      </c>
      <c r="AO140" s="77">
        <v>1263.320101</v>
      </c>
      <c r="AP140" s="67">
        <f t="shared" si="52"/>
        <v>1267.2</v>
      </c>
      <c r="AQ140" s="91">
        <f t="shared" si="53"/>
        <v>2.5344</v>
      </c>
      <c r="AR140" s="92">
        <f t="shared" si="54"/>
        <v>0</v>
      </c>
      <c r="AS140" s="67">
        <f t="shared" si="55"/>
        <v>1.2672</v>
      </c>
      <c r="AT140" s="75">
        <v>0</v>
      </c>
      <c r="AU140" s="67">
        <f t="shared" si="56"/>
        <v>0.0332376933333333</v>
      </c>
      <c r="AV140" s="103">
        <f t="shared" si="57"/>
        <v>1.08617142857143</v>
      </c>
      <c r="AW140" s="71"/>
      <c r="AX140" s="67"/>
      <c r="AY140" s="67">
        <f t="shared" si="58"/>
        <v>0.10106560808</v>
      </c>
      <c r="AZ140" s="67"/>
      <c r="BA140" s="67">
        <f t="shared" si="59"/>
        <v>1.11940912190476</v>
      </c>
      <c r="BB140" s="75"/>
    </row>
    <row r="141" s="51" customFormat="1" ht="13.5" customHeight="1" spans="1:60">
      <c r="A141" s="68">
        <v>136</v>
      </c>
      <c r="B141" s="69" t="s">
        <v>102</v>
      </c>
      <c r="C141" s="69" t="s">
        <v>102</v>
      </c>
      <c r="D141" s="69" t="s">
        <v>92</v>
      </c>
      <c r="E141" s="69" t="s">
        <v>111</v>
      </c>
      <c r="F141" s="70">
        <v>215.19</v>
      </c>
      <c r="G141" s="71">
        <f t="shared" si="40"/>
        <v>28.5044363028022</v>
      </c>
      <c r="H141" s="71">
        <f t="shared" si="41"/>
        <v>6133.869648</v>
      </c>
      <c r="I141" s="78">
        <v>2</v>
      </c>
      <c r="J141" s="78">
        <v>2</v>
      </c>
      <c r="K141" s="79">
        <f t="shared" si="42"/>
        <v>4229.461533</v>
      </c>
      <c r="L141" s="79">
        <f t="shared" si="43"/>
        <v>2938.321533</v>
      </c>
      <c r="M141" s="78">
        <v>2</v>
      </c>
      <c r="N141" s="80">
        <v>0</v>
      </c>
      <c r="O141" s="78">
        <v>0</v>
      </c>
      <c r="P141" s="71">
        <f t="shared" si="44"/>
        <v>430.38</v>
      </c>
      <c r="Q141" s="80">
        <v>3195.548115</v>
      </c>
      <c r="R141" s="71">
        <f t="shared" si="45"/>
        <v>1291.14</v>
      </c>
      <c r="S141" s="71">
        <v>0</v>
      </c>
      <c r="T141" s="79">
        <f t="shared" si="46"/>
        <v>2378.916872</v>
      </c>
      <c r="U141" s="79"/>
      <c r="V141" s="80">
        <v>0</v>
      </c>
      <c r="W141" s="78">
        <v>0</v>
      </c>
      <c r="X141" s="79"/>
      <c r="Y141" s="80">
        <v>1076.417928</v>
      </c>
      <c r="Z141" s="80">
        <v>0</v>
      </c>
      <c r="AA141" s="71">
        <f t="shared" si="47"/>
        <v>0</v>
      </c>
      <c r="AB141" s="80">
        <v>0</v>
      </c>
      <c r="AC141" s="71">
        <f t="shared" si="48"/>
        <v>0</v>
      </c>
      <c r="AD141" s="80">
        <v>0</v>
      </c>
      <c r="AE141" s="71">
        <f t="shared" si="49"/>
        <v>0</v>
      </c>
      <c r="AF141" s="83">
        <v>0</v>
      </c>
      <c r="AG141" s="71">
        <f t="shared" si="50"/>
        <v>0</v>
      </c>
      <c r="AH141" s="80">
        <v>0</v>
      </c>
      <c r="AI141" s="71">
        <f t="shared" si="51"/>
        <v>0</v>
      </c>
      <c r="AJ141" s="80">
        <v>1302.498944</v>
      </c>
      <c r="AK141" s="80">
        <v>0</v>
      </c>
      <c r="AL141" s="80">
        <v>0</v>
      </c>
      <c r="AM141" s="80">
        <v>0</v>
      </c>
      <c r="AN141" s="80">
        <v>0</v>
      </c>
      <c r="AO141" s="80">
        <v>559.404661</v>
      </c>
      <c r="AP141" s="71">
        <f t="shared" si="52"/>
        <v>430.38</v>
      </c>
      <c r="AQ141" s="93">
        <f t="shared" si="53"/>
        <v>0</v>
      </c>
      <c r="AR141" s="94">
        <f t="shared" si="54"/>
        <v>0.86076</v>
      </c>
      <c r="AS141" s="71">
        <f t="shared" si="55"/>
        <v>0.64557</v>
      </c>
      <c r="AT141" s="78">
        <v>3</v>
      </c>
      <c r="AU141" s="71">
        <f t="shared" si="56"/>
        <v>0.365987211076923</v>
      </c>
      <c r="AV141" s="71">
        <f t="shared" si="57"/>
        <v>0.516456</v>
      </c>
      <c r="AW141" s="96">
        <v>1</v>
      </c>
      <c r="AX141" s="71"/>
      <c r="AY141" s="71">
        <f t="shared" si="58"/>
        <v>0.04475237288</v>
      </c>
      <c r="AZ141" s="71"/>
      <c r="BA141" s="67">
        <f t="shared" si="59"/>
        <v>1.88244321107692</v>
      </c>
      <c r="BB141" s="78"/>
      <c r="BH141" s="99"/>
    </row>
    <row r="142" s="51" customFormat="1" ht="13.5" customHeight="1" spans="1:60">
      <c r="A142" s="68">
        <v>137</v>
      </c>
      <c r="B142" s="69" t="s">
        <v>102</v>
      </c>
      <c r="C142" s="69" t="s">
        <v>102</v>
      </c>
      <c r="D142" s="69" t="s">
        <v>223</v>
      </c>
      <c r="E142" s="69" t="s">
        <v>93</v>
      </c>
      <c r="F142" s="70">
        <v>239.95</v>
      </c>
      <c r="G142" s="71">
        <f t="shared" si="40"/>
        <v>20.7750280808502</v>
      </c>
      <c r="H142" s="71">
        <f t="shared" si="41"/>
        <v>4984.967988</v>
      </c>
      <c r="I142" s="78">
        <v>2</v>
      </c>
      <c r="J142" s="78">
        <v>2</v>
      </c>
      <c r="K142" s="79">
        <f t="shared" si="42"/>
        <v>2681.972073</v>
      </c>
      <c r="L142" s="79">
        <f t="shared" si="43"/>
        <v>1242.272073</v>
      </c>
      <c r="M142" s="78">
        <v>2</v>
      </c>
      <c r="N142" s="80">
        <v>0</v>
      </c>
      <c r="O142" s="78">
        <v>0</v>
      </c>
      <c r="P142" s="71">
        <f t="shared" si="44"/>
        <v>479.9</v>
      </c>
      <c r="Q142" s="80">
        <v>3742.695915</v>
      </c>
      <c r="R142" s="71">
        <f t="shared" si="45"/>
        <v>1439.7</v>
      </c>
      <c r="S142" s="71">
        <v>0</v>
      </c>
      <c r="T142" s="79">
        <f t="shared" si="46"/>
        <v>1242.272073</v>
      </c>
      <c r="U142" s="79"/>
      <c r="V142" s="80">
        <v>0</v>
      </c>
      <c r="W142" s="78">
        <v>0</v>
      </c>
      <c r="X142" s="79"/>
      <c r="Y142" s="80">
        <v>1242.272073</v>
      </c>
      <c r="Z142" s="80">
        <v>0</v>
      </c>
      <c r="AA142" s="71">
        <f t="shared" si="47"/>
        <v>0</v>
      </c>
      <c r="AB142" s="80">
        <v>0</v>
      </c>
      <c r="AC142" s="71">
        <f t="shared" si="48"/>
        <v>0</v>
      </c>
      <c r="AD142" s="80">
        <v>0</v>
      </c>
      <c r="AE142" s="71">
        <f t="shared" si="49"/>
        <v>0</v>
      </c>
      <c r="AF142" s="83">
        <v>0</v>
      </c>
      <c r="AG142" s="71">
        <f t="shared" si="50"/>
        <v>0</v>
      </c>
      <c r="AH142" s="80">
        <v>0</v>
      </c>
      <c r="AI142" s="71">
        <f t="shared" si="51"/>
        <v>0</v>
      </c>
      <c r="AJ142" s="80">
        <v>0</v>
      </c>
      <c r="AK142" s="80">
        <v>0</v>
      </c>
      <c r="AL142" s="80">
        <v>0</v>
      </c>
      <c r="AM142" s="80">
        <v>0</v>
      </c>
      <c r="AN142" s="80">
        <v>0</v>
      </c>
      <c r="AO142" s="80">
        <v>0</v>
      </c>
      <c r="AP142" s="71">
        <f t="shared" si="52"/>
        <v>479.9</v>
      </c>
      <c r="AQ142" s="93">
        <f t="shared" si="53"/>
        <v>0</v>
      </c>
      <c r="AR142" s="94">
        <f t="shared" si="54"/>
        <v>0.9598</v>
      </c>
      <c r="AS142" s="71">
        <f t="shared" si="55"/>
        <v>0.71985</v>
      </c>
      <c r="AT142" s="78">
        <v>0</v>
      </c>
      <c r="AU142" s="71">
        <f t="shared" si="56"/>
        <v>0.191118780461538</v>
      </c>
      <c r="AV142" s="71">
        <f t="shared" si="57"/>
        <v>0.57588</v>
      </c>
      <c r="AW142" s="97"/>
      <c r="AX142" s="71"/>
      <c r="AY142" s="71">
        <f t="shared" si="58"/>
        <v>0</v>
      </c>
      <c r="AZ142" s="71"/>
      <c r="BA142" s="67">
        <f t="shared" si="59"/>
        <v>0.766998780461538</v>
      </c>
      <c r="BB142" s="78"/>
      <c r="BH142" s="99"/>
    </row>
    <row r="143" s="51" customFormat="1" ht="13.5" customHeight="1" spans="1:60">
      <c r="A143" s="68">
        <v>138</v>
      </c>
      <c r="B143" s="69" t="s">
        <v>102</v>
      </c>
      <c r="C143" s="69" t="s">
        <v>102</v>
      </c>
      <c r="D143" s="69" t="s">
        <v>114</v>
      </c>
      <c r="E143" s="69" t="s">
        <v>111</v>
      </c>
      <c r="F143" s="70">
        <v>529.9</v>
      </c>
      <c r="G143" s="71">
        <f t="shared" si="40"/>
        <v>16.5551228533686</v>
      </c>
      <c r="H143" s="71">
        <f t="shared" si="41"/>
        <v>8772.5596</v>
      </c>
      <c r="I143" s="78">
        <v>2</v>
      </c>
      <c r="J143" s="78">
        <v>2</v>
      </c>
      <c r="K143" s="79">
        <f t="shared" si="42"/>
        <v>6809.826223</v>
      </c>
      <c r="L143" s="79">
        <f t="shared" si="43"/>
        <v>3630.426223</v>
      </c>
      <c r="M143" s="78">
        <v>2</v>
      </c>
      <c r="N143" s="80">
        <v>0</v>
      </c>
      <c r="O143" s="78">
        <v>0</v>
      </c>
      <c r="P143" s="71">
        <f t="shared" si="44"/>
        <v>1059.8</v>
      </c>
      <c r="Q143" s="80">
        <v>5142.133377</v>
      </c>
      <c r="R143" s="71">
        <f t="shared" si="45"/>
        <v>3179.4</v>
      </c>
      <c r="S143" s="71">
        <v>0</v>
      </c>
      <c r="T143" s="79">
        <f t="shared" si="46"/>
        <v>1661.414273</v>
      </c>
      <c r="U143" s="79"/>
      <c r="V143" s="80">
        <v>0</v>
      </c>
      <c r="W143" s="78">
        <v>0</v>
      </c>
      <c r="X143" s="79"/>
      <c r="Y143" s="80">
        <v>1157.860906</v>
      </c>
      <c r="Z143" s="80">
        <v>17.572911</v>
      </c>
      <c r="AA143" s="71">
        <f t="shared" si="47"/>
        <v>35.145822</v>
      </c>
      <c r="AB143" s="80">
        <v>0</v>
      </c>
      <c r="AC143" s="71">
        <f t="shared" si="48"/>
        <v>0</v>
      </c>
      <c r="AD143" s="80">
        <v>0</v>
      </c>
      <c r="AE143" s="71">
        <f t="shared" si="49"/>
        <v>0</v>
      </c>
      <c r="AF143" s="83">
        <v>0</v>
      </c>
      <c r="AG143" s="71">
        <f t="shared" si="50"/>
        <v>0</v>
      </c>
      <c r="AH143" s="80">
        <v>0</v>
      </c>
      <c r="AI143" s="71">
        <f t="shared" si="51"/>
        <v>0</v>
      </c>
      <c r="AJ143" s="80">
        <v>503.553367</v>
      </c>
      <c r="AK143" s="80">
        <v>0</v>
      </c>
      <c r="AL143" s="80">
        <v>0</v>
      </c>
      <c r="AM143" s="80">
        <v>0</v>
      </c>
      <c r="AN143" s="80">
        <v>0</v>
      </c>
      <c r="AO143" s="80">
        <v>1933.866128</v>
      </c>
      <c r="AP143" s="71">
        <f t="shared" si="52"/>
        <v>1059.8</v>
      </c>
      <c r="AQ143" s="93">
        <f t="shared" si="53"/>
        <v>0</v>
      </c>
      <c r="AR143" s="94">
        <f t="shared" si="54"/>
        <v>2.1196</v>
      </c>
      <c r="AS143" s="71">
        <f t="shared" si="55"/>
        <v>1.5897</v>
      </c>
      <c r="AT143" s="78">
        <v>2</v>
      </c>
      <c r="AU143" s="71">
        <f t="shared" si="56"/>
        <v>0.255602195846154</v>
      </c>
      <c r="AV143" s="71">
        <f t="shared" si="57"/>
        <v>1.27176</v>
      </c>
      <c r="AW143" s="97"/>
      <c r="AX143" s="71"/>
      <c r="AY143" s="71">
        <f t="shared" si="58"/>
        <v>0.15470929024</v>
      </c>
      <c r="AZ143" s="71"/>
      <c r="BA143" s="67">
        <f t="shared" si="59"/>
        <v>1.52736219584615</v>
      </c>
      <c r="BB143" s="78"/>
      <c r="BH143" s="99"/>
    </row>
    <row r="144" s="51" customFormat="1" ht="13.5" customHeight="1" spans="1:60">
      <c r="A144" s="68">
        <v>139</v>
      </c>
      <c r="B144" s="69" t="s">
        <v>102</v>
      </c>
      <c r="C144" s="69" t="s">
        <v>102</v>
      </c>
      <c r="D144" s="69" t="s">
        <v>88</v>
      </c>
      <c r="E144" s="69" t="s">
        <v>223</v>
      </c>
      <c r="F144" s="70">
        <v>235.24</v>
      </c>
      <c r="G144" s="71">
        <f t="shared" si="40"/>
        <v>24.5172937170549</v>
      </c>
      <c r="H144" s="71">
        <f t="shared" si="41"/>
        <v>5767.448174</v>
      </c>
      <c r="I144" s="78">
        <v>2</v>
      </c>
      <c r="J144" s="78">
        <v>2</v>
      </c>
      <c r="K144" s="79">
        <f t="shared" si="42"/>
        <v>3570.48475</v>
      </c>
      <c r="L144" s="79">
        <f t="shared" si="43"/>
        <v>2159.04475</v>
      </c>
      <c r="M144" s="78">
        <v>2</v>
      </c>
      <c r="N144" s="80">
        <v>0</v>
      </c>
      <c r="O144" s="78">
        <v>0</v>
      </c>
      <c r="P144" s="71">
        <f t="shared" si="44"/>
        <v>470.48</v>
      </c>
      <c r="Q144" s="80">
        <v>3608.403424</v>
      </c>
      <c r="R144" s="71">
        <f t="shared" si="45"/>
        <v>1411.44</v>
      </c>
      <c r="S144" s="71">
        <v>0</v>
      </c>
      <c r="T144" s="79">
        <f t="shared" si="46"/>
        <v>1571.117497</v>
      </c>
      <c r="U144" s="79"/>
      <c r="V144" s="80">
        <v>0</v>
      </c>
      <c r="W144" s="78">
        <v>0</v>
      </c>
      <c r="X144" s="79"/>
      <c r="Y144" s="80">
        <v>1205.169333</v>
      </c>
      <c r="Z144" s="80">
        <v>0</v>
      </c>
      <c r="AA144" s="71">
        <f t="shared" si="47"/>
        <v>0</v>
      </c>
      <c r="AB144" s="80">
        <v>0</v>
      </c>
      <c r="AC144" s="71">
        <f t="shared" si="48"/>
        <v>0</v>
      </c>
      <c r="AD144" s="80">
        <v>0</v>
      </c>
      <c r="AE144" s="71">
        <f t="shared" si="49"/>
        <v>0</v>
      </c>
      <c r="AF144" s="83">
        <v>0</v>
      </c>
      <c r="AG144" s="71">
        <f t="shared" si="50"/>
        <v>0</v>
      </c>
      <c r="AH144" s="80">
        <v>0</v>
      </c>
      <c r="AI144" s="71">
        <f t="shared" si="51"/>
        <v>0</v>
      </c>
      <c r="AJ144" s="80">
        <v>365.948164</v>
      </c>
      <c r="AK144" s="80">
        <v>0</v>
      </c>
      <c r="AL144" s="80">
        <v>0</v>
      </c>
      <c r="AM144" s="80">
        <v>0</v>
      </c>
      <c r="AN144" s="80">
        <v>0</v>
      </c>
      <c r="AO144" s="80">
        <v>587.927253</v>
      </c>
      <c r="AP144" s="71">
        <f t="shared" si="52"/>
        <v>470.48</v>
      </c>
      <c r="AQ144" s="93">
        <f t="shared" si="53"/>
        <v>0</v>
      </c>
      <c r="AR144" s="94">
        <f t="shared" si="54"/>
        <v>0.94096</v>
      </c>
      <c r="AS144" s="71">
        <f t="shared" si="55"/>
        <v>0.70572</v>
      </c>
      <c r="AT144" s="78">
        <v>0</v>
      </c>
      <c r="AU144" s="71">
        <f t="shared" si="56"/>
        <v>0.241710384153846</v>
      </c>
      <c r="AV144" s="71">
        <f t="shared" si="57"/>
        <v>0.564576</v>
      </c>
      <c r="AW144" s="97"/>
      <c r="AX144" s="71"/>
      <c r="AY144" s="71">
        <f t="shared" si="58"/>
        <v>0.04703418024</v>
      </c>
      <c r="AZ144" s="71"/>
      <c r="BA144" s="67">
        <f t="shared" si="59"/>
        <v>0.806286384153846</v>
      </c>
      <c r="BB144" s="78"/>
      <c r="BH144" s="99"/>
    </row>
    <row r="145" s="51" customFormat="1" ht="13.5" customHeight="1" spans="1:60">
      <c r="A145" s="68">
        <v>140</v>
      </c>
      <c r="B145" s="69" t="s">
        <v>97</v>
      </c>
      <c r="C145" s="69" t="s">
        <v>97</v>
      </c>
      <c r="D145" s="69" t="s">
        <v>114</v>
      </c>
      <c r="E145" s="69" t="s">
        <v>88</v>
      </c>
      <c r="F145" s="70">
        <v>441.84</v>
      </c>
      <c r="G145" s="71">
        <f t="shared" si="40"/>
        <v>17.5895766567083</v>
      </c>
      <c r="H145" s="71">
        <f t="shared" si="41"/>
        <v>7771.77855</v>
      </c>
      <c r="I145" s="78">
        <v>2</v>
      </c>
      <c r="J145" s="78">
        <v>2</v>
      </c>
      <c r="K145" s="79">
        <f t="shared" si="42"/>
        <v>6288.208551</v>
      </c>
      <c r="L145" s="79">
        <f t="shared" si="43"/>
        <v>3637.168551</v>
      </c>
      <c r="M145" s="78">
        <v>0</v>
      </c>
      <c r="N145" s="80">
        <v>0</v>
      </c>
      <c r="O145" s="78">
        <v>0</v>
      </c>
      <c r="P145" s="71">
        <f t="shared" si="44"/>
        <v>883.68</v>
      </c>
      <c r="Q145" s="80">
        <v>4134.609999</v>
      </c>
      <c r="R145" s="71">
        <f t="shared" si="45"/>
        <v>2651.04</v>
      </c>
      <c r="S145" s="71">
        <v>0</v>
      </c>
      <c r="T145" s="79">
        <f t="shared" si="46"/>
        <v>2871.741027</v>
      </c>
      <c r="U145" s="79"/>
      <c r="V145" s="80">
        <v>0</v>
      </c>
      <c r="W145" s="78">
        <v>0</v>
      </c>
      <c r="X145" s="79"/>
      <c r="Y145" s="80">
        <v>2129.204172</v>
      </c>
      <c r="Z145" s="80">
        <v>0</v>
      </c>
      <c r="AA145" s="71">
        <f t="shared" si="47"/>
        <v>0</v>
      </c>
      <c r="AB145" s="80">
        <v>0</v>
      </c>
      <c r="AC145" s="71">
        <f t="shared" si="48"/>
        <v>0</v>
      </c>
      <c r="AD145" s="80">
        <v>0</v>
      </c>
      <c r="AE145" s="71">
        <f t="shared" si="49"/>
        <v>0</v>
      </c>
      <c r="AF145" s="83">
        <v>0</v>
      </c>
      <c r="AG145" s="71">
        <f t="shared" si="50"/>
        <v>0</v>
      </c>
      <c r="AH145" s="80">
        <v>0</v>
      </c>
      <c r="AI145" s="71">
        <f t="shared" si="51"/>
        <v>0</v>
      </c>
      <c r="AJ145" s="80">
        <v>742.536855</v>
      </c>
      <c r="AK145" s="80">
        <v>0</v>
      </c>
      <c r="AL145" s="80">
        <v>0</v>
      </c>
      <c r="AM145" s="80">
        <v>0</v>
      </c>
      <c r="AN145" s="80">
        <v>0</v>
      </c>
      <c r="AO145" s="80">
        <v>765.427524</v>
      </c>
      <c r="AP145" s="71">
        <f t="shared" si="52"/>
        <v>883.68</v>
      </c>
      <c r="AQ145" s="93">
        <f t="shared" si="53"/>
        <v>0</v>
      </c>
      <c r="AR145" s="94">
        <f t="shared" si="54"/>
        <v>1.76736</v>
      </c>
      <c r="AS145" s="71">
        <f t="shared" si="55"/>
        <v>1.32552</v>
      </c>
      <c r="AT145" s="78">
        <v>0</v>
      </c>
      <c r="AU145" s="71">
        <f t="shared" si="56"/>
        <v>0.441806311846154</v>
      </c>
      <c r="AV145" s="71">
        <f t="shared" si="57"/>
        <v>1.060416</v>
      </c>
      <c r="AW145" s="71">
        <v>1</v>
      </c>
      <c r="AX145" s="71"/>
      <c r="AY145" s="71">
        <f t="shared" si="58"/>
        <v>0.06123420192</v>
      </c>
      <c r="AZ145" s="71"/>
      <c r="BA145" s="67">
        <f t="shared" si="59"/>
        <v>2.50222231184615</v>
      </c>
      <c r="BB145" s="78"/>
      <c r="BH145" s="99"/>
    </row>
    <row r="146" spans="1:54">
      <c r="A146" s="64">
        <v>141</v>
      </c>
      <c r="B146" s="65" t="s">
        <v>142</v>
      </c>
      <c r="C146" s="65" t="s">
        <v>142</v>
      </c>
      <c r="D146" s="65" t="s">
        <v>80</v>
      </c>
      <c r="E146" s="65" t="s">
        <v>135</v>
      </c>
      <c r="F146" s="66">
        <v>492.57</v>
      </c>
      <c r="G146" s="67">
        <f t="shared" si="40"/>
        <v>28.8352506933025</v>
      </c>
      <c r="H146" s="67">
        <f t="shared" si="41"/>
        <v>14203.379434</v>
      </c>
      <c r="I146" s="75">
        <v>3</v>
      </c>
      <c r="J146" s="75">
        <v>3</v>
      </c>
      <c r="K146" s="76">
        <f t="shared" si="42"/>
        <v>11165.04362</v>
      </c>
      <c r="L146" s="76">
        <f t="shared" si="43"/>
        <v>8209.62362</v>
      </c>
      <c r="M146" s="75">
        <v>0</v>
      </c>
      <c r="N146" s="77">
        <v>0</v>
      </c>
      <c r="O146" s="75">
        <v>0</v>
      </c>
      <c r="P146" s="67">
        <f t="shared" si="44"/>
        <v>985.14</v>
      </c>
      <c r="Q146" s="77">
        <v>5993.755814</v>
      </c>
      <c r="R146" s="67">
        <f t="shared" si="45"/>
        <v>2955.42</v>
      </c>
      <c r="S146" s="67">
        <v>0</v>
      </c>
      <c r="T146" s="76">
        <f t="shared" si="46"/>
        <v>440.696531</v>
      </c>
      <c r="U146" s="76"/>
      <c r="V146" s="77">
        <v>0</v>
      </c>
      <c r="W146" s="75">
        <v>0</v>
      </c>
      <c r="X146" s="76"/>
      <c r="Y146" s="77">
        <v>0</v>
      </c>
      <c r="Z146" s="77">
        <v>0</v>
      </c>
      <c r="AA146" s="67">
        <f t="shared" si="47"/>
        <v>0</v>
      </c>
      <c r="AB146" s="77">
        <v>0</v>
      </c>
      <c r="AC146" s="67">
        <f t="shared" si="48"/>
        <v>0</v>
      </c>
      <c r="AD146" s="77">
        <v>0</v>
      </c>
      <c r="AE146" s="67">
        <f t="shared" si="49"/>
        <v>0</v>
      </c>
      <c r="AF146" s="82">
        <v>0</v>
      </c>
      <c r="AG146" s="67">
        <f t="shared" si="50"/>
        <v>0</v>
      </c>
      <c r="AH146" s="77">
        <v>0</v>
      </c>
      <c r="AI146" s="67">
        <f t="shared" si="51"/>
        <v>0</v>
      </c>
      <c r="AJ146" s="77">
        <v>440.696531</v>
      </c>
      <c r="AK146" s="77">
        <v>0</v>
      </c>
      <c r="AL146" s="77">
        <v>0</v>
      </c>
      <c r="AM146" s="77">
        <v>0</v>
      </c>
      <c r="AN146" s="77">
        <v>0</v>
      </c>
      <c r="AO146" s="77">
        <v>7768.927089</v>
      </c>
      <c r="AP146" s="67">
        <f t="shared" si="52"/>
        <v>985.14</v>
      </c>
      <c r="AQ146" s="91">
        <f t="shared" si="53"/>
        <v>1.97028</v>
      </c>
      <c r="AR146" s="92">
        <f t="shared" si="54"/>
        <v>0</v>
      </c>
      <c r="AS146" s="67">
        <f t="shared" si="55"/>
        <v>0.98514</v>
      </c>
      <c r="AT146" s="75">
        <v>0</v>
      </c>
      <c r="AU146" s="67">
        <f t="shared" si="56"/>
        <v>0.0587595374666667</v>
      </c>
      <c r="AV146" s="71">
        <f t="shared" si="57"/>
        <v>0.844405714285714</v>
      </c>
      <c r="AW146" s="71"/>
      <c r="AX146" s="67"/>
      <c r="AY146" s="67">
        <f t="shared" si="58"/>
        <v>0.62151416712</v>
      </c>
      <c r="AZ146" s="67"/>
      <c r="BA146" s="67">
        <f t="shared" si="59"/>
        <v>0.903165251752381</v>
      </c>
      <c r="BB146" s="75"/>
    </row>
    <row r="147" spans="1:54">
      <c r="A147" s="64">
        <v>142</v>
      </c>
      <c r="B147" s="65" t="s">
        <v>144</v>
      </c>
      <c r="C147" s="65" t="s">
        <v>144</v>
      </c>
      <c r="D147" s="65" t="s">
        <v>80</v>
      </c>
      <c r="E147" s="65" t="s">
        <v>135</v>
      </c>
      <c r="F147" s="66">
        <v>480.07</v>
      </c>
      <c r="G147" s="67">
        <f t="shared" si="40"/>
        <v>25.1183491490824</v>
      </c>
      <c r="H147" s="67">
        <f t="shared" si="41"/>
        <v>12058.565876</v>
      </c>
      <c r="I147" s="75">
        <v>3</v>
      </c>
      <c r="J147" s="75">
        <v>3</v>
      </c>
      <c r="K147" s="76">
        <f t="shared" si="42"/>
        <v>9057.827824</v>
      </c>
      <c r="L147" s="76">
        <f t="shared" si="43"/>
        <v>6177.407824</v>
      </c>
      <c r="M147" s="75">
        <v>2</v>
      </c>
      <c r="N147" s="77">
        <v>0</v>
      </c>
      <c r="O147" s="75">
        <v>0</v>
      </c>
      <c r="P147" s="67">
        <f t="shared" si="44"/>
        <v>960.14</v>
      </c>
      <c r="Q147" s="77">
        <v>5881.158052</v>
      </c>
      <c r="R147" s="67">
        <f t="shared" si="45"/>
        <v>2880.42</v>
      </c>
      <c r="S147" s="67">
        <v>0</v>
      </c>
      <c r="T147" s="76">
        <f t="shared" si="46"/>
        <v>146.132633</v>
      </c>
      <c r="U147" s="76"/>
      <c r="V147" s="77">
        <v>0</v>
      </c>
      <c r="W147" s="75">
        <v>0</v>
      </c>
      <c r="X147" s="76"/>
      <c r="Y147" s="77">
        <v>0</v>
      </c>
      <c r="Z147" s="77">
        <v>0</v>
      </c>
      <c r="AA147" s="67">
        <f t="shared" si="47"/>
        <v>0</v>
      </c>
      <c r="AB147" s="77">
        <v>0</v>
      </c>
      <c r="AC147" s="67">
        <f t="shared" si="48"/>
        <v>0</v>
      </c>
      <c r="AD147" s="77">
        <v>0</v>
      </c>
      <c r="AE147" s="67">
        <f t="shared" si="49"/>
        <v>0</v>
      </c>
      <c r="AF147" s="82">
        <v>0</v>
      </c>
      <c r="AG147" s="67">
        <f t="shared" si="50"/>
        <v>0</v>
      </c>
      <c r="AH147" s="77">
        <v>0</v>
      </c>
      <c r="AI147" s="67">
        <f t="shared" si="51"/>
        <v>0</v>
      </c>
      <c r="AJ147" s="77">
        <v>146.132633</v>
      </c>
      <c r="AK147" s="77">
        <v>0</v>
      </c>
      <c r="AL147" s="77">
        <v>0</v>
      </c>
      <c r="AM147" s="77">
        <v>0</v>
      </c>
      <c r="AN147" s="77">
        <v>0</v>
      </c>
      <c r="AO147" s="77">
        <v>6031.275191</v>
      </c>
      <c r="AP147" s="67">
        <f t="shared" si="52"/>
        <v>960.14</v>
      </c>
      <c r="AQ147" s="91">
        <f t="shared" si="53"/>
        <v>1.92028</v>
      </c>
      <c r="AR147" s="92">
        <f t="shared" si="54"/>
        <v>0</v>
      </c>
      <c r="AS147" s="67">
        <f t="shared" si="55"/>
        <v>0.96014</v>
      </c>
      <c r="AT147" s="75">
        <v>0</v>
      </c>
      <c r="AU147" s="67">
        <f t="shared" si="56"/>
        <v>0.0194843510666667</v>
      </c>
      <c r="AV147" s="71">
        <f t="shared" si="57"/>
        <v>0.822977142857143</v>
      </c>
      <c r="AW147" s="71"/>
      <c r="AX147" s="67"/>
      <c r="AY147" s="67">
        <f t="shared" si="58"/>
        <v>0.48250201528</v>
      </c>
      <c r="AZ147" s="67"/>
      <c r="BA147" s="67">
        <f t="shared" si="59"/>
        <v>0.84246149392381</v>
      </c>
      <c r="BB147" s="75"/>
    </row>
    <row r="148" spans="1:54">
      <c r="A148" s="64">
        <v>143</v>
      </c>
      <c r="B148" s="65" t="s">
        <v>224</v>
      </c>
      <c r="C148" s="65" t="s">
        <v>224</v>
      </c>
      <c r="D148" s="65" t="s">
        <v>92</v>
      </c>
      <c r="E148" s="65" t="s">
        <v>87</v>
      </c>
      <c r="F148" s="66">
        <v>498.68</v>
      </c>
      <c r="G148" s="67">
        <f t="shared" si="40"/>
        <v>26.9375388345231</v>
      </c>
      <c r="H148" s="67">
        <f t="shared" si="41"/>
        <v>13433.211866</v>
      </c>
      <c r="I148" s="75">
        <v>3</v>
      </c>
      <c r="J148" s="75">
        <v>3</v>
      </c>
      <c r="K148" s="76">
        <f t="shared" si="42"/>
        <v>8908.004793</v>
      </c>
      <c r="L148" s="76">
        <f t="shared" si="43"/>
        <v>5915.924793</v>
      </c>
      <c r="M148" s="75">
        <v>2</v>
      </c>
      <c r="N148" s="77">
        <v>0</v>
      </c>
      <c r="O148" s="75">
        <v>0</v>
      </c>
      <c r="P148" s="67">
        <f t="shared" si="44"/>
        <v>997.36</v>
      </c>
      <c r="Q148" s="77">
        <v>7517.287073</v>
      </c>
      <c r="R148" s="67">
        <f t="shared" si="45"/>
        <v>2992.08</v>
      </c>
      <c r="S148" s="67">
        <v>0</v>
      </c>
      <c r="T148" s="76">
        <f t="shared" si="46"/>
        <v>2736.795665</v>
      </c>
      <c r="U148" s="76"/>
      <c r="V148" s="77">
        <v>0</v>
      </c>
      <c r="W148" s="75">
        <v>0</v>
      </c>
      <c r="X148" s="76"/>
      <c r="Y148" s="77">
        <v>2542.182314</v>
      </c>
      <c r="Z148" s="77">
        <v>40.083814</v>
      </c>
      <c r="AA148" s="67">
        <f t="shared" si="47"/>
        <v>80.167628</v>
      </c>
      <c r="AB148" s="77">
        <v>0</v>
      </c>
      <c r="AC148" s="67">
        <f t="shared" si="48"/>
        <v>0</v>
      </c>
      <c r="AD148" s="77">
        <v>0</v>
      </c>
      <c r="AE148" s="67">
        <f t="shared" si="49"/>
        <v>0</v>
      </c>
      <c r="AF148" s="82">
        <v>0</v>
      </c>
      <c r="AG148" s="67">
        <f t="shared" si="50"/>
        <v>0</v>
      </c>
      <c r="AH148" s="77">
        <v>0</v>
      </c>
      <c r="AI148" s="67">
        <f t="shared" si="51"/>
        <v>0</v>
      </c>
      <c r="AJ148" s="77">
        <v>194.613351</v>
      </c>
      <c r="AK148" s="77">
        <v>0</v>
      </c>
      <c r="AL148" s="77">
        <v>0</v>
      </c>
      <c r="AM148" s="77">
        <v>0</v>
      </c>
      <c r="AN148" s="77">
        <v>0</v>
      </c>
      <c r="AO148" s="77">
        <v>3098.9615</v>
      </c>
      <c r="AP148" s="67">
        <f t="shared" si="52"/>
        <v>997.36</v>
      </c>
      <c r="AQ148" s="91">
        <f t="shared" si="53"/>
        <v>1.99472</v>
      </c>
      <c r="AR148" s="92">
        <f t="shared" si="54"/>
        <v>0</v>
      </c>
      <c r="AS148" s="67">
        <f t="shared" si="55"/>
        <v>0.99736</v>
      </c>
      <c r="AT148" s="75">
        <v>0</v>
      </c>
      <c r="AU148" s="67">
        <f t="shared" si="56"/>
        <v>0.364906088666667</v>
      </c>
      <c r="AV148" s="71">
        <f t="shared" si="57"/>
        <v>0.85488</v>
      </c>
      <c r="AW148" s="71"/>
      <c r="AX148" s="67"/>
      <c r="AY148" s="67">
        <f t="shared" si="58"/>
        <v>0.24791692</v>
      </c>
      <c r="AZ148" s="67"/>
      <c r="BA148" s="67">
        <f t="shared" si="59"/>
        <v>1.21978608866667</v>
      </c>
      <c r="BB148" s="75"/>
    </row>
    <row r="149" spans="1:54">
      <c r="A149" s="64">
        <v>144</v>
      </c>
      <c r="B149" s="65" t="s">
        <v>225</v>
      </c>
      <c r="C149" s="65" t="s">
        <v>225</v>
      </c>
      <c r="D149" s="65" t="s">
        <v>226</v>
      </c>
      <c r="E149" s="65" t="s">
        <v>227</v>
      </c>
      <c r="F149" s="66">
        <v>51.87</v>
      </c>
      <c r="G149" s="67">
        <f t="shared" si="40"/>
        <v>5.25190618854829</v>
      </c>
      <c r="H149" s="67">
        <f t="shared" si="41"/>
        <v>272.416374</v>
      </c>
      <c r="I149" s="75">
        <v>3</v>
      </c>
      <c r="J149" s="75">
        <v>3</v>
      </c>
      <c r="K149" s="76">
        <f t="shared" si="42"/>
        <v>360.971888</v>
      </c>
      <c r="L149" s="76">
        <f t="shared" si="43"/>
        <v>49.751888</v>
      </c>
      <c r="M149" s="75">
        <v>0</v>
      </c>
      <c r="N149" s="77">
        <v>0</v>
      </c>
      <c r="O149" s="75">
        <v>0</v>
      </c>
      <c r="P149" s="67">
        <f t="shared" si="44"/>
        <v>103.74</v>
      </c>
      <c r="Q149" s="77">
        <v>222.664486</v>
      </c>
      <c r="R149" s="67">
        <f t="shared" si="45"/>
        <v>311.22</v>
      </c>
      <c r="S149" s="67">
        <v>0</v>
      </c>
      <c r="T149" s="76">
        <f t="shared" si="46"/>
        <v>0</v>
      </c>
      <c r="U149" s="76"/>
      <c r="V149" s="77">
        <v>0</v>
      </c>
      <c r="W149" s="75">
        <v>0</v>
      </c>
      <c r="X149" s="76"/>
      <c r="Y149" s="77">
        <v>0</v>
      </c>
      <c r="Z149" s="77">
        <v>0</v>
      </c>
      <c r="AA149" s="67">
        <f t="shared" si="47"/>
        <v>0</v>
      </c>
      <c r="AB149" s="77">
        <v>0</v>
      </c>
      <c r="AC149" s="67">
        <f t="shared" si="48"/>
        <v>0</v>
      </c>
      <c r="AD149" s="77">
        <v>0</v>
      </c>
      <c r="AE149" s="67">
        <f t="shared" si="49"/>
        <v>0</v>
      </c>
      <c r="AF149" s="82">
        <v>0</v>
      </c>
      <c r="AG149" s="67">
        <f t="shared" si="50"/>
        <v>0</v>
      </c>
      <c r="AH149" s="77">
        <v>0</v>
      </c>
      <c r="AI149" s="67">
        <f t="shared" si="51"/>
        <v>0</v>
      </c>
      <c r="AJ149" s="77">
        <v>0</v>
      </c>
      <c r="AK149" s="77">
        <v>0</v>
      </c>
      <c r="AL149" s="77">
        <v>0</v>
      </c>
      <c r="AM149" s="77">
        <v>0</v>
      </c>
      <c r="AN149" s="77">
        <v>0</v>
      </c>
      <c r="AO149" s="77">
        <v>49.751888</v>
      </c>
      <c r="AP149" s="67">
        <f t="shared" si="52"/>
        <v>103.74</v>
      </c>
      <c r="AQ149" s="91">
        <f t="shared" si="53"/>
        <v>0.20748</v>
      </c>
      <c r="AR149" s="92">
        <f t="shared" si="54"/>
        <v>0</v>
      </c>
      <c r="AS149" s="67">
        <f t="shared" si="55"/>
        <v>0.10374</v>
      </c>
      <c r="AT149" s="75">
        <v>0</v>
      </c>
      <c r="AU149" s="67">
        <f t="shared" si="56"/>
        <v>0</v>
      </c>
      <c r="AV149" s="71">
        <f t="shared" si="57"/>
        <v>0.08892</v>
      </c>
      <c r="AW149" s="71"/>
      <c r="AX149" s="67"/>
      <c r="AY149" s="67">
        <f t="shared" si="58"/>
        <v>0.00398015104</v>
      </c>
      <c r="AZ149" s="67"/>
      <c r="BA149" s="67">
        <f t="shared" si="59"/>
        <v>0.08892</v>
      </c>
      <c r="BB149" s="75"/>
    </row>
    <row r="150" spans="1:54">
      <c r="A150" s="64">
        <v>145</v>
      </c>
      <c r="B150" s="65" t="s">
        <v>228</v>
      </c>
      <c r="C150" s="65" t="s">
        <v>228</v>
      </c>
      <c r="D150" s="65" t="s">
        <v>83</v>
      </c>
      <c r="E150" s="65" t="s">
        <v>180</v>
      </c>
      <c r="F150" s="66">
        <v>433.02</v>
      </c>
      <c r="G150" s="67">
        <f t="shared" si="40"/>
        <v>16.8462756477761</v>
      </c>
      <c r="H150" s="67">
        <f t="shared" si="41"/>
        <v>7294.774281</v>
      </c>
      <c r="I150" s="75">
        <v>3</v>
      </c>
      <c r="J150" s="75">
        <v>3</v>
      </c>
      <c r="K150" s="76">
        <f t="shared" si="42"/>
        <v>6672.676361</v>
      </c>
      <c r="L150" s="76">
        <f t="shared" si="43"/>
        <v>4074.556361</v>
      </c>
      <c r="M150" s="75">
        <v>0</v>
      </c>
      <c r="N150" s="77">
        <v>0</v>
      </c>
      <c r="O150" s="75">
        <v>0</v>
      </c>
      <c r="P150" s="67">
        <f t="shared" si="44"/>
        <v>866.04</v>
      </c>
      <c r="Q150" s="77">
        <v>3220.21792</v>
      </c>
      <c r="R150" s="67">
        <f t="shared" si="45"/>
        <v>2598.12</v>
      </c>
      <c r="S150" s="67">
        <v>0</v>
      </c>
      <c r="T150" s="76">
        <f t="shared" si="46"/>
        <v>4061.986371</v>
      </c>
      <c r="U150" s="76"/>
      <c r="V150" s="77">
        <v>0</v>
      </c>
      <c r="W150" s="75">
        <v>0</v>
      </c>
      <c r="X150" s="76"/>
      <c r="Y150" s="77">
        <v>3619.750471</v>
      </c>
      <c r="Z150" s="77">
        <v>0</v>
      </c>
      <c r="AA150" s="67">
        <f t="shared" si="47"/>
        <v>0</v>
      </c>
      <c r="AB150" s="77">
        <v>0</v>
      </c>
      <c r="AC150" s="67">
        <f t="shared" si="48"/>
        <v>0</v>
      </c>
      <c r="AD150" s="77">
        <v>0</v>
      </c>
      <c r="AE150" s="67">
        <f t="shared" si="49"/>
        <v>0</v>
      </c>
      <c r="AF150" s="82">
        <v>0</v>
      </c>
      <c r="AG150" s="67">
        <f t="shared" si="50"/>
        <v>0</v>
      </c>
      <c r="AH150" s="77">
        <v>0</v>
      </c>
      <c r="AI150" s="67">
        <f t="shared" si="51"/>
        <v>0</v>
      </c>
      <c r="AJ150" s="77">
        <v>442.2359</v>
      </c>
      <c r="AK150" s="77">
        <v>0</v>
      </c>
      <c r="AL150" s="77">
        <v>0</v>
      </c>
      <c r="AM150" s="77">
        <v>0</v>
      </c>
      <c r="AN150" s="77">
        <v>0</v>
      </c>
      <c r="AO150" s="77">
        <v>12.56999</v>
      </c>
      <c r="AP150" s="67">
        <f t="shared" si="52"/>
        <v>866.04</v>
      </c>
      <c r="AQ150" s="91">
        <f t="shared" si="53"/>
        <v>1.73208</v>
      </c>
      <c r="AR150" s="92">
        <f t="shared" si="54"/>
        <v>0</v>
      </c>
      <c r="AS150" s="67">
        <f t="shared" si="55"/>
        <v>0.86604</v>
      </c>
      <c r="AT150" s="75">
        <v>0</v>
      </c>
      <c r="AU150" s="67">
        <f t="shared" si="56"/>
        <v>0.5415981828</v>
      </c>
      <c r="AV150" s="71">
        <f t="shared" si="57"/>
        <v>0.74232</v>
      </c>
      <c r="AW150" s="71"/>
      <c r="AX150" s="67"/>
      <c r="AY150" s="67">
        <f t="shared" si="58"/>
        <v>0.0010055992</v>
      </c>
      <c r="AZ150" s="67"/>
      <c r="BA150" s="67">
        <f t="shared" si="59"/>
        <v>1.2839181828</v>
      </c>
      <c r="BB150" s="75"/>
    </row>
    <row r="151" spans="1:54">
      <c r="A151" s="64">
        <v>146</v>
      </c>
      <c r="B151" s="65" t="s">
        <v>226</v>
      </c>
      <c r="C151" s="65" t="s">
        <v>226</v>
      </c>
      <c r="D151" s="65" t="s">
        <v>92</v>
      </c>
      <c r="E151" s="65" t="s">
        <v>227</v>
      </c>
      <c r="F151" s="66">
        <v>111.26</v>
      </c>
      <c r="G151" s="67">
        <f t="shared" si="40"/>
        <v>51.390987911199</v>
      </c>
      <c r="H151" s="67">
        <f t="shared" si="41"/>
        <v>5717.761315</v>
      </c>
      <c r="I151" s="75">
        <v>3</v>
      </c>
      <c r="J151" s="75">
        <v>3</v>
      </c>
      <c r="K151" s="76">
        <f t="shared" si="42"/>
        <v>4702.203663</v>
      </c>
      <c r="L151" s="76">
        <f t="shared" si="43"/>
        <v>4034.643663</v>
      </c>
      <c r="M151" s="75">
        <v>2</v>
      </c>
      <c r="N151" s="77">
        <v>0</v>
      </c>
      <c r="O151" s="75">
        <v>0</v>
      </c>
      <c r="P151" s="67">
        <f t="shared" si="44"/>
        <v>222.52</v>
      </c>
      <c r="Q151" s="77">
        <v>1683.117652</v>
      </c>
      <c r="R151" s="67">
        <f t="shared" si="45"/>
        <v>667.56</v>
      </c>
      <c r="S151" s="67">
        <v>0</v>
      </c>
      <c r="T151" s="76">
        <f t="shared" si="46"/>
        <v>979.298013</v>
      </c>
      <c r="U151" s="76"/>
      <c r="V151" s="77">
        <v>0</v>
      </c>
      <c r="W151" s="75">
        <v>0</v>
      </c>
      <c r="X151" s="76"/>
      <c r="Y151" s="77">
        <v>419.026297</v>
      </c>
      <c r="Z151" s="77">
        <v>0</v>
      </c>
      <c r="AA151" s="67">
        <f t="shared" si="47"/>
        <v>0</v>
      </c>
      <c r="AB151" s="77">
        <v>0</v>
      </c>
      <c r="AC151" s="67">
        <f t="shared" si="48"/>
        <v>0</v>
      </c>
      <c r="AD151" s="77">
        <v>0</v>
      </c>
      <c r="AE151" s="67">
        <f t="shared" si="49"/>
        <v>0</v>
      </c>
      <c r="AF151" s="82">
        <v>0</v>
      </c>
      <c r="AG151" s="67">
        <f t="shared" si="50"/>
        <v>0</v>
      </c>
      <c r="AH151" s="77">
        <v>0</v>
      </c>
      <c r="AI151" s="67">
        <f t="shared" si="51"/>
        <v>0</v>
      </c>
      <c r="AJ151" s="77">
        <v>383.531571</v>
      </c>
      <c r="AK151" s="77">
        <v>176.740145</v>
      </c>
      <c r="AL151" s="77">
        <v>0</v>
      </c>
      <c r="AM151" s="77">
        <v>405.674687</v>
      </c>
      <c r="AN151" s="77">
        <v>0</v>
      </c>
      <c r="AO151" s="77">
        <v>2649.670963</v>
      </c>
      <c r="AP151" s="67">
        <f t="shared" si="52"/>
        <v>222.52</v>
      </c>
      <c r="AQ151" s="91">
        <f t="shared" si="53"/>
        <v>0.44504</v>
      </c>
      <c r="AR151" s="92">
        <f t="shared" si="54"/>
        <v>0</v>
      </c>
      <c r="AS151" s="67">
        <f t="shared" si="55"/>
        <v>0.22252</v>
      </c>
      <c r="AT151" s="75">
        <v>0</v>
      </c>
      <c r="AU151" s="67">
        <f t="shared" si="56"/>
        <v>0.1305730684</v>
      </c>
      <c r="AV151" s="71">
        <f t="shared" si="57"/>
        <v>0.190731428571429</v>
      </c>
      <c r="AW151" s="71"/>
      <c r="AX151" s="67"/>
      <c r="AY151" s="67">
        <f t="shared" si="58"/>
        <v>0.244427652</v>
      </c>
      <c r="AZ151" s="67"/>
      <c r="BA151" s="67">
        <f t="shared" si="59"/>
        <v>0.321304496971429</v>
      </c>
      <c r="BB151" s="75"/>
    </row>
    <row r="152" spans="1:54">
      <c r="A152" s="64">
        <v>147</v>
      </c>
      <c r="B152" s="65" t="s">
        <v>229</v>
      </c>
      <c r="C152" s="65" t="s">
        <v>229</v>
      </c>
      <c r="D152" s="65" t="s">
        <v>137</v>
      </c>
      <c r="E152" s="65" t="s">
        <v>136</v>
      </c>
      <c r="F152" s="66">
        <v>128.12</v>
      </c>
      <c r="G152" s="67">
        <f t="shared" si="40"/>
        <v>7.7047490087418</v>
      </c>
      <c r="H152" s="67">
        <f t="shared" si="41"/>
        <v>987.132443</v>
      </c>
      <c r="I152" s="75">
        <v>3</v>
      </c>
      <c r="J152" s="75">
        <v>3</v>
      </c>
      <c r="K152" s="76">
        <f t="shared" si="42"/>
        <v>1319.680692</v>
      </c>
      <c r="L152" s="76">
        <f t="shared" si="43"/>
        <v>550.960692</v>
      </c>
      <c r="M152" s="75">
        <v>0</v>
      </c>
      <c r="N152" s="77">
        <v>0</v>
      </c>
      <c r="O152" s="75">
        <v>0</v>
      </c>
      <c r="P152" s="67">
        <f t="shared" si="44"/>
        <v>256.24</v>
      </c>
      <c r="Q152" s="77">
        <v>436.171751</v>
      </c>
      <c r="R152" s="67">
        <f t="shared" si="45"/>
        <v>768.72</v>
      </c>
      <c r="S152" s="67">
        <v>0</v>
      </c>
      <c r="T152" s="76">
        <f t="shared" si="46"/>
        <v>480.865309</v>
      </c>
      <c r="U152" s="76"/>
      <c r="V152" s="77">
        <v>0</v>
      </c>
      <c r="W152" s="75">
        <v>0</v>
      </c>
      <c r="X152" s="76"/>
      <c r="Y152" s="77">
        <v>276.874812</v>
      </c>
      <c r="Z152" s="77">
        <v>0</v>
      </c>
      <c r="AA152" s="67">
        <f t="shared" si="47"/>
        <v>0</v>
      </c>
      <c r="AB152" s="77">
        <v>0</v>
      </c>
      <c r="AC152" s="67">
        <f t="shared" si="48"/>
        <v>0</v>
      </c>
      <c r="AD152" s="77">
        <v>0</v>
      </c>
      <c r="AE152" s="67">
        <f t="shared" si="49"/>
        <v>0</v>
      </c>
      <c r="AF152" s="82">
        <v>0</v>
      </c>
      <c r="AG152" s="67">
        <f t="shared" si="50"/>
        <v>0</v>
      </c>
      <c r="AH152" s="77">
        <v>0</v>
      </c>
      <c r="AI152" s="67">
        <f t="shared" si="51"/>
        <v>0</v>
      </c>
      <c r="AJ152" s="77">
        <v>203.990497</v>
      </c>
      <c r="AK152" s="77">
        <v>0</v>
      </c>
      <c r="AL152" s="77">
        <v>0</v>
      </c>
      <c r="AM152" s="77">
        <v>0</v>
      </c>
      <c r="AN152" s="77">
        <v>0</v>
      </c>
      <c r="AO152" s="77">
        <v>70.095383</v>
      </c>
      <c r="AP152" s="67">
        <f t="shared" si="52"/>
        <v>256.24</v>
      </c>
      <c r="AQ152" s="91">
        <f t="shared" si="53"/>
        <v>0.51248</v>
      </c>
      <c r="AR152" s="92">
        <f t="shared" si="54"/>
        <v>0</v>
      </c>
      <c r="AS152" s="67">
        <f t="shared" si="55"/>
        <v>0.25624</v>
      </c>
      <c r="AT152" s="75">
        <v>0</v>
      </c>
      <c r="AU152" s="67">
        <f t="shared" si="56"/>
        <v>0.0641153745333333</v>
      </c>
      <c r="AV152" s="71">
        <f t="shared" si="57"/>
        <v>0.219634285714286</v>
      </c>
      <c r="AW152" s="71"/>
      <c r="AX152" s="67"/>
      <c r="AY152" s="67">
        <f t="shared" si="58"/>
        <v>0.00560763064</v>
      </c>
      <c r="AZ152" s="67"/>
      <c r="BA152" s="67">
        <f t="shared" si="59"/>
        <v>0.283749660247619</v>
      </c>
      <c r="BB152" s="75"/>
    </row>
    <row r="153" spans="1:54">
      <c r="A153" s="64">
        <v>148</v>
      </c>
      <c r="B153" s="65" t="s">
        <v>138</v>
      </c>
      <c r="C153" s="65" t="s">
        <v>138</v>
      </c>
      <c r="D153" s="65" t="s">
        <v>139</v>
      </c>
      <c r="E153" s="65" t="s">
        <v>204</v>
      </c>
      <c r="F153" s="66">
        <v>2078.43</v>
      </c>
      <c r="G153" s="67">
        <f t="shared" si="40"/>
        <v>19.5930250414977</v>
      </c>
      <c r="H153" s="67">
        <f t="shared" si="41"/>
        <v>40722.731037</v>
      </c>
      <c r="I153" s="75">
        <v>3</v>
      </c>
      <c r="J153" s="75">
        <v>3</v>
      </c>
      <c r="K153" s="76">
        <f t="shared" si="42"/>
        <v>38151.897663</v>
      </c>
      <c r="L153" s="76">
        <f t="shared" si="43"/>
        <v>25534.733455</v>
      </c>
      <c r="M153" s="75">
        <v>2</v>
      </c>
      <c r="N153" s="77">
        <v>0</v>
      </c>
      <c r="O153" s="75">
        <v>0</v>
      </c>
      <c r="P153" s="67">
        <f t="shared" si="44"/>
        <v>4156.86</v>
      </c>
      <c r="Q153" s="77">
        <v>15041.413374</v>
      </c>
      <c r="R153" s="67">
        <f t="shared" si="45"/>
        <v>12470.58</v>
      </c>
      <c r="S153" s="67">
        <v>0</v>
      </c>
      <c r="T153" s="76">
        <f t="shared" si="46"/>
        <v>13267.840562</v>
      </c>
      <c r="U153" s="76"/>
      <c r="V153" s="77">
        <v>0</v>
      </c>
      <c r="W153" s="75">
        <v>0</v>
      </c>
      <c r="X153" s="76"/>
      <c r="Y153" s="77">
        <v>5694.77443</v>
      </c>
      <c r="Z153" s="77">
        <v>91.79785</v>
      </c>
      <c r="AA153" s="67">
        <f t="shared" si="47"/>
        <v>183.5957</v>
      </c>
      <c r="AB153" s="77">
        <v>73.292104</v>
      </c>
      <c r="AC153" s="67">
        <f t="shared" si="48"/>
        <v>146.584208</v>
      </c>
      <c r="AD153" s="77">
        <v>0</v>
      </c>
      <c r="AE153" s="67">
        <f t="shared" si="49"/>
        <v>0</v>
      </c>
      <c r="AF153" s="82">
        <v>0</v>
      </c>
      <c r="AG153" s="67">
        <f t="shared" si="50"/>
        <v>0</v>
      </c>
      <c r="AH153" s="77">
        <v>1198.364648</v>
      </c>
      <c r="AI153" s="67">
        <f t="shared" si="51"/>
        <v>2396.729296</v>
      </c>
      <c r="AJ153" s="77">
        <v>5176.336836</v>
      </c>
      <c r="AK153" s="77">
        <v>0</v>
      </c>
      <c r="AL153" s="77">
        <v>0</v>
      </c>
      <c r="AM153" s="77">
        <v>0</v>
      </c>
      <c r="AN153" s="77">
        <v>0</v>
      </c>
      <c r="AO153" s="77">
        <v>12083.297193</v>
      </c>
      <c r="AP153" s="67">
        <f t="shared" si="52"/>
        <v>4156.86</v>
      </c>
      <c r="AQ153" s="91">
        <f t="shared" si="53"/>
        <v>8.31372</v>
      </c>
      <c r="AR153" s="92">
        <f t="shared" si="54"/>
        <v>0</v>
      </c>
      <c r="AS153" s="67">
        <f t="shared" si="55"/>
        <v>4.15686</v>
      </c>
      <c r="AT153" s="75">
        <v>0</v>
      </c>
      <c r="AU153" s="67">
        <f t="shared" si="56"/>
        <v>1.76904540826667</v>
      </c>
      <c r="AV153" s="71">
        <f t="shared" si="57"/>
        <v>3.56302285714286</v>
      </c>
      <c r="AW153" s="71"/>
      <c r="AX153" s="67"/>
      <c r="AY153" s="67">
        <f t="shared" si="58"/>
        <v>0.96666377544</v>
      </c>
      <c r="AZ153" s="67"/>
      <c r="BA153" s="67">
        <f t="shared" si="59"/>
        <v>5.33206826540952</v>
      </c>
      <c r="BB153" s="75"/>
    </row>
    <row r="154" spans="1:54">
      <c r="A154" s="64">
        <v>149</v>
      </c>
      <c r="B154" s="65" t="s">
        <v>230</v>
      </c>
      <c r="C154" s="65" t="s">
        <v>230</v>
      </c>
      <c r="D154" s="65" t="s">
        <v>231</v>
      </c>
      <c r="E154" s="65" t="s">
        <v>138</v>
      </c>
      <c r="F154" s="66">
        <v>1048.07</v>
      </c>
      <c r="G154" s="67">
        <f t="shared" si="40"/>
        <v>8.29030248742927</v>
      </c>
      <c r="H154" s="67">
        <f t="shared" si="41"/>
        <v>8688.817328</v>
      </c>
      <c r="I154" s="75">
        <v>3</v>
      </c>
      <c r="J154" s="75">
        <v>3</v>
      </c>
      <c r="K154" s="76">
        <f t="shared" si="42"/>
        <v>9709.193756</v>
      </c>
      <c r="L154" s="76">
        <f t="shared" si="43"/>
        <v>3420.773756</v>
      </c>
      <c r="M154" s="75">
        <v>0</v>
      </c>
      <c r="N154" s="77">
        <v>0</v>
      </c>
      <c r="O154" s="75">
        <v>0</v>
      </c>
      <c r="P154" s="67">
        <f t="shared" si="44"/>
        <v>2096.14</v>
      </c>
      <c r="Q154" s="77">
        <v>5268.043572</v>
      </c>
      <c r="R154" s="67">
        <f t="shared" si="45"/>
        <v>6288.42</v>
      </c>
      <c r="S154" s="67">
        <v>0</v>
      </c>
      <c r="T154" s="76">
        <f t="shared" si="46"/>
        <v>1298.593876</v>
      </c>
      <c r="U154" s="76"/>
      <c r="V154" s="77">
        <v>0</v>
      </c>
      <c r="W154" s="75">
        <v>0</v>
      </c>
      <c r="X154" s="76"/>
      <c r="Y154" s="77">
        <v>138.37418</v>
      </c>
      <c r="Z154" s="77">
        <v>0</v>
      </c>
      <c r="AA154" s="67">
        <f t="shared" si="47"/>
        <v>0</v>
      </c>
      <c r="AB154" s="77">
        <v>0</v>
      </c>
      <c r="AC154" s="67">
        <f t="shared" si="48"/>
        <v>0</v>
      </c>
      <c r="AD154" s="77">
        <v>0</v>
      </c>
      <c r="AE154" s="67">
        <f t="shared" si="49"/>
        <v>0</v>
      </c>
      <c r="AF154" s="82">
        <v>0</v>
      </c>
      <c r="AG154" s="67">
        <f t="shared" si="50"/>
        <v>0</v>
      </c>
      <c r="AH154" s="77">
        <v>198.8422</v>
      </c>
      <c r="AI154" s="67">
        <f t="shared" si="51"/>
        <v>397.6844</v>
      </c>
      <c r="AJ154" s="77">
        <v>351.609305</v>
      </c>
      <c r="AK154" s="77">
        <v>410.925991</v>
      </c>
      <c r="AL154" s="77">
        <v>0</v>
      </c>
      <c r="AM154" s="77">
        <v>0</v>
      </c>
      <c r="AN154" s="77">
        <v>0</v>
      </c>
      <c r="AO154" s="77">
        <v>2122.17988</v>
      </c>
      <c r="AP154" s="67">
        <f t="shared" si="52"/>
        <v>2096.14</v>
      </c>
      <c r="AQ154" s="91">
        <f t="shared" si="53"/>
        <v>4.19228</v>
      </c>
      <c r="AR154" s="92">
        <f t="shared" si="54"/>
        <v>0</v>
      </c>
      <c r="AS154" s="67">
        <f t="shared" si="55"/>
        <v>2.09614</v>
      </c>
      <c r="AT154" s="75">
        <v>0</v>
      </c>
      <c r="AU154" s="67">
        <f t="shared" si="56"/>
        <v>0.173145850133333</v>
      </c>
      <c r="AV154" s="71">
        <f t="shared" si="57"/>
        <v>1.79669142857143</v>
      </c>
      <c r="AW154" s="71"/>
      <c r="AX154" s="67"/>
      <c r="AY154" s="67">
        <f t="shared" si="58"/>
        <v>0.1697743904</v>
      </c>
      <c r="AZ154" s="67"/>
      <c r="BA154" s="67">
        <f t="shared" si="59"/>
        <v>1.96983727870476</v>
      </c>
      <c r="BB154" s="75"/>
    </row>
    <row r="155" spans="1:54">
      <c r="A155" s="64">
        <v>150</v>
      </c>
      <c r="B155" s="65" t="s">
        <v>232</v>
      </c>
      <c r="C155" s="65" t="s">
        <v>232</v>
      </c>
      <c r="D155" s="65" t="s">
        <v>233</v>
      </c>
      <c r="E155" s="65" t="s">
        <v>234</v>
      </c>
      <c r="F155" s="66">
        <v>949.63</v>
      </c>
      <c r="G155" s="67">
        <f t="shared" si="40"/>
        <v>12.1349545444015</v>
      </c>
      <c r="H155" s="67">
        <f t="shared" si="41"/>
        <v>11523.716884</v>
      </c>
      <c r="I155" s="75">
        <v>3</v>
      </c>
      <c r="J155" s="75">
        <v>3</v>
      </c>
      <c r="K155" s="76">
        <f t="shared" si="42"/>
        <v>13058.101608</v>
      </c>
      <c r="L155" s="76">
        <f t="shared" si="43"/>
        <v>7360.321608</v>
      </c>
      <c r="M155" s="75">
        <v>0</v>
      </c>
      <c r="N155" s="77">
        <v>0</v>
      </c>
      <c r="O155" s="75">
        <v>0</v>
      </c>
      <c r="P155" s="67">
        <f t="shared" si="44"/>
        <v>1899.26</v>
      </c>
      <c r="Q155" s="77">
        <v>4163.395276</v>
      </c>
      <c r="R155" s="67">
        <f t="shared" si="45"/>
        <v>5697.78</v>
      </c>
      <c r="S155" s="67">
        <v>0</v>
      </c>
      <c r="T155" s="76">
        <f t="shared" si="46"/>
        <v>4661.897927</v>
      </c>
      <c r="U155" s="76"/>
      <c r="V155" s="77">
        <v>0</v>
      </c>
      <c r="W155" s="75">
        <v>0</v>
      </c>
      <c r="X155" s="76"/>
      <c r="Y155" s="77">
        <v>794.80154</v>
      </c>
      <c r="Z155" s="77">
        <v>0</v>
      </c>
      <c r="AA155" s="67">
        <f t="shared" si="47"/>
        <v>0</v>
      </c>
      <c r="AB155" s="77">
        <v>0</v>
      </c>
      <c r="AC155" s="67">
        <f t="shared" si="48"/>
        <v>0</v>
      </c>
      <c r="AD155" s="77">
        <v>0</v>
      </c>
      <c r="AE155" s="67">
        <f t="shared" si="49"/>
        <v>0</v>
      </c>
      <c r="AF155" s="82">
        <v>0</v>
      </c>
      <c r="AG155" s="67">
        <f t="shared" si="50"/>
        <v>0</v>
      </c>
      <c r="AH155" s="77">
        <v>31.163694</v>
      </c>
      <c r="AI155" s="67">
        <f t="shared" si="51"/>
        <v>62.327388</v>
      </c>
      <c r="AJ155" s="77">
        <v>3378.227964</v>
      </c>
      <c r="AK155" s="77">
        <v>426.541035</v>
      </c>
      <c r="AL155" s="77">
        <v>0</v>
      </c>
      <c r="AM155" s="77">
        <v>0</v>
      </c>
      <c r="AN155" s="77">
        <v>0</v>
      </c>
      <c r="AO155" s="77">
        <v>2698.423681</v>
      </c>
      <c r="AP155" s="67">
        <f t="shared" si="52"/>
        <v>1899.26</v>
      </c>
      <c r="AQ155" s="91">
        <f t="shared" si="53"/>
        <v>3.79852</v>
      </c>
      <c r="AR155" s="92">
        <f t="shared" si="54"/>
        <v>0</v>
      </c>
      <c r="AS155" s="67">
        <f t="shared" si="55"/>
        <v>1.89926</v>
      </c>
      <c r="AT155" s="75">
        <v>0</v>
      </c>
      <c r="AU155" s="67">
        <f t="shared" si="56"/>
        <v>0.621586390266667</v>
      </c>
      <c r="AV155" s="71">
        <f t="shared" si="57"/>
        <v>1.62793714285714</v>
      </c>
      <c r="AW155" s="71"/>
      <c r="AX155" s="67"/>
      <c r="AY155" s="67">
        <f t="shared" si="58"/>
        <v>0.21587389448</v>
      </c>
      <c r="AZ155" s="67"/>
      <c r="BA155" s="67">
        <f t="shared" si="59"/>
        <v>2.24952353312381</v>
      </c>
      <c r="BB155" s="75"/>
    </row>
    <row r="156" spans="1:54">
      <c r="A156" s="64">
        <v>151</v>
      </c>
      <c r="B156" s="65" t="s">
        <v>235</v>
      </c>
      <c r="C156" s="65" t="s">
        <v>235</v>
      </c>
      <c r="D156" s="65" t="s">
        <v>232</v>
      </c>
      <c r="E156" s="65" t="s">
        <v>138</v>
      </c>
      <c r="F156" s="66">
        <v>116.3</v>
      </c>
      <c r="G156" s="67">
        <f t="shared" si="40"/>
        <v>8.40334827171109</v>
      </c>
      <c r="H156" s="67">
        <f t="shared" si="41"/>
        <v>977.309404</v>
      </c>
      <c r="I156" s="75">
        <v>3</v>
      </c>
      <c r="J156" s="75">
        <v>3</v>
      </c>
      <c r="K156" s="76">
        <f t="shared" si="42"/>
        <v>697.8</v>
      </c>
      <c r="L156" s="76">
        <f t="shared" si="43"/>
        <v>0</v>
      </c>
      <c r="M156" s="75">
        <v>0</v>
      </c>
      <c r="N156" s="77">
        <v>0</v>
      </c>
      <c r="O156" s="75">
        <v>0</v>
      </c>
      <c r="P156" s="67">
        <f t="shared" si="44"/>
        <v>232.6</v>
      </c>
      <c r="Q156" s="77">
        <v>977.309404</v>
      </c>
      <c r="R156" s="67">
        <f t="shared" si="45"/>
        <v>697.8</v>
      </c>
      <c r="S156" s="67">
        <v>0</v>
      </c>
      <c r="T156" s="76">
        <f t="shared" si="46"/>
        <v>0</v>
      </c>
      <c r="U156" s="76"/>
      <c r="V156" s="77">
        <v>0</v>
      </c>
      <c r="W156" s="75">
        <v>0</v>
      </c>
      <c r="X156" s="76"/>
      <c r="Y156" s="77">
        <v>0</v>
      </c>
      <c r="Z156" s="77">
        <v>0</v>
      </c>
      <c r="AA156" s="67">
        <f t="shared" si="47"/>
        <v>0</v>
      </c>
      <c r="AB156" s="77">
        <v>0</v>
      </c>
      <c r="AC156" s="67">
        <f t="shared" si="48"/>
        <v>0</v>
      </c>
      <c r="AD156" s="77">
        <v>0</v>
      </c>
      <c r="AE156" s="67">
        <f t="shared" si="49"/>
        <v>0</v>
      </c>
      <c r="AF156" s="82">
        <v>0</v>
      </c>
      <c r="AG156" s="67">
        <f t="shared" si="50"/>
        <v>0</v>
      </c>
      <c r="AH156" s="77">
        <v>0</v>
      </c>
      <c r="AI156" s="67">
        <f t="shared" si="51"/>
        <v>0</v>
      </c>
      <c r="AJ156" s="77">
        <v>0</v>
      </c>
      <c r="AK156" s="77">
        <v>0</v>
      </c>
      <c r="AL156" s="77">
        <v>0</v>
      </c>
      <c r="AM156" s="77">
        <v>0</v>
      </c>
      <c r="AN156" s="77">
        <v>0</v>
      </c>
      <c r="AO156" s="77">
        <v>0</v>
      </c>
      <c r="AP156" s="67">
        <f t="shared" si="52"/>
        <v>232.6</v>
      </c>
      <c r="AQ156" s="91">
        <f t="shared" si="53"/>
        <v>0.4652</v>
      </c>
      <c r="AR156" s="92">
        <f t="shared" si="54"/>
        <v>0</v>
      </c>
      <c r="AS156" s="67">
        <f t="shared" si="55"/>
        <v>0.2326</v>
      </c>
      <c r="AT156" s="75">
        <v>0</v>
      </c>
      <c r="AU156" s="67">
        <f t="shared" si="56"/>
        <v>0</v>
      </c>
      <c r="AV156" s="71">
        <f t="shared" si="57"/>
        <v>0.199371428571429</v>
      </c>
      <c r="AW156" s="71"/>
      <c r="AX156" s="67"/>
      <c r="AY156" s="67">
        <f t="shared" si="58"/>
        <v>0</v>
      </c>
      <c r="AZ156" s="67"/>
      <c r="BA156" s="67">
        <f t="shared" si="59"/>
        <v>0.199371428571429</v>
      </c>
      <c r="BB156" s="75"/>
    </row>
    <row r="157" spans="1:54">
      <c r="A157" s="64">
        <v>152</v>
      </c>
      <c r="B157" s="65" t="s">
        <v>236</v>
      </c>
      <c r="C157" s="65" t="s">
        <v>236</v>
      </c>
      <c r="D157" s="65" t="s">
        <v>233</v>
      </c>
      <c r="E157" s="65" t="s">
        <v>138</v>
      </c>
      <c r="F157" s="66">
        <v>406.97</v>
      </c>
      <c r="G157" s="67">
        <f t="shared" si="40"/>
        <v>14.1951863405165</v>
      </c>
      <c r="H157" s="67">
        <f t="shared" si="41"/>
        <v>5777.014985</v>
      </c>
      <c r="I157" s="75">
        <v>3</v>
      </c>
      <c r="J157" s="75">
        <v>3</v>
      </c>
      <c r="K157" s="76">
        <f t="shared" si="42"/>
        <v>5473.731115</v>
      </c>
      <c r="L157" s="76">
        <f t="shared" si="43"/>
        <v>3031.911115</v>
      </c>
      <c r="M157" s="75">
        <v>2</v>
      </c>
      <c r="N157" s="77">
        <v>0</v>
      </c>
      <c r="O157" s="75">
        <v>0</v>
      </c>
      <c r="P157" s="67">
        <f t="shared" si="44"/>
        <v>813.94</v>
      </c>
      <c r="Q157" s="77">
        <v>2745.10387</v>
      </c>
      <c r="R157" s="67">
        <f t="shared" si="45"/>
        <v>2441.82</v>
      </c>
      <c r="S157" s="67">
        <v>0</v>
      </c>
      <c r="T157" s="76">
        <f t="shared" si="46"/>
        <v>792.575716</v>
      </c>
      <c r="U157" s="76"/>
      <c r="V157" s="77">
        <v>0</v>
      </c>
      <c r="W157" s="75">
        <v>0</v>
      </c>
      <c r="X157" s="76"/>
      <c r="Y157" s="77">
        <v>28.83399</v>
      </c>
      <c r="Z157" s="77">
        <v>0</v>
      </c>
      <c r="AA157" s="67">
        <f t="shared" si="47"/>
        <v>0</v>
      </c>
      <c r="AB157" s="77">
        <v>0</v>
      </c>
      <c r="AC157" s="67">
        <f t="shared" si="48"/>
        <v>0</v>
      </c>
      <c r="AD157" s="77">
        <v>0</v>
      </c>
      <c r="AE157" s="67">
        <f t="shared" si="49"/>
        <v>0</v>
      </c>
      <c r="AF157" s="82">
        <v>0</v>
      </c>
      <c r="AG157" s="67">
        <f t="shared" si="50"/>
        <v>0</v>
      </c>
      <c r="AH157" s="77">
        <v>0</v>
      </c>
      <c r="AI157" s="67">
        <f t="shared" si="51"/>
        <v>0</v>
      </c>
      <c r="AJ157" s="77">
        <v>354.006905</v>
      </c>
      <c r="AK157" s="77">
        <v>409.734821</v>
      </c>
      <c r="AL157" s="77">
        <v>0</v>
      </c>
      <c r="AM157" s="77">
        <v>0</v>
      </c>
      <c r="AN157" s="77">
        <v>0</v>
      </c>
      <c r="AO157" s="77">
        <v>2239.335399</v>
      </c>
      <c r="AP157" s="67">
        <f t="shared" si="52"/>
        <v>813.94</v>
      </c>
      <c r="AQ157" s="91">
        <f t="shared" si="53"/>
        <v>1.62788</v>
      </c>
      <c r="AR157" s="92">
        <f t="shared" si="54"/>
        <v>0</v>
      </c>
      <c r="AS157" s="67">
        <f t="shared" si="55"/>
        <v>0.81394</v>
      </c>
      <c r="AT157" s="75">
        <v>0</v>
      </c>
      <c r="AU157" s="67">
        <f t="shared" si="56"/>
        <v>0.105676762133333</v>
      </c>
      <c r="AV157" s="71">
        <f t="shared" si="57"/>
        <v>0.697662857142857</v>
      </c>
      <c r="AW157" s="71"/>
      <c r="AX157" s="67"/>
      <c r="AY157" s="67">
        <f t="shared" si="58"/>
        <v>0.17914683192</v>
      </c>
      <c r="AZ157" s="67"/>
      <c r="BA157" s="67">
        <f t="shared" si="59"/>
        <v>0.80333961927619</v>
      </c>
      <c r="BB157" s="75"/>
    </row>
    <row r="158" spans="1:54">
      <c r="A158" s="64">
        <v>153</v>
      </c>
      <c r="B158" s="65" t="s">
        <v>237</v>
      </c>
      <c r="C158" s="65" t="s">
        <v>237</v>
      </c>
      <c r="D158" s="65" t="s">
        <v>238</v>
      </c>
      <c r="E158" s="65" t="s">
        <v>138</v>
      </c>
      <c r="F158" s="66">
        <v>88.64</v>
      </c>
      <c r="G158" s="67">
        <f t="shared" si="40"/>
        <v>54.1172815433213</v>
      </c>
      <c r="H158" s="67">
        <f t="shared" si="41"/>
        <v>4796.955836</v>
      </c>
      <c r="I158" s="75">
        <v>3</v>
      </c>
      <c r="J158" s="75">
        <v>3</v>
      </c>
      <c r="K158" s="76">
        <f t="shared" si="42"/>
        <v>4209.103853</v>
      </c>
      <c r="L158" s="76">
        <f t="shared" si="43"/>
        <v>3677.263853</v>
      </c>
      <c r="M158" s="75">
        <v>2</v>
      </c>
      <c r="N158" s="77">
        <v>0</v>
      </c>
      <c r="O158" s="75">
        <v>0</v>
      </c>
      <c r="P158" s="67">
        <f t="shared" si="44"/>
        <v>177.28</v>
      </c>
      <c r="Q158" s="77">
        <v>1119.691983</v>
      </c>
      <c r="R158" s="67">
        <f t="shared" si="45"/>
        <v>531.84</v>
      </c>
      <c r="S158" s="67">
        <v>0</v>
      </c>
      <c r="T158" s="76">
        <f t="shared" si="46"/>
        <v>522.326705</v>
      </c>
      <c r="U158" s="76"/>
      <c r="V158" s="77">
        <v>0</v>
      </c>
      <c r="W158" s="75">
        <v>0</v>
      </c>
      <c r="X158" s="76"/>
      <c r="Y158" s="77">
        <v>0</v>
      </c>
      <c r="Z158" s="77">
        <v>0</v>
      </c>
      <c r="AA158" s="67">
        <f t="shared" si="47"/>
        <v>0</v>
      </c>
      <c r="AB158" s="77">
        <v>0</v>
      </c>
      <c r="AC158" s="67">
        <f t="shared" si="48"/>
        <v>0</v>
      </c>
      <c r="AD158" s="77">
        <v>0</v>
      </c>
      <c r="AE158" s="67">
        <f t="shared" si="49"/>
        <v>0</v>
      </c>
      <c r="AF158" s="82">
        <v>0</v>
      </c>
      <c r="AG158" s="67">
        <f t="shared" si="50"/>
        <v>0</v>
      </c>
      <c r="AH158" s="77">
        <v>0</v>
      </c>
      <c r="AI158" s="67">
        <f t="shared" si="51"/>
        <v>0</v>
      </c>
      <c r="AJ158" s="77">
        <v>522.326705</v>
      </c>
      <c r="AK158" s="77">
        <v>0</v>
      </c>
      <c r="AL158" s="77">
        <v>0</v>
      </c>
      <c r="AM158" s="77">
        <v>0</v>
      </c>
      <c r="AN158" s="77">
        <v>0</v>
      </c>
      <c r="AO158" s="77">
        <v>3154.937148</v>
      </c>
      <c r="AP158" s="67">
        <f t="shared" si="52"/>
        <v>177.28</v>
      </c>
      <c r="AQ158" s="91">
        <f t="shared" si="53"/>
        <v>0.35456</v>
      </c>
      <c r="AR158" s="92">
        <f t="shared" si="54"/>
        <v>0</v>
      </c>
      <c r="AS158" s="67">
        <f t="shared" si="55"/>
        <v>0.17728</v>
      </c>
      <c r="AT158" s="75">
        <v>0</v>
      </c>
      <c r="AU158" s="67">
        <f t="shared" si="56"/>
        <v>0.0696435606666667</v>
      </c>
      <c r="AV158" s="71">
        <f t="shared" si="57"/>
        <v>0.151954285714286</v>
      </c>
      <c r="AW158" s="71"/>
      <c r="AX158" s="67"/>
      <c r="AY158" s="67">
        <f t="shared" si="58"/>
        <v>0.25239497184</v>
      </c>
      <c r="AZ158" s="67"/>
      <c r="BA158" s="67">
        <f t="shared" si="59"/>
        <v>0.221597846380952</v>
      </c>
      <c r="BB158" s="75"/>
    </row>
    <row r="159" ht="27" customHeight="1" spans="1:54">
      <c r="A159" s="64">
        <v>154</v>
      </c>
      <c r="B159" s="65" t="s">
        <v>239</v>
      </c>
      <c r="C159" s="65" t="s">
        <v>239</v>
      </c>
      <c r="D159" s="65" t="s">
        <v>138</v>
      </c>
      <c r="E159" s="65" t="s">
        <v>240</v>
      </c>
      <c r="F159" s="66">
        <v>242.24</v>
      </c>
      <c r="G159" s="67">
        <f t="shared" si="40"/>
        <v>9.425491165786</v>
      </c>
      <c r="H159" s="67">
        <f t="shared" si="41"/>
        <v>2283.23098</v>
      </c>
      <c r="I159" s="75">
        <v>3</v>
      </c>
      <c r="J159" s="75">
        <v>3</v>
      </c>
      <c r="K159" s="76">
        <f t="shared" si="42"/>
        <v>2171.940508</v>
      </c>
      <c r="L159" s="76">
        <f t="shared" si="43"/>
        <v>519.76538</v>
      </c>
      <c r="M159" s="75">
        <v>0</v>
      </c>
      <c r="N159" s="77">
        <v>0</v>
      </c>
      <c r="O159" s="75">
        <v>0</v>
      </c>
      <c r="P159" s="67">
        <f t="shared" si="44"/>
        <v>484.48</v>
      </c>
      <c r="Q159" s="77">
        <v>1564.730472</v>
      </c>
      <c r="R159" s="67">
        <f t="shared" si="45"/>
        <v>1453.44</v>
      </c>
      <c r="S159" s="67">
        <v>0</v>
      </c>
      <c r="T159" s="76">
        <f t="shared" si="46"/>
        <v>267.357432</v>
      </c>
      <c r="U159" s="76"/>
      <c r="V159" s="77">
        <v>0</v>
      </c>
      <c r="W159" s="75">
        <v>0</v>
      </c>
      <c r="X159" s="76"/>
      <c r="Y159" s="77">
        <v>0</v>
      </c>
      <c r="Z159" s="77">
        <v>0</v>
      </c>
      <c r="AA159" s="67">
        <f t="shared" si="47"/>
        <v>0</v>
      </c>
      <c r="AB159" s="77">
        <v>99.367564</v>
      </c>
      <c r="AC159" s="67">
        <f t="shared" si="48"/>
        <v>198.735128</v>
      </c>
      <c r="AD159" s="77">
        <v>0</v>
      </c>
      <c r="AE159" s="67">
        <f t="shared" si="49"/>
        <v>0</v>
      </c>
      <c r="AF159" s="82">
        <v>0</v>
      </c>
      <c r="AG159" s="67">
        <f t="shared" si="50"/>
        <v>0</v>
      </c>
      <c r="AH159" s="77">
        <v>133.678716</v>
      </c>
      <c r="AI159" s="67">
        <f t="shared" si="51"/>
        <v>267.357432</v>
      </c>
      <c r="AJ159" s="77">
        <v>0</v>
      </c>
      <c r="AK159" s="77">
        <v>0</v>
      </c>
      <c r="AL159" s="77">
        <v>0</v>
      </c>
      <c r="AM159" s="77">
        <v>0</v>
      </c>
      <c r="AN159" s="77">
        <v>0</v>
      </c>
      <c r="AO159" s="77">
        <v>252.407948</v>
      </c>
      <c r="AP159" s="67">
        <f t="shared" si="52"/>
        <v>484.48</v>
      </c>
      <c r="AQ159" s="91">
        <f t="shared" si="53"/>
        <v>0.96896</v>
      </c>
      <c r="AR159" s="92">
        <f t="shared" si="54"/>
        <v>0</v>
      </c>
      <c r="AS159" s="67">
        <f t="shared" si="55"/>
        <v>0.48448</v>
      </c>
      <c r="AT159" s="75">
        <v>0</v>
      </c>
      <c r="AU159" s="67">
        <f t="shared" si="56"/>
        <v>0.0356476576</v>
      </c>
      <c r="AV159" s="71">
        <f t="shared" si="57"/>
        <v>0.415268571428571</v>
      </c>
      <c r="AW159" s="71"/>
      <c r="AX159" s="67"/>
      <c r="AY159" s="67">
        <f t="shared" si="58"/>
        <v>0.02019263584</v>
      </c>
      <c r="AZ159" s="67"/>
      <c r="BA159" s="67">
        <f t="shared" si="59"/>
        <v>0.450916229028571</v>
      </c>
      <c r="BB159" s="75"/>
    </row>
    <row r="160" s="51" customFormat="1" ht="13.5" customHeight="1" spans="1:60">
      <c r="A160" s="68">
        <v>155</v>
      </c>
      <c r="B160" s="69" t="s">
        <v>223</v>
      </c>
      <c r="C160" s="69" t="s">
        <v>241</v>
      </c>
      <c r="D160" s="69"/>
      <c r="E160" s="69"/>
      <c r="F160" s="70">
        <v>33.63</v>
      </c>
      <c r="G160" s="71">
        <f t="shared" si="40"/>
        <v>22.252927534939</v>
      </c>
      <c r="H160" s="71">
        <f t="shared" si="41"/>
        <v>748.365953</v>
      </c>
      <c r="I160" s="78">
        <v>2</v>
      </c>
      <c r="J160" s="78">
        <v>2</v>
      </c>
      <c r="K160" s="79">
        <f t="shared" si="42"/>
        <v>201.78</v>
      </c>
      <c r="L160" s="79">
        <f t="shared" si="43"/>
        <v>0</v>
      </c>
      <c r="M160" s="78">
        <v>0</v>
      </c>
      <c r="N160" s="80">
        <v>0</v>
      </c>
      <c r="O160" s="78">
        <v>0</v>
      </c>
      <c r="P160" s="71">
        <f t="shared" si="44"/>
        <v>67.26</v>
      </c>
      <c r="Q160" s="80">
        <v>748.365953</v>
      </c>
      <c r="R160" s="71">
        <f t="shared" si="45"/>
        <v>201.78</v>
      </c>
      <c r="S160" s="71">
        <v>0</v>
      </c>
      <c r="T160" s="79">
        <f t="shared" si="46"/>
        <v>0</v>
      </c>
      <c r="U160" s="79"/>
      <c r="V160" s="80">
        <v>0</v>
      </c>
      <c r="W160" s="78">
        <v>0</v>
      </c>
      <c r="X160" s="79"/>
      <c r="Y160" s="80">
        <v>0</v>
      </c>
      <c r="Z160" s="80">
        <v>0</v>
      </c>
      <c r="AA160" s="71">
        <f t="shared" si="47"/>
        <v>0</v>
      </c>
      <c r="AB160" s="80">
        <v>0</v>
      </c>
      <c r="AC160" s="71">
        <f t="shared" si="48"/>
        <v>0</v>
      </c>
      <c r="AD160" s="80">
        <v>0</v>
      </c>
      <c r="AE160" s="71">
        <f t="shared" si="49"/>
        <v>0</v>
      </c>
      <c r="AF160" s="83">
        <v>0</v>
      </c>
      <c r="AG160" s="71">
        <f t="shared" si="50"/>
        <v>0</v>
      </c>
      <c r="AH160" s="80">
        <v>0</v>
      </c>
      <c r="AI160" s="71">
        <f t="shared" si="51"/>
        <v>0</v>
      </c>
      <c r="AJ160" s="80">
        <v>0</v>
      </c>
      <c r="AK160" s="80">
        <v>0</v>
      </c>
      <c r="AL160" s="80">
        <v>0</v>
      </c>
      <c r="AM160" s="80">
        <v>0</v>
      </c>
      <c r="AN160" s="80">
        <v>0</v>
      </c>
      <c r="AO160" s="80">
        <v>0</v>
      </c>
      <c r="AP160" s="71">
        <f t="shared" si="52"/>
        <v>67.26</v>
      </c>
      <c r="AQ160" s="93">
        <f t="shared" si="53"/>
        <v>0</v>
      </c>
      <c r="AR160" s="94">
        <f t="shared" si="54"/>
        <v>0.13452</v>
      </c>
      <c r="AS160" s="71">
        <f t="shared" si="55"/>
        <v>0.10089</v>
      </c>
      <c r="AT160" s="78">
        <v>0</v>
      </c>
      <c r="AU160" s="71">
        <f t="shared" si="56"/>
        <v>0</v>
      </c>
      <c r="AV160" s="71">
        <f t="shared" si="57"/>
        <v>0.080712</v>
      </c>
      <c r="AW160" s="96">
        <v>1</v>
      </c>
      <c r="AX160" s="71"/>
      <c r="AY160" s="71">
        <f t="shared" si="58"/>
        <v>0</v>
      </c>
      <c r="AZ160" s="71"/>
      <c r="BA160" s="67">
        <f t="shared" si="59"/>
        <v>1.080712</v>
      </c>
      <c r="BB160" s="78"/>
      <c r="BH160" s="99"/>
    </row>
    <row r="161" s="51" customFormat="1" ht="13.5" customHeight="1" spans="1:60">
      <c r="A161" s="68">
        <v>156</v>
      </c>
      <c r="B161" s="69" t="s">
        <v>223</v>
      </c>
      <c r="C161" s="69" t="s">
        <v>223</v>
      </c>
      <c r="D161" s="69" t="s">
        <v>114</v>
      </c>
      <c r="E161" s="69" t="s">
        <v>102</v>
      </c>
      <c r="F161" s="70">
        <v>214.76</v>
      </c>
      <c r="G161" s="71">
        <f t="shared" si="40"/>
        <v>23.1583680340846</v>
      </c>
      <c r="H161" s="71">
        <f t="shared" si="41"/>
        <v>4973.491119</v>
      </c>
      <c r="I161" s="78">
        <v>2</v>
      </c>
      <c r="J161" s="78">
        <v>2</v>
      </c>
      <c r="K161" s="79">
        <f t="shared" si="42"/>
        <v>2996.405161</v>
      </c>
      <c r="L161" s="79">
        <f t="shared" si="43"/>
        <v>1707.845161</v>
      </c>
      <c r="M161" s="78">
        <v>2</v>
      </c>
      <c r="N161" s="80">
        <v>0</v>
      </c>
      <c r="O161" s="78">
        <v>0</v>
      </c>
      <c r="P161" s="71">
        <f t="shared" si="44"/>
        <v>429.52</v>
      </c>
      <c r="Q161" s="80">
        <v>3265.645958</v>
      </c>
      <c r="R161" s="71">
        <f t="shared" si="45"/>
        <v>1288.56</v>
      </c>
      <c r="S161" s="71">
        <v>0</v>
      </c>
      <c r="T161" s="79">
        <f t="shared" si="46"/>
        <v>1195.586979</v>
      </c>
      <c r="U161" s="79"/>
      <c r="V161" s="80">
        <v>0</v>
      </c>
      <c r="W161" s="78">
        <v>0</v>
      </c>
      <c r="X161" s="79"/>
      <c r="Y161" s="80">
        <v>1155.003248</v>
      </c>
      <c r="Z161" s="80">
        <v>0</v>
      </c>
      <c r="AA161" s="71">
        <f t="shared" si="47"/>
        <v>0</v>
      </c>
      <c r="AB161" s="80">
        <v>0</v>
      </c>
      <c r="AC161" s="71">
        <f t="shared" si="48"/>
        <v>0</v>
      </c>
      <c r="AD161" s="80">
        <v>0</v>
      </c>
      <c r="AE161" s="71">
        <f t="shared" si="49"/>
        <v>0</v>
      </c>
      <c r="AF161" s="83">
        <v>0</v>
      </c>
      <c r="AG161" s="71">
        <f t="shared" si="50"/>
        <v>0</v>
      </c>
      <c r="AH161" s="80">
        <v>0</v>
      </c>
      <c r="AI161" s="71">
        <f t="shared" si="51"/>
        <v>0</v>
      </c>
      <c r="AJ161" s="80">
        <v>40.583731</v>
      </c>
      <c r="AK161" s="80">
        <v>0</v>
      </c>
      <c r="AL161" s="80">
        <v>0</v>
      </c>
      <c r="AM161" s="80">
        <v>0</v>
      </c>
      <c r="AN161" s="80">
        <v>0</v>
      </c>
      <c r="AO161" s="80">
        <v>512.258182</v>
      </c>
      <c r="AP161" s="71">
        <f t="shared" si="52"/>
        <v>429.52</v>
      </c>
      <c r="AQ161" s="93">
        <f t="shared" si="53"/>
        <v>0</v>
      </c>
      <c r="AR161" s="94">
        <f t="shared" si="54"/>
        <v>0.85904</v>
      </c>
      <c r="AS161" s="71">
        <f t="shared" si="55"/>
        <v>0.64428</v>
      </c>
      <c r="AT161" s="78">
        <v>0</v>
      </c>
      <c r="AU161" s="71">
        <f t="shared" si="56"/>
        <v>0.183936458307692</v>
      </c>
      <c r="AV161" s="71">
        <f t="shared" si="57"/>
        <v>0.515424</v>
      </c>
      <c r="AW161" s="97"/>
      <c r="AX161" s="71"/>
      <c r="AY161" s="71">
        <f t="shared" si="58"/>
        <v>0.04098065456</v>
      </c>
      <c r="AZ161" s="71"/>
      <c r="BA161" s="67">
        <f t="shared" si="59"/>
        <v>0.699360458307692</v>
      </c>
      <c r="BB161" s="78"/>
      <c r="BH161" s="99"/>
    </row>
    <row r="162" s="51" customFormat="1" ht="13.5" customHeight="1" spans="1:60">
      <c r="A162" s="68">
        <v>157</v>
      </c>
      <c r="B162" s="69" t="s">
        <v>223</v>
      </c>
      <c r="C162" s="69" t="s">
        <v>223</v>
      </c>
      <c r="D162" s="69" t="s">
        <v>112</v>
      </c>
      <c r="E162" s="69" t="s">
        <v>114</v>
      </c>
      <c r="F162" s="70">
        <v>306.51</v>
      </c>
      <c r="G162" s="71">
        <f t="shared" si="40"/>
        <v>34.2840207986689</v>
      </c>
      <c r="H162" s="71">
        <f t="shared" si="41"/>
        <v>10508.395215</v>
      </c>
      <c r="I162" s="78">
        <v>2</v>
      </c>
      <c r="J162" s="78">
        <v>2</v>
      </c>
      <c r="K162" s="79">
        <f t="shared" si="42"/>
        <v>7158.36486</v>
      </c>
      <c r="L162" s="79">
        <f t="shared" si="43"/>
        <v>5319.30486</v>
      </c>
      <c r="M162" s="78">
        <v>2</v>
      </c>
      <c r="N162" s="80">
        <v>0</v>
      </c>
      <c r="O162" s="78">
        <v>0</v>
      </c>
      <c r="P162" s="71">
        <f t="shared" si="44"/>
        <v>613.02</v>
      </c>
      <c r="Q162" s="80">
        <v>5189.090355</v>
      </c>
      <c r="R162" s="71">
        <f t="shared" si="45"/>
        <v>1839.06</v>
      </c>
      <c r="S162" s="71">
        <v>0</v>
      </c>
      <c r="T162" s="79">
        <f t="shared" si="46"/>
        <v>3356.016364</v>
      </c>
      <c r="U162" s="79"/>
      <c r="V162" s="80">
        <v>368.544558</v>
      </c>
      <c r="W162" s="78">
        <v>1</v>
      </c>
      <c r="X162" s="79"/>
      <c r="Y162" s="80">
        <v>1264.99573</v>
      </c>
      <c r="Z162" s="80">
        <v>0</v>
      </c>
      <c r="AA162" s="71">
        <f t="shared" si="47"/>
        <v>0</v>
      </c>
      <c r="AB162" s="80">
        <v>0</v>
      </c>
      <c r="AC162" s="71">
        <f t="shared" si="48"/>
        <v>0</v>
      </c>
      <c r="AD162" s="80">
        <v>132.008985</v>
      </c>
      <c r="AE162" s="71">
        <f t="shared" si="49"/>
        <v>264.01797</v>
      </c>
      <c r="AF162" s="83">
        <v>0</v>
      </c>
      <c r="AG162" s="71">
        <f t="shared" si="50"/>
        <v>0</v>
      </c>
      <c r="AH162" s="80">
        <v>0</v>
      </c>
      <c r="AI162" s="71">
        <f t="shared" si="51"/>
        <v>0</v>
      </c>
      <c r="AJ162" s="80">
        <v>1722.476076</v>
      </c>
      <c r="AK162" s="80">
        <v>0</v>
      </c>
      <c r="AL162" s="80">
        <v>0</v>
      </c>
      <c r="AM162" s="80">
        <v>0</v>
      </c>
      <c r="AN162" s="80">
        <v>0</v>
      </c>
      <c r="AO162" s="80">
        <v>1699.270526</v>
      </c>
      <c r="AP162" s="71">
        <f t="shared" si="52"/>
        <v>613.02</v>
      </c>
      <c r="AQ162" s="93">
        <f t="shared" si="53"/>
        <v>0</v>
      </c>
      <c r="AR162" s="94">
        <f t="shared" si="54"/>
        <v>1.22604</v>
      </c>
      <c r="AS162" s="71">
        <f t="shared" si="55"/>
        <v>0.91953</v>
      </c>
      <c r="AT162" s="78">
        <v>2</v>
      </c>
      <c r="AU162" s="71">
        <f t="shared" si="56"/>
        <v>0.516310209846154</v>
      </c>
      <c r="AV162" s="71">
        <f t="shared" si="57"/>
        <v>0.735624</v>
      </c>
      <c r="AW162" s="97"/>
      <c r="AX162" s="71"/>
      <c r="AY162" s="71">
        <f t="shared" si="58"/>
        <v>0.13594164208</v>
      </c>
      <c r="AZ162" s="71"/>
      <c r="BA162" s="67">
        <f t="shared" si="59"/>
        <v>1.25193420984615</v>
      </c>
      <c r="BB162" s="78"/>
      <c r="BH162" s="99"/>
    </row>
    <row r="163" s="51" customFormat="1" ht="13.5" customHeight="1" spans="1:60">
      <c r="A163" s="68">
        <v>158</v>
      </c>
      <c r="B163" s="69" t="s">
        <v>223</v>
      </c>
      <c r="C163" s="69" t="s">
        <v>223</v>
      </c>
      <c r="D163" s="69" t="s">
        <v>102</v>
      </c>
      <c r="E163" s="69" t="s">
        <v>86</v>
      </c>
      <c r="F163" s="70">
        <v>436.42</v>
      </c>
      <c r="G163" s="71">
        <f t="shared" si="40"/>
        <v>23.8194543352734</v>
      </c>
      <c r="H163" s="71">
        <f t="shared" si="41"/>
        <v>10395.286261</v>
      </c>
      <c r="I163" s="78">
        <v>2</v>
      </c>
      <c r="J163" s="78">
        <v>2</v>
      </c>
      <c r="K163" s="79">
        <f t="shared" si="42"/>
        <v>6460.655741</v>
      </c>
      <c r="L163" s="79">
        <f t="shared" si="43"/>
        <v>3842.135741</v>
      </c>
      <c r="M163" s="78">
        <v>2</v>
      </c>
      <c r="N163" s="80">
        <v>0</v>
      </c>
      <c r="O163" s="78">
        <v>0</v>
      </c>
      <c r="P163" s="71">
        <f t="shared" si="44"/>
        <v>872.84</v>
      </c>
      <c r="Q163" s="80">
        <v>6553.15052</v>
      </c>
      <c r="R163" s="71">
        <f t="shared" si="45"/>
        <v>2618.52</v>
      </c>
      <c r="S163" s="71">
        <v>0</v>
      </c>
      <c r="T163" s="79">
        <f t="shared" si="46"/>
        <v>2493.13151</v>
      </c>
      <c r="U163" s="79"/>
      <c r="V163" s="80">
        <v>0</v>
      </c>
      <c r="W163" s="78">
        <v>0</v>
      </c>
      <c r="X163" s="79"/>
      <c r="Y163" s="80">
        <v>2213.568756</v>
      </c>
      <c r="Z163" s="80">
        <v>0</v>
      </c>
      <c r="AA163" s="71">
        <f t="shared" si="47"/>
        <v>0</v>
      </c>
      <c r="AB163" s="80">
        <v>0</v>
      </c>
      <c r="AC163" s="71">
        <f t="shared" si="48"/>
        <v>0</v>
      </c>
      <c r="AD163" s="80">
        <v>0</v>
      </c>
      <c r="AE163" s="71">
        <f t="shared" si="49"/>
        <v>0</v>
      </c>
      <c r="AF163" s="83">
        <v>0</v>
      </c>
      <c r="AG163" s="71">
        <f t="shared" si="50"/>
        <v>0</v>
      </c>
      <c r="AH163" s="80">
        <v>0</v>
      </c>
      <c r="AI163" s="71">
        <f t="shared" si="51"/>
        <v>0</v>
      </c>
      <c r="AJ163" s="80">
        <v>279.562754</v>
      </c>
      <c r="AK163" s="80">
        <v>0</v>
      </c>
      <c r="AL163" s="80">
        <v>0</v>
      </c>
      <c r="AM163" s="80">
        <v>0</v>
      </c>
      <c r="AN163" s="80">
        <v>0</v>
      </c>
      <c r="AO163" s="80">
        <v>1349.004231</v>
      </c>
      <c r="AP163" s="71">
        <f t="shared" si="52"/>
        <v>872.84</v>
      </c>
      <c r="AQ163" s="93">
        <f t="shared" si="53"/>
        <v>0</v>
      </c>
      <c r="AR163" s="94">
        <f t="shared" si="54"/>
        <v>1.74568</v>
      </c>
      <c r="AS163" s="71">
        <f t="shared" si="55"/>
        <v>1.30926</v>
      </c>
      <c r="AT163" s="78">
        <v>0</v>
      </c>
      <c r="AU163" s="71">
        <f t="shared" si="56"/>
        <v>0.383558693846154</v>
      </c>
      <c r="AV163" s="71">
        <f t="shared" si="57"/>
        <v>1.047408</v>
      </c>
      <c r="AW163" s="98"/>
      <c r="AX163" s="71"/>
      <c r="AY163" s="71">
        <f t="shared" si="58"/>
        <v>0.10792033848</v>
      </c>
      <c r="AZ163" s="71"/>
      <c r="BA163" s="67">
        <f t="shared" si="59"/>
        <v>1.43096669384615</v>
      </c>
      <c r="BB163" s="78"/>
      <c r="BH163" s="99"/>
    </row>
    <row r="164" spans="1:54">
      <c r="A164" s="64">
        <v>159</v>
      </c>
      <c r="B164" s="65" t="s">
        <v>242</v>
      </c>
      <c r="C164" s="65" t="s">
        <v>242</v>
      </c>
      <c r="D164" s="65" t="s">
        <v>243</v>
      </c>
      <c r="E164" s="65" t="s">
        <v>171</v>
      </c>
      <c r="F164" s="66">
        <v>735.19</v>
      </c>
      <c r="G164" s="67">
        <f t="shared" si="40"/>
        <v>20.1204402712224</v>
      </c>
      <c r="H164" s="67">
        <f t="shared" si="41"/>
        <v>14792.346483</v>
      </c>
      <c r="I164" s="75">
        <v>3</v>
      </c>
      <c r="J164" s="75">
        <v>3</v>
      </c>
      <c r="K164" s="76">
        <f t="shared" si="42"/>
        <v>14488.598802</v>
      </c>
      <c r="L164" s="76">
        <f t="shared" si="43"/>
        <v>10077.458802</v>
      </c>
      <c r="M164" s="75">
        <v>2</v>
      </c>
      <c r="N164" s="77">
        <v>0</v>
      </c>
      <c r="O164" s="75">
        <v>0</v>
      </c>
      <c r="P164" s="67">
        <f t="shared" si="44"/>
        <v>1470.38</v>
      </c>
      <c r="Q164" s="77">
        <v>4714.887681</v>
      </c>
      <c r="R164" s="67">
        <f t="shared" si="45"/>
        <v>4411.14</v>
      </c>
      <c r="S164" s="67">
        <v>0</v>
      </c>
      <c r="T164" s="76">
        <f t="shared" si="46"/>
        <v>674.653103</v>
      </c>
      <c r="U164" s="76"/>
      <c r="V164" s="77">
        <v>0</v>
      </c>
      <c r="W164" s="75">
        <v>0</v>
      </c>
      <c r="X164" s="76"/>
      <c r="Y164" s="77">
        <v>284.86527</v>
      </c>
      <c r="Z164" s="77">
        <v>0</v>
      </c>
      <c r="AA164" s="67">
        <f t="shared" si="47"/>
        <v>0</v>
      </c>
      <c r="AB164" s="77">
        <v>0</v>
      </c>
      <c r="AC164" s="67">
        <f t="shared" si="48"/>
        <v>0</v>
      </c>
      <c r="AD164" s="77">
        <v>0</v>
      </c>
      <c r="AE164" s="67">
        <f t="shared" si="49"/>
        <v>0</v>
      </c>
      <c r="AF164" s="82">
        <v>0</v>
      </c>
      <c r="AG164" s="67">
        <f t="shared" si="50"/>
        <v>0</v>
      </c>
      <c r="AH164" s="77">
        <v>190.464538</v>
      </c>
      <c r="AI164" s="67">
        <f t="shared" si="51"/>
        <v>380.929076</v>
      </c>
      <c r="AJ164" s="77">
        <v>8.858757</v>
      </c>
      <c r="AK164" s="77">
        <v>0</v>
      </c>
      <c r="AL164" s="77">
        <v>0</v>
      </c>
      <c r="AM164" s="77">
        <v>2913.945116</v>
      </c>
      <c r="AN164" s="77">
        <v>0</v>
      </c>
      <c r="AO164" s="77">
        <v>6488.860583</v>
      </c>
      <c r="AP164" s="67">
        <f t="shared" si="52"/>
        <v>1470.38</v>
      </c>
      <c r="AQ164" s="91">
        <f t="shared" si="53"/>
        <v>2.94076</v>
      </c>
      <c r="AR164" s="92">
        <f t="shared" si="54"/>
        <v>0</v>
      </c>
      <c r="AS164" s="67">
        <f t="shared" si="55"/>
        <v>1.47038</v>
      </c>
      <c r="AT164" s="75">
        <v>0</v>
      </c>
      <c r="AU164" s="67">
        <f t="shared" si="56"/>
        <v>0.0899537470666667</v>
      </c>
      <c r="AV164" s="71">
        <f t="shared" si="57"/>
        <v>1.26032571428571</v>
      </c>
      <c r="AW164" s="71"/>
      <c r="AX164" s="67"/>
      <c r="AY164" s="67">
        <f t="shared" si="58"/>
        <v>0.75222445592</v>
      </c>
      <c r="AZ164" s="67"/>
      <c r="BA164" s="67">
        <f t="shared" si="59"/>
        <v>1.35027946135238</v>
      </c>
      <c r="BB164" s="75"/>
    </row>
    <row r="165" spans="1:54">
      <c r="A165" s="64">
        <v>160</v>
      </c>
      <c r="B165" s="65" t="s">
        <v>244</v>
      </c>
      <c r="C165" s="65" t="s">
        <v>244</v>
      </c>
      <c r="D165" s="65" t="s">
        <v>245</v>
      </c>
      <c r="E165" s="65" t="s">
        <v>242</v>
      </c>
      <c r="F165" s="66">
        <v>93.19</v>
      </c>
      <c r="G165" s="67">
        <f t="shared" si="40"/>
        <v>15.6641382122545</v>
      </c>
      <c r="H165" s="67">
        <f t="shared" si="41"/>
        <v>1459.74104</v>
      </c>
      <c r="I165" s="75">
        <v>3</v>
      </c>
      <c r="J165" s="75">
        <v>3</v>
      </c>
      <c r="K165" s="76">
        <f t="shared" si="42"/>
        <v>1394.092504</v>
      </c>
      <c r="L165" s="76">
        <f t="shared" si="43"/>
        <v>834.952504</v>
      </c>
      <c r="M165" s="75">
        <v>2</v>
      </c>
      <c r="N165" s="77">
        <v>0</v>
      </c>
      <c r="O165" s="75">
        <v>0</v>
      </c>
      <c r="P165" s="67">
        <f t="shared" si="44"/>
        <v>186.38</v>
      </c>
      <c r="Q165" s="77">
        <v>624.788536</v>
      </c>
      <c r="R165" s="67">
        <f t="shared" si="45"/>
        <v>559.14</v>
      </c>
      <c r="S165" s="67">
        <v>0</v>
      </c>
      <c r="T165" s="76">
        <f t="shared" si="46"/>
        <v>97.556557</v>
      </c>
      <c r="U165" s="76"/>
      <c r="V165" s="77">
        <v>0</v>
      </c>
      <c r="W165" s="75">
        <v>0</v>
      </c>
      <c r="X165" s="76"/>
      <c r="Y165" s="77">
        <v>0</v>
      </c>
      <c r="Z165" s="77">
        <v>0</v>
      </c>
      <c r="AA165" s="67">
        <f t="shared" si="47"/>
        <v>0</v>
      </c>
      <c r="AB165" s="77">
        <v>0</v>
      </c>
      <c r="AC165" s="67">
        <f t="shared" si="48"/>
        <v>0</v>
      </c>
      <c r="AD165" s="77">
        <v>0</v>
      </c>
      <c r="AE165" s="67">
        <f t="shared" si="49"/>
        <v>0</v>
      </c>
      <c r="AF165" s="82">
        <v>0</v>
      </c>
      <c r="AG165" s="67">
        <f t="shared" si="50"/>
        <v>0</v>
      </c>
      <c r="AH165" s="77">
        <v>0</v>
      </c>
      <c r="AI165" s="67">
        <f t="shared" si="51"/>
        <v>0</v>
      </c>
      <c r="AJ165" s="77">
        <v>97.556557</v>
      </c>
      <c r="AK165" s="77">
        <v>0</v>
      </c>
      <c r="AL165" s="77">
        <v>0</v>
      </c>
      <c r="AM165" s="77">
        <v>0</v>
      </c>
      <c r="AN165" s="77">
        <v>0</v>
      </c>
      <c r="AO165" s="77">
        <v>737.395947</v>
      </c>
      <c r="AP165" s="67">
        <f t="shared" si="52"/>
        <v>186.38</v>
      </c>
      <c r="AQ165" s="91">
        <f t="shared" si="53"/>
        <v>0.37276</v>
      </c>
      <c r="AR165" s="92">
        <f t="shared" si="54"/>
        <v>0</v>
      </c>
      <c r="AS165" s="67">
        <f t="shared" si="55"/>
        <v>0.18638</v>
      </c>
      <c r="AT165" s="75">
        <v>0</v>
      </c>
      <c r="AU165" s="67">
        <f t="shared" si="56"/>
        <v>0.0130075409333333</v>
      </c>
      <c r="AV165" s="71">
        <f t="shared" si="57"/>
        <v>0.159754285714286</v>
      </c>
      <c r="AW165" s="71"/>
      <c r="AX165" s="67"/>
      <c r="AY165" s="67">
        <f t="shared" si="58"/>
        <v>0.05899167576</v>
      </c>
      <c r="AZ165" s="67"/>
      <c r="BA165" s="67">
        <f t="shared" si="59"/>
        <v>0.172761826647619</v>
      </c>
      <c r="BB165" s="75"/>
    </row>
    <row r="166" spans="1:54">
      <c r="A166" s="64">
        <v>161</v>
      </c>
      <c r="B166" s="65" t="s">
        <v>246</v>
      </c>
      <c r="C166" s="65" t="s">
        <v>246</v>
      </c>
      <c r="D166" s="65" t="s">
        <v>244</v>
      </c>
      <c r="E166" s="65" t="s">
        <v>137</v>
      </c>
      <c r="F166" s="66">
        <v>52.92</v>
      </c>
      <c r="G166" s="67">
        <f t="shared" si="40"/>
        <v>5.02877080498866</v>
      </c>
      <c r="H166" s="67">
        <f t="shared" si="41"/>
        <v>266.122551</v>
      </c>
      <c r="I166" s="75">
        <v>3</v>
      </c>
      <c r="J166" s="75">
        <v>3</v>
      </c>
      <c r="K166" s="76">
        <f t="shared" si="42"/>
        <v>317.52</v>
      </c>
      <c r="L166" s="76">
        <f t="shared" si="43"/>
        <v>0</v>
      </c>
      <c r="M166" s="75">
        <v>0</v>
      </c>
      <c r="N166" s="77">
        <v>0</v>
      </c>
      <c r="O166" s="75">
        <v>0</v>
      </c>
      <c r="P166" s="67">
        <f t="shared" si="44"/>
        <v>105.84</v>
      </c>
      <c r="Q166" s="77">
        <v>266.122551</v>
      </c>
      <c r="R166" s="67">
        <f t="shared" si="45"/>
        <v>317.52</v>
      </c>
      <c r="S166" s="67">
        <v>0</v>
      </c>
      <c r="T166" s="76">
        <f t="shared" si="46"/>
        <v>0</v>
      </c>
      <c r="U166" s="76"/>
      <c r="V166" s="77">
        <v>0</v>
      </c>
      <c r="W166" s="75">
        <v>0</v>
      </c>
      <c r="X166" s="76"/>
      <c r="Y166" s="77">
        <v>0</v>
      </c>
      <c r="Z166" s="77">
        <v>0</v>
      </c>
      <c r="AA166" s="67">
        <f t="shared" si="47"/>
        <v>0</v>
      </c>
      <c r="AB166" s="77">
        <v>0</v>
      </c>
      <c r="AC166" s="67">
        <f t="shared" si="48"/>
        <v>0</v>
      </c>
      <c r="AD166" s="77">
        <v>0</v>
      </c>
      <c r="AE166" s="67">
        <f t="shared" si="49"/>
        <v>0</v>
      </c>
      <c r="AF166" s="82">
        <v>0</v>
      </c>
      <c r="AG166" s="67">
        <f t="shared" si="50"/>
        <v>0</v>
      </c>
      <c r="AH166" s="77">
        <v>0</v>
      </c>
      <c r="AI166" s="67">
        <f t="shared" si="51"/>
        <v>0</v>
      </c>
      <c r="AJ166" s="77">
        <v>0</v>
      </c>
      <c r="AK166" s="77">
        <v>0</v>
      </c>
      <c r="AL166" s="77">
        <v>0</v>
      </c>
      <c r="AM166" s="77">
        <v>0</v>
      </c>
      <c r="AN166" s="77">
        <v>0</v>
      </c>
      <c r="AO166" s="77">
        <v>0</v>
      </c>
      <c r="AP166" s="67">
        <f t="shared" si="52"/>
        <v>105.84</v>
      </c>
      <c r="AQ166" s="91">
        <f t="shared" si="53"/>
        <v>0.21168</v>
      </c>
      <c r="AR166" s="92">
        <f t="shared" si="54"/>
        <v>0</v>
      </c>
      <c r="AS166" s="67">
        <f t="shared" si="55"/>
        <v>0.10584</v>
      </c>
      <c r="AT166" s="75">
        <v>0</v>
      </c>
      <c r="AU166" s="67">
        <f t="shared" si="56"/>
        <v>0</v>
      </c>
      <c r="AV166" s="71">
        <f t="shared" si="57"/>
        <v>0.09072</v>
      </c>
      <c r="AW166" s="71"/>
      <c r="AX166" s="67"/>
      <c r="AY166" s="67">
        <f t="shared" si="58"/>
        <v>0</v>
      </c>
      <c r="AZ166" s="67"/>
      <c r="BA166" s="67">
        <f t="shared" si="59"/>
        <v>0.09072</v>
      </c>
      <c r="BB166" s="75"/>
    </row>
    <row r="167" spans="1:54">
      <c r="A167" s="64">
        <v>162</v>
      </c>
      <c r="B167" s="65" t="s">
        <v>137</v>
      </c>
      <c r="C167" s="65" t="s">
        <v>137</v>
      </c>
      <c r="D167" s="65" t="s">
        <v>242</v>
      </c>
      <c r="E167" s="65" t="s">
        <v>136</v>
      </c>
      <c r="F167" s="66">
        <v>610.04</v>
      </c>
      <c r="G167" s="67">
        <f t="shared" si="40"/>
        <v>40.0204028424366</v>
      </c>
      <c r="H167" s="67">
        <f t="shared" si="41"/>
        <v>24414.04655</v>
      </c>
      <c r="I167" s="75">
        <v>3</v>
      </c>
      <c r="J167" s="75">
        <v>3</v>
      </c>
      <c r="K167" s="76">
        <f t="shared" si="42"/>
        <v>23532.894638</v>
      </c>
      <c r="L167" s="76">
        <f t="shared" si="43"/>
        <v>19872.654638</v>
      </c>
      <c r="M167" s="75">
        <v>2</v>
      </c>
      <c r="N167" s="77">
        <v>0</v>
      </c>
      <c r="O167" s="75">
        <v>0</v>
      </c>
      <c r="P167" s="67">
        <f t="shared" si="44"/>
        <v>1220.08</v>
      </c>
      <c r="Q167" s="77">
        <v>4541.391912</v>
      </c>
      <c r="R167" s="67">
        <f t="shared" si="45"/>
        <v>3660.24</v>
      </c>
      <c r="S167" s="67">
        <v>0</v>
      </c>
      <c r="T167" s="76">
        <f t="shared" si="46"/>
        <v>367.566444</v>
      </c>
      <c r="U167" s="76"/>
      <c r="V167" s="77">
        <v>0</v>
      </c>
      <c r="W167" s="75">
        <v>0</v>
      </c>
      <c r="X167" s="76"/>
      <c r="Y167" s="77">
        <v>307.20001</v>
      </c>
      <c r="Z167" s="77">
        <v>0</v>
      </c>
      <c r="AA167" s="67">
        <f t="shared" si="47"/>
        <v>0</v>
      </c>
      <c r="AB167" s="77">
        <v>0</v>
      </c>
      <c r="AC167" s="67">
        <f t="shared" si="48"/>
        <v>0</v>
      </c>
      <c r="AD167" s="77">
        <v>0</v>
      </c>
      <c r="AE167" s="67">
        <f t="shared" si="49"/>
        <v>0</v>
      </c>
      <c r="AF167" s="82">
        <v>0</v>
      </c>
      <c r="AG167" s="67">
        <f t="shared" si="50"/>
        <v>0</v>
      </c>
      <c r="AH167" s="77">
        <v>30.183217</v>
      </c>
      <c r="AI167" s="67">
        <f t="shared" si="51"/>
        <v>60.366434</v>
      </c>
      <c r="AJ167" s="77">
        <v>0</v>
      </c>
      <c r="AK167" s="77">
        <v>0</v>
      </c>
      <c r="AL167" s="77">
        <v>0</v>
      </c>
      <c r="AM167" s="77">
        <v>3933.337625</v>
      </c>
      <c r="AN167" s="77">
        <v>0</v>
      </c>
      <c r="AO167" s="77">
        <v>15571.750569</v>
      </c>
      <c r="AP167" s="67">
        <f t="shared" si="52"/>
        <v>1220.08</v>
      </c>
      <c r="AQ167" s="91">
        <f t="shared" si="53"/>
        <v>2.44016</v>
      </c>
      <c r="AR167" s="92">
        <f t="shared" si="54"/>
        <v>0</v>
      </c>
      <c r="AS167" s="67">
        <f t="shared" si="55"/>
        <v>1.22008</v>
      </c>
      <c r="AT167" s="75">
        <v>0</v>
      </c>
      <c r="AU167" s="67">
        <f t="shared" si="56"/>
        <v>0.0490088592</v>
      </c>
      <c r="AV167" s="71">
        <f t="shared" si="57"/>
        <v>1.04578285714286</v>
      </c>
      <c r="AW167" s="71"/>
      <c r="AX167" s="67"/>
      <c r="AY167" s="67">
        <f t="shared" si="58"/>
        <v>1.56040705552</v>
      </c>
      <c r="AZ167" s="67"/>
      <c r="BA167" s="67">
        <f t="shared" si="59"/>
        <v>1.09479171634286</v>
      </c>
      <c r="BB167" s="75"/>
    </row>
    <row r="168" spans="1:54">
      <c r="A168" s="64">
        <v>163</v>
      </c>
      <c r="B168" s="65" t="s">
        <v>170</v>
      </c>
      <c r="C168" s="65" t="s">
        <v>170</v>
      </c>
      <c r="D168" s="65" t="s">
        <v>247</v>
      </c>
      <c r="E168" s="65" t="s">
        <v>248</v>
      </c>
      <c r="F168" s="66">
        <v>992.24</v>
      </c>
      <c r="G168" s="67">
        <f t="shared" si="40"/>
        <v>141.359514194147</v>
      </c>
      <c r="H168" s="67">
        <f t="shared" si="41"/>
        <v>140262.564364</v>
      </c>
      <c r="I168" s="75">
        <v>1</v>
      </c>
      <c r="J168" s="75">
        <v>1</v>
      </c>
      <c r="K168" s="76">
        <f t="shared" si="42"/>
        <v>126154.250186</v>
      </c>
      <c r="L168" s="76">
        <f t="shared" si="43"/>
        <v>119651.76037</v>
      </c>
      <c r="M168" s="75">
        <v>2</v>
      </c>
      <c r="N168" s="77">
        <v>0</v>
      </c>
      <c r="O168" s="75">
        <v>0</v>
      </c>
      <c r="P168" s="67">
        <f t="shared" si="44"/>
        <v>1984.48</v>
      </c>
      <c r="Q168" s="77">
        <v>20061.754178</v>
      </c>
      <c r="R168" s="67">
        <f t="shared" si="45"/>
        <v>5953.44</v>
      </c>
      <c r="S168" s="67">
        <v>0</v>
      </c>
      <c r="T168" s="76">
        <f t="shared" si="46"/>
        <v>6585.797486</v>
      </c>
      <c r="U168" s="76"/>
      <c r="V168" s="77">
        <v>0</v>
      </c>
      <c r="W168" s="75">
        <v>0</v>
      </c>
      <c r="X168" s="76"/>
      <c r="Y168" s="77">
        <v>4871.00534</v>
      </c>
      <c r="Z168" s="77">
        <v>4.913773</v>
      </c>
      <c r="AA168" s="67">
        <f t="shared" si="47"/>
        <v>9.827546</v>
      </c>
      <c r="AB168" s="77">
        <v>274.524908</v>
      </c>
      <c r="AC168" s="67">
        <f t="shared" si="48"/>
        <v>549.049816</v>
      </c>
      <c r="AD168" s="77">
        <v>0</v>
      </c>
      <c r="AE168" s="67">
        <f t="shared" si="49"/>
        <v>0</v>
      </c>
      <c r="AF168" s="82">
        <v>0</v>
      </c>
      <c r="AG168" s="67">
        <f t="shared" si="50"/>
        <v>0</v>
      </c>
      <c r="AH168" s="77">
        <v>277.350375</v>
      </c>
      <c r="AI168" s="67">
        <f t="shared" si="51"/>
        <v>554.70075</v>
      </c>
      <c r="AJ168" s="77">
        <v>1160.091396</v>
      </c>
      <c r="AK168" s="77">
        <v>0</v>
      </c>
      <c r="AL168" s="77">
        <v>0</v>
      </c>
      <c r="AM168" s="77">
        <v>81789.485323</v>
      </c>
      <c r="AN168" s="77">
        <v>0</v>
      </c>
      <c r="AO168" s="77">
        <v>31266.650015</v>
      </c>
      <c r="AP168" s="67">
        <f t="shared" si="52"/>
        <v>1984.48</v>
      </c>
      <c r="AQ168" s="91">
        <f t="shared" si="53"/>
        <v>0</v>
      </c>
      <c r="AR168" s="92">
        <f t="shared" si="54"/>
        <v>5.95344</v>
      </c>
      <c r="AS168" s="67">
        <f t="shared" si="55"/>
        <v>3.96896</v>
      </c>
      <c r="AT168" s="75">
        <v>0</v>
      </c>
      <c r="AU168" s="67">
        <f t="shared" si="56"/>
        <v>1.19741772472727</v>
      </c>
      <c r="AV168" s="71">
        <f t="shared" si="57"/>
        <v>3.40196571428571</v>
      </c>
      <c r="AW168" s="71"/>
      <c r="AX168" s="67"/>
      <c r="AY168" s="67">
        <f t="shared" si="58"/>
        <v>9.04449082704</v>
      </c>
      <c r="AZ168" s="67"/>
      <c r="BA168" s="67">
        <f t="shared" si="59"/>
        <v>4.59938343901299</v>
      </c>
      <c r="BB168" s="75"/>
    </row>
    <row r="169" spans="1:54">
      <c r="A169" s="64">
        <v>164</v>
      </c>
      <c r="B169" s="65" t="s">
        <v>249</v>
      </c>
      <c r="C169" s="65" t="s">
        <v>249</v>
      </c>
      <c r="D169" s="65" t="s">
        <v>148</v>
      </c>
      <c r="E169" s="65" t="s">
        <v>250</v>
      </c>
      <c r="F169" s="66">
        <v>718.78</v>
      </c>
      <c r="G169" s="67">
        <f t="shared" si="40"/>
        <v>12.6335751217341</v>
      </c>
      <c r="H169" s="67">
        <f t="shared" si="41"/>
        <v>9080.761126</v>
      </c>
      <c r="I169" s="75">
        <v>3</v>
      </c>
      <c r="J169" s="75">
        <v>3</v>
      </c>
      <c r="K169" s="76">
        <f t="shared" si="42"/>
        <v>7943.000016</v>
      </c>
      <c r="L169" s="76">
        <f t="shared" si="43"/>
        <v>3488.060306</v>
      </c>
      <c r="M169" s="75">
        <v>2</v>
      </c>
      <c r="N169" s="77">
        <v>0</v>
      </c>
      <c r="O169" s="75">
        <v>0</v>
      </c>
      <c r="P169" s="67">
        <f t="shared" si="44"/>
        <v>1437.56</v>
      </c>
      <c r="Q169" s="77">
        <v>5450.44111</v>
      </c>
      <c r="R169" s="67">
        <f t="shared" si="45"/>
        <v>4312.68</v>
      </c>
      <c r="S169" s="67">
        <v>0</v>
      </c>
      <c r="T169" s="76">
        <f t="shared" si="46"/>
        <v>1212.595662</v>
      </c>
      <c r="U169" s="76"/>
      <c r="V169" s="77">
        <v>0</v>
      </c>
      <c r="W169" s="75">
        <v>0</v>
      </c>
      <c r="X169" s="76"/>
      <c r="Y169" s="77">
        <v>456.599769</v>
      </c>
      <c r="Z169" s="77">
        <v>0</v>
      </c>
      <c r="AA169" s="67">
        <f t="shared" si="47"/>
        <v>0</v>
      </c>
      <c r="AB169" s="77">
        <v>71.129855</v>
      </c>
      <c r="AC169" s="67">
        <f t="shared" si="48"/>
        <v>142.25971</v>
      </c>
      <c r="AD169" s="77">
        <v>0</v>
      </c>
      <c r="AE169" s="67">
        <f t="shared" si="49"/>
        <v>0</v>
      </c>
      <c r="AF169" s="82">
        <v>0</v>
      </c>
      <c r="AG169" s="67">
        <f t="shared" si="50"/>
        <v>0</v>
      </c>
      <c r="AH169" s="77">
        <v>120.169396</v>
      </c>
      <c r="AI169" s="67">
        <f t="shared" si="51"/>
        <v>240.338792</v>
      </c>
      <c r="AJ169" s="77">
        <v>515.657101</v>
      </c>
      <c r="AK169" s="77">
        <v>0</v>
      </c>
      <c r="AL169" s="77">
        <v>0</v>
      </c>
      <c r="AM169" s="77">
        <v>0</v>
      </c>
      <c r="AN169" s="77">
        <v>0</v>
      </c>
      <c r="AO169" s="77">
        <v>2275.464644</v>
      </c>
      <c r="AP169" s="67">
        <f t="shared" si="52"/>
        <v>1437.56</v>
      </c>
      <c r="AQ169" s="91">
        <f t="shared" si="53"/>
        <v>2.87512</v>
      </c>
      <c r="AR169" s="92">
        <f t="shared" si="54"/>
        <v>0</v>
      </c>
      <c r="AS169" s="67">
        <f t="shared" si="55"/>
        <v>1.43756</v>
      </c>
      <c r="AT169" s="75">
        <v>0</v>
      </c>
      <c r="AU169" s="67">
        <f t="shared" si="56"/>
        <v>0.1616794216</v>
      </c>
      <c r="AV169" s="71">
        <f t="shared" si="57"/>
        <v>1.23219428571429</v>
      </c>
      <c r="AW169" s="71"/>
      <c r="AX169" s="67"/>
      <c r="AY169" s="67">
        <f t="shared" si="58"/>
        <v>0.18203717152</v>
      </c>
      <c r="AZ169" s="67"/>
      <c r="BA169" s="67">
        <f t="shared" si="59"/>
        <v>1.39387370731429</v>
      </c>
      <c r="BB169" s="75"/>
    </row>
    <row r="170" s="51" customFormat="1" ht="13.5" customHeight="1" spans="1:60">
      <c r="A170" s="68">
        <v>165</v>
      </c>
      <c r="B170" s="69" t="s">
        <v>251</v>
      </c>
      <c r="C170" s="69" t="s">
        <v>252</v>
      </c>
      <c r="D170" s="69" t="s">
        <v>113</v>
      </c>
      <c r="E170" s="69" t="s">
        <v>253</v>
      </c>
      <c r="F170" s="70">
        <v>1157.13</v>
      </c>
      <c r="G170" s="71">
        <f t="shared" si="40"/>
        <v>22.1589362958354</v>
      </c>
      <c r="H170" s="71">
        <f t="shared" si="41"/>
        <v>25640.769956</v>
      </c>
      <c r="I170" s="78">
        <v>3</v>
      </c>
      <c r="J170" s="78">
        <v>3</v>
      </c>
      <c r="K170" s="79">
        <f t="shared" si="42"/>
        <v>23624.121309</v>
      </c>
      <c r="L170" s="79">
        <f t="shared" si="43"/>
        <v>16681.341309</v>
      </c>
      <c r="M170" s="78">
        <v>2</v>
      </c>
      <c r="N170" s="80">
        <v>0</v>
      </c>
      <c r="O170" s="78">
        <v>0</v>
      </c>
      <c r="P170" s="71">
        <f t="shared" si="44"/>
        <v>2314.26</v>
      </c>
      <c r="Q170" s="80">
        <v>8959.428647</v>
      </c>
      <c r="R170" s="71">
        <f t="shared" si="45"/>
        <v>6942.78</v>
      </c>
      <c r="S170" s="71">
        <v>0</v>
      </c>
      <c r="T170" s="79">
        <f t="shared" si="46"/>
        <v>9473.832466</v>
      </c>
      <c r="U170" s="79"/>
      <c r="V170" s="80">
        <v>5226.230813</v>
      </c>
      <c r="W170" s="78">
        <v>1</v>
      </c>
      <c r="X170" s="79"/>
      <c r="Y170" s="80">
        <v>3613.802012</v>
      </c>
      <c r="Z170" s="80">
        <v>12.762497</v>
      </c>
      <c r="AA170" s="71">
        <f t="shared" si="47"/>
        <v>25.524994</v>
      </c>
      <c r="AB170" s="80">
        <v>0</v>
      </c>
      <c r="AC170" s="71">
        <f t="shared" si="48"/>
        <v>0</v>
      </c>
      <c r="AD170" s="80">
        <v>2168.792234</v>
      </c>
      <c r="AE170" s="71">
        <f t="shared" si="49"/>
        <v>4337.584468</v>
      </c>
      <c r="AF170" s="83">
        <v>0</v>
      </c>
      <c r="AG170" s="71">
        <f t="shared" si="50"/>
        <v>0</v>
      </c>
      <c r="AH170" s="80">
        <v>4.700105</v>
      </c>
      <c r="AI170" s="71">
        <f t="shared" si="51"/>
        <v>9.40021</v>
      </c>
      <c r="AJ170" s="80">
        <v>231.815739</v>
      </c>
      <c r="AK170" s="80">
        <v>392.583692</v>
      </c>
      <c r="AL170" s="80">
        <v>0</v>
      </c>
      <c r="AM170" s="80">
        <v>35.556823</v>
      </c>
      <c r="AN170" s="80">
        <v>0</v>
      </c>
      <c r="AO170" s="80">
        <v>2808.842558</v>
      </c>
      <c r="AP170" s="71">
        <f t="shared" si="52"/>
        <v>2314.26</v>
      </c>
      <c r="AQ170" s="93">
        <f t="shared" si="53"/>
        <v>4.62852</v>
      </c>
      <c r="AR170" s="94">
        <f t="shared" si="54"/>
        <v>0</v>
      </c>
      <c r="AS170" s="71">
        <f t="shared" si="55"/>
        <v>2.31426</v>
      </c>
      <c r="AT170" s="78">
        <v>0</v>
      </c>
      <c r="AU170" s="71">
        <f t="shared" si="56"/>
        <v>1.26317766213333</v>
      </c>
      <c r="AV170" s="71">
        <f t="shared" si="57"/>
        <v>1.98365142857143</v>
      </c>
      <c r="AW170" s="71">
        <v>1</v>
      </c>
      <c r="AX170" s="71"/>
      <c r="AY170" s="71">
        <f t="shared" si="58"/>
        <v>0.22755195048</v>
      </c>
      <c r="AZ170" s="71"/>
      <c r="BA170" s="67">
        <f t="shared" si="59"/>
        <v>4.24682909070476</v>
      </c>
      <c r="BB170" s="78"/>
      <c r="BH170" s="99"/>
    </row>
    <row r="171" spans="1:54">
      <c r="A171" s="64">
        <v>166</v>
      </c>
      <c r="B171" s="65" t="s">
        <v>254</v>
      </c>
      <c r="C171" s="65" t="s">
        <v>254</v>
      </c>
      <c r="D171" s="65" t="s">
        <v>255</v>
      </c>
      <c r="E171" s="65" t="s">
        <v>80</v>
      </c>
      <c r="F171" s="66">
        <v>177.59</v>
      </c>
      <c r="G171" s="67">
        <f t="shared" si="40"/>
        <v>22.1532211554705</v>
      </c>
      <c r="H171" s="67">
        <f t="shared" si="41"/>
        <v>3934.190545</v>
      </c>
      <c r="I171" s="75">
        <v>3</v>
      </c>
      <c r="J171" s="75">
        <v>3</v>
      </c>
      <c r="K171" s="76">
        <f t="shared" si="42"/>
        <v>2867.927024</v>
      </c>
      <c r="L171" s="76">
        <f t="shared" si="43"/>
        <v>1802.387024</v>
      </c>
      <c r="M171" s="75">
        <v>2</v>
      </c>
      <c r="N171" s="77">
        <v>0</v>
      </c>
      <c r="O171" s="75">
        <v>0</v>
      </c>
      <c r="P171" s="67">
        <f t="shared" si="44"/>
        <v>355.18</v>
      </c>
      <c r="Q171" s="77">
        <v>2131.803521</v>
      </c>
      <c r="R171" s="67">
        <f t="shared" si="45"/>
        <v>1065.54</v>
      </c>
      <c r="S171" s="67">
        <v>0</v>
      </c>
      <c r="T171" s="76">
        <f t="shared" si="46"/>
        <v>431.776202</v>
      </c>
      <c r="U171" s="76"/>
      <c r="V171" s="77">
        <v>0</v>
      </c>
      <c r="W171" s="75">
        <v>0</v>
      </c>
      <c r="X171" s="76"/>
      <c r="Y171" s="77">
        <v>398.531311</v>
      </c>
      <c r="Z171" s="77">
        <v>0</v>
      </c>
      <c r="AA171" s="67">
        <f t="shared" si="47"/>
        <v>0</v>
      </c>
      <c r="AB171" s="77">
        <v>0</v>
      </c>
      <c r="AC171" s="67">
        <f t="shared" si="48"/>
        <v>0</v>
      </c>
      <c r="AD171" s="77">
        <v>0</v>
      </c>
      <c r="AE171" s="67">
        <f t="shared" si="49"/>
        <v>0</v>
      </c>
      <c r="AF171" s="82">
        <v>0</v>
      </c>
      <c r="AG171" s="67">
        <f t="shared" si="50"/>
        <v>0</v>
      </c>
      <c r="AH171" s="77">
        <v>0</v>
      </c>
      <c r="AI171" s="67">
        <f t="shared" si="51"/>
        <v>0</v>
      </c>
      <c r="AJ171" s="77">
        <v>33.244891</v>
      </c>
      <c r="AK171" s="77">
        <v>0</v>
      </c>
      <c r="AL171" s="77">
        <v>0</v>
      </c>
      <c r="AM171" s="77">
        <v>0</v>
      </c>
      <c r="AN171" s="77">
        <v>0</v>
      </c>
      <c r="AO171" s="77">
        <v>1370.610822</v>
      </c>
      <c r="AP171" s="67">
        <f t="shared" si="52"/>
        <v>355.18</v>
      </c>
      <c r="AQ171" s="91">
        <f t="shared" si="53"/>
        <v>0.71036</v>
      </c>
      <c r="AR171" s="92">
        <f t="shared" si="54"/>
        <v>0</v>
      </c>
      <c r="AS171" s="67">
        <f t="shared" si="55"/>
        <v>0.35518</v>
      </c>
      <c r="AT171" s="75">
        <v>0</v>
      </c>
      <c r="AU171" s="67">
        <f t="shared" si="56"/>
        <v>0.0575701602666667</v>
      </c>
      <c r="AV171" s="71">
        <f t="shared" si="57"/>
        <v>0.30444</v>
      </c>
      <c r="AW171" s="71"/>
      <c r="AX171" s="67"/>
      <c r="AY171" s="67">
        <f t="shared" si="58"/>
        <v>0.10964886576</v>
      </c>
      <c r="AZ171" s="67"/>
      <c r="BA171" s="67">
        <f t="shared" si="59"/>
        <v>0.362010160266667</v>
      </c>
      <c r="BB171" s="75"/>
    </row>
    <row r="172" spans="1:54">
      <c r="A172" s="64">
        <v>167</v>
      </c>
      <c r="B172" s="65" t="s">
        <v>83</v>
      </c>
      <c r="C172" s="65" t="s">
        <v>83</v>
      </c>
      <c r="D172" s="65" t="s">
        <v>85</v>
      </c>
      <c r="E172" s="65" t="s">
        <v>256</v>
      </c>
      <c r="F172" s="66">
        <v>2785.13</v>
      </c>
      <c r="G172" s="67">
        <f t="shared" si="40"/>
        <v>58.0690651869033</v>
      </c>
      <c r="H172" s="67">
        <f t="shared" si="41"/>
        <v>161729.895524</v>
      </c>
      <c r="I172" s="75">
        <v>2</v>
      </c>
      <c r="J172" s="75">
        <v>2</v>
      </c>
      <c r="K172" s="76">
        <f t="shared" si="42"/>
        <v>104781.312489</v>
      </c>
      <c r="L172" s="76">
        <f t="shared" si="43"/>
        <v>88070.532489</v>
      </c>
      <c r="M172" s="75">
        <v>2</v>
      </c>
      <c r="N172" s="77">
        <v>2485.924416</v>
      </c>
      <c r="O172" s="75">
        <v>2</v>
      </c>
      <c r="P172" s="67">
        <f t="shared" si="44"/>
        <v>5570.26</v>
      </c>
      <c r="Q172" s="77">
        <v>73659.363035</v>
      </c>
      <c r="R172" s="67">
        <f t="shared" si="45"/>
        <v>16710.78</v>
      </c>
      <c r="S172" s="67">
        <v>0</v>
      </c>
      <c r="T172" s="76">
        <f t="shared" si="46"/>
        <v>34123.121963</v>
      </c>
      <c r="U172" s="76"/>
      <c r="V172" s="77">
        <v>13502.701552</v>
      </c>
      <c r="W172" s="75">
        <v>1</v>
      </c>
      <c r="X172" s="76"/>
      <c r="Y172" s="77">
        <v>0</v>
      </c>
      <c r="Z172" s="77">
        <v>0</v>
      </c>
      <c r="AA172" s="67">
        <f t="shared" si="47"/>
        <v>0</v>
      </c>
      <c r="AB172" s="77">
        <v>0</v>
      </c>
      <c r="AC172" s="67">
        <f t="shared" si="48"/>
        <v>0</v>
      </c>
      <c r="AD172" s="77">
        <v>3533.799488</v>
      </c>
      <c r="AE172" s="67">
        <f t="shared" si="49"/>
        <v>7067.598976</v>
      </c>
      <c r="AF172" s="82">
        <v>0</v>
      </c>
      <c r="AG172" s="67">
        <f t="shared" si="50"/>
        <v>0</v>
      </c>
      <c r="AH172" s="77">
        <v>4648.261156</v>
      </c>
      <c r="AI172" s="67">
        <f t="shared" si="51"/>
        <v>9296.522312</v>
      </c>
      <c r="AJ172" s="77">
        <v>11323.898099</v>
      </c>
      <c r="AK172" s="77">
        <v>0</v>
      </c>
      <c r="AL172" s="77">
        <v>0</v>
      </c>
      <c r="AM172" s="77">
        <v>4348.301681</v>
      </c>
      <c r="AN172" s="77">
        <v>1147.765093</v>
      </c>
      <c r="AO172" s="77">
        <v>41383.744776</v>
      </c>
      <c r="AP172" s="67">
        <f t="shared" si="52"/>
        <v>5570.26</v>
      </c>
      <c r="AQ172" s="91">
        <f t="shared" si="53"/>
        <v>0</v>
      </c>
      <c r="AR172" s="92">
        <f t="shared" si="54"/>
        <v>11.14052</v>
      </c>
      <c r="AS172" s="67">
        <f t="shared" si="55"/>
        <v>8.35539</v>
      </c>
      <c r="AT172" s="75">
        <v>0</v>
      </c>
      <c r="AU172" s="67">
        <f t="shared" si="56"/>
        <v>5.24971107123077</v>
      </c>
      <c r="AV172" s="71">
        <f t="shared" si="57"/>
        <v>6.684312</v>
      </c>
      <c r="AW172" s="71"/>
      <c r="AX172" s="67"/>
      <c r="AY172" s="67">
        <f t="shared" si="58"/>
        <v>3.750384924</v>
      </c>
      <c r="AZ172" s="67"/>
      <c r="BA172" s="67">
        <f t="shared" si="59"/>
        <v>11.9340230712308</v>
      </c>
      <c r="BB172" s="75"/>
    </row>
    <row r="173" spans="1:54">
      <c r="A173" s="64">
        <v>168</v>
      </c>
      <c r="B173" s="65" t="s">
        <v>83</v>
      </c>
      <c r="C173" s="65" t="s">
        <v>257</v>
      </c>
      <c r="D173" s="65"/>
      <c r="E173" s="65"/>
      <c r="F173" s="66">
        <v>31.95</v>
      </c>
      <c r="G173" s="67">
        <f t="shared" si="40"/>
        <v>36.2379697026604</v>
      </c>
      <c r="H173" s="67">
        <f t="shared" si="41"/>
        <v>1157.803132</v>
      </c>
      <c r="I173" s="75">
        <v>2</v>
      </c>
      <c r="J173" s="75">
        <v>2</v>
      </c>
      <c r="K173" s="76">
        <f t="shared" si="42"/>
        <v>191.7</v>
      </c>
      <c r="L173" s="76">
        <f t="shared" si="43"/>
        <v>0</v>
      </c>
      <c r="M173" s="75">
        <v>0</v>
      </c>
      <c r="N173" s="77">
        <v>0</v>
      </c>
      <c r="O173" s="75">
        <v>0</v>
      </c>
      <c r="P173" s="67">
        <f t="shared" si="44"/>
        <v>63.9</v>
      </c>
      <c r="Q173" s="77">
        <v>1157.803132</v>
      </c>
      <c r="R173" s="67">
        <f t="shared" si="45"/>
        <v>191.7</v>
      </c>
      <c r="S173" s="67">
        <v>0</v>
      </c>
      <c r="T173" s="76">
        <f t="shared" si="46"/>
        <v>0</v>
      </c>
      <c r="U173" s="76"/>
      <c r="V173" s="77">
        <v>0</v>
      </c>
      <c r="W173" s="75">
        <v>0</v>
      </c>
      <c r="X173" s="76"/>
      <c r="Y173" s="77">
        <v>0</v>
      </c>
      <c r="Z173" s="77">
        <v>0</v>
      </c>
      <c r="AA173" s="67">
        <f t="shared" si="47"/>
        <v>0</v>
      </c>
      <c r="AB173" s="77">
        <v>0</v>
      </c>
      <c r="AC173" s="67">
        <f t="shared" si="48"/>
        <v>0</v>
      </c>
      <c r="AD173" s="77">
        <v>0</v>
      </c>
      <c r="AE173" s="67">
        <f t="shared" si="49"/>
        <v>0</v>
      </c>
      <c r="AF173" s="82">
        <v>0</v>
      </c>
      <c r="AG173" s="67">
        <f t="shared" si="50"/>
        <v>0</v>
      </c>
      <c r="AH173" s="77">
        <v>0</v>
      </c>
      <c r="AI173" s="67">
        <f t="shared" si="51"/>
        <v>0</v>
      </c>
      <c r="AJ173" s="77">
        <v>0</v>
      </c>
      <c r="AK173" s="77">
        <v>0</v>
      </c>
      <c r="AL173" s="77">
        <v>0</v>
      </c>
      <c r="AM173" s="77">
        <v>0</v>
      </c>
      <c r="AN173" s="77">
        <v>0</v>
      </c>
      <c r="AO173" s="77">
        <v>0</v>
      </c>
      <c r="AP173" s="67">
        <f t="shared" si="52"/>
        <v>63.9</v>
      </c>
      <c r="AQ173" s="91">
        <f t="shared" si="53"/>
        <v>0</v>
      </c>
      <c r="AR173" s="92">
        <f t="shared" si="54"/>
        <v>0.1278</v>
      </c>
      <c r="AS173" s="67">
        <f t="shared" si="55"/>
        <v>0.09585</v>
      </c>
      <c r="AT173" s="75">
        <v>0</v>
      </c>
      <c r="AU173" s="67">
        <f t="shared" si="56"/>
        <v>0</v>
      </c>
      <c r="AV173" s="71">
        <f t="shared" si="57"/>
        <v>0.07668</v>
      </c>
      <c r="AW173" s="71"/>
      <c r="AX173" s="67"/>
      <c r="AY173" s="67">
        <f t="shared" si="58"/>
        <v>0</v>
      </c>
      <c r="AZ173" s="67"/>
      <c r="BA173" s="67">
        <f t="shared" si="59"/>
        <v>0.07668</v>
      </c>
      <c r="BB173" s="75"/>
    </row>
    <row r="174" spans="1:54">
      <c r="A174" s="64">
        <v>169</v>
      </c>
      <c r="B174" s="65" t="s">
        <v>83</v>
      </c>
      <c r="C174" s="65" t="s">
        <v>83</v>
      </c>
      <c r="D174" s="65" t="s">
        <v>170</v>
      </c>
      <c r="E174" s="65" t="s">
        <v>85</v>
      </c>
      <c r="F174" s="66">
        <v>595.64</v>
      </c>
      <c r="G174" s="67">
        <f t="shared" si="40"/>
        <v>68.7394221862199</v>
      </c>
      <c r="H174" s="67">
        <f t="shared" si="41"/>
        <v>40943.949431</v>
      </c>
      <c r="I174" s="75">
        <v>2</v>
      </c>
      <c r="J174" s="75">
        <v>2</v>
      </c>
      <c r="K174" s="76">
        <f t="shared" si="42"/>
        <v>32013.851173</v>
      </c>
      <c r="L174" s="76">
        <f t="shared" si="43"/>
        <v>28440.011173</v>
      </c>
      <c r="M174" s="75">
        <v>2</v>
      </c>
      <c r="N174" s="77">
        <v>0</v>
      </c>
      <c r="O174" s="75">
        <v>0</v>
      </c>
      <c r="P174" s="67">
        <f t="shared" si="44"/>
        <v>1191.28</v>
      </c>
      <c r="Q174" s="77">
        <v>12503.938258</v>
      </c>
      <c r="R174" s="67">
        <f t="shared" si="45"/>
        <v>3573.84</v>
      </c>
      <c r="S174" s="67">
        <v>0</v>
      </c>
      <c r="T174" s="76">
        <f t="shared" si="46"/>
        <v>8131.03267</v>
      </c>
      <c r="U174" s="76"/>
      <c r="V174" s="77">
        <v>1364.75961</v>
      </c>
      <c r="W174" s="75">
        <v>1</v>
      </c>
      <c r="X174" s="76"/>
      <c r="Y174" s="77">
        <v>121.311442</v>
      </c>
      <c r="Z174" s="77">
        <v>20.436837</v>
      </c>
      <c r="AA174" s="67">
        <f t="shared" si="47"/>
        <v>40.873674</v>
      </c>
      <c r="AB174" s="77">
        <v>0</v>
      </c>
      <c r="AC174" s="67">
        <f t="shared" si="48"/>
        <v>0</v>
      </c>
      <c r="AD174" s="77">
        <v>609.579346</v>
      </c>
      <c r="AE174" s="67">
        <f t="shared" si="49"/>
        <v>1219.158692</v>
      </c>
      <c r="AF174" s="82">
        <v>0</v>
      </c>
      <c r="AG174" s="67">
        <f t="shared" si="50"/>
        <v>0</v>
      </c>
      <c r="AH174" s="77">
        <v>389.024655</v>
      </c>
      <c r="AI174" s="67">
        <f t="shared" si="51"/>
        <v>778.04931</v>
      </c>
      <c r="AJ174" s="77">
        <v>5866.912308</v>
      </c>
      <c r="AK174" s="77">
        <v>0</v>
      </c>
      <c r="AL174" s="77">
        <v>0</v>
      </c>
      <c r="AM174" s="77">
        <v>7744.248889</v>
      </c>
      <c r="AN174" s="77">
        <v>0</v>
      </c>
      <c r="AO174" s="77">
        <v>11304.697248</v>
      </c>
      <c r="AP174" s="67">
        <f t="shared" si="52"/>
        <v>1191.28</v>
      </c>
      <c r="AQ174" s="91">
        <f t="shared" si="53"/>
        <v>0</v>
      </c>
      <c r="AR174" s="92">
        <f t="shared" si="54"/>
        <v>2.38256</v>
      </c>
      <c r="AS174" s="67">
        <f t="shared" si="55"/>
        <v>1.78692</v>
      </c>
      <c r="AT174" s="75">
        <v>0</v>
      </c>
      <c r="AU174" s="67">
        <f t="shared" si="56"/>
        <v>1.25092810307692</v>
      </c>
      <c r="AV174" s="71">
        <f t="shared" si="57"/>
        <v>1.429536</v>
      </c>
      <c r="AW174" s="71"/>
      <c r="AX174" s="67"/>
      <c r="AY174" s="67">
        <f t="shared" si="58"/>
        <v>1.52391569096</v>
      </c>
      <c r="AZ174" s="67"/>
      <c r="BA174" s="67">
        <f t="shared" si="59"/>
        <v>2.68046410307692</v>
      </c>
      <c r="BB174" s="75"/>
    </row>
    <row r="175" spans="1:54">
      <c r="A175" s="64">
        <v>170</v>
      </c>
      <c r="B175" s="65" t="s">
        <v>83</v>
      </c>
      <c r="C175" s="65" t="s">
        <v>83</v>
      </c>
      <c r="D175" s="65" t="s">
        <v>170</v>
      </c>
      <c r="E175" s="65" t="s">
        <v>258</v>
      </c>
      <c r="F175" s="66">
        <v>207.64</v>
      </c>
      <c r="G175" s="67">
        <f t="shared" si="40"/>
        <v>63.4697882970526</v>
      </c>
      <c r="H175" s="67">
        <f t="shared" si="41"/>
        <v>13178.866842</v>
      </c>
      <c r="I175" s="75">
        <v>2</v>
      </c>
      <c r="J175" s="75">
        <v>2</v>
      </c>
      <c r="K175" s="76">
        <f t="shared" si="42"/>
        <v>10440.607942</v>
      </c>
      <c r="L175" s="76">
        <f t="shared" si="43"/>
        <v>9194.767942</v>
      </c>
      <c r="M175" s="75">
        <v>2</v>
      </c>
      <c r="N175" s="77">
        <v>0</v>
      </c>
      <c r="O175" s="75">
        <v>0</v>
      </c>
      <c r="P175" s="67">
        <f t="shared" si="44"/>
        <v>415.28</v>
      </c>
      <c r="Q175" s="77">
        <v>3984.0989</v>
      </c>
      <c r="R175" s="67">
        <f t="shared" si="45"/>
        <v>1245.84</v>
      </c>
      <c r="S175" s="67">
        <v>0</v>
      </c>
      <c r="T175" s="76">
        <f t="shared" si="46"/>
        <v>2501.841183</v>
      </c>
      <c r="U175" s="76"/>
      <c r="V175" s="77">
        <v>0</v>
      </c>
      <c r="W175" s="75">
        <v>0</v>
      </c>
      <c r="X175" s="76"/>
      <c r="Y175" s="77">
        <v>201.960679</v>
      </c>
      <c r="Z175" s="77">
        <v>0</v>
      </c>
      <c r="AA175" s="67">
        <f t="shared" si="47"/>
        <v>0</v>
      </c>
      <c r="AB175" s="77">
        <v>0</v>
      </c>
      <c r="AC175" s="67">
        <f t="shared" si="48"/>
        <v>0</v>
      </c>
      <c r="AD175" s="77">
        <v>0</v>
      </c>
      <c r="AE175" s="67">
        <f t="shared" si="49"/>
        <v>0</v>
      </c>
      <c r="AF175" s="82">
        <v>0</v>
      </c>
      <c r="AG175" s="67">
        <f t="shared" si="50"/>
        <v>0</v>
      </c>
      <c r="AH175" s="77">
        <v>105.148635</v>
      </c>
      <c r="AI175" s="67">
        <f t="shared" si="51"/>
        <v>210.29727</v>
      </c>
      <c r="AJ175" s="77">
        <v>2089.583234</v>
      </c>
      <c r="AK175" s="77">
        <v>0</v>
      </c>
      <c r="AL175" s="77">
        <v>0</v>
      </c>
      <c r="AM175" s="77">
        <v>3639.381759</v>
      </c>
      <c r="AN175" s="77">
        <v>0</v>
      </c>
      <c r="AO175" s="77">
        <v>3053.545</v>
      </c>
      <c r="AP175" s="67">
        <f t="shared" si="52"/>
        <v>415.28</v>
      </c>
      <c r="AQ175" s="91">
        <f t="shared" si="53"/>
        <v>0</v>
      </c>
      <c r="AR175" s="92">
        <f t="shared" si="54"/>
        <v>0.83056</v>
      </c>
      <c r="AS175" s="67">
        <f t="shared" si="55"/>
        <v>0.62292</v>
      </c>
      <c r="AT175" s="75">
        <v>0</v>
      </c>
      <c r="AU175" s="67">
        <f t="shared" si="56"/>
        <v>0.384898643538462</v>
      </c>
      <c r="AV175" s="71">
        <f t="shared" si="57"/>
        <v>0.498336</v>
      </c>
      <c r="AW175" s="71"/>
      <c r="AX175" s="67"/>
      <c r="AY175" s="67">
        <f t="shared" si="58"/>
        <v>0.53543414072</v>
      </c>
      <c r="AZ175" s="67"/>
      <c r="BA175" s="67">
        <f t="shared" si="59"/>
        <v>0.883234643538461</v>
      </c>
      <c r="BB175" s="75"/>
    </row>
    <row r="176" spans="1:54">
      <c r="A176" s="64">
        <v>171</v>
      </c>
      <c r="B176" s="65" t="s">
        <v>259</v>
      </c>
      <c r="C176" s="65" t="s">
        <v>259</v>
      </c>
      <c r="D176" s="65" t="s">
        <v>83</v>
      </c>
      <c r="E176" s="65" t="s">
        <v>180</v>
      </c>
      <c r="F176" s="66">
        <v>306.82</v>
      </c>
      <c r="G176" s="67">
        <f t="shared" si="40"/>
        <v>25.0910136627339</v>
      </c>
      <c r="H176" s="67">
        <f t="shared" si="41"/>
        <v>7698.424812</v>
      </c>
      <c r="I176" s="75">
        <v>2</v>
      </c>
      <c r="J176" s="75">
        <v>2</v>
      </c>
      <c r="K176" s="76">
        <f t="shared" si="42"/>
        <v>6088.236233</v>
      </c>
      <c r="L176" s="76">
        <f t="shared" si="43"/>
        <v>4247.316233</v>
      </c>
      <c r="M176" s="75">
        <v>0</v>
      </c>
      <c r="N176" s="77">
        <v>0</v>
      </c>
      <c r="O176" s="75">
        <v>0</v>
      </c>
      <c r="P176" s="67">
        <f t="shared" si="44"/>
        <v>613.64</v>
      </c>
      <c r="Q176" s="77">
        <v>3451.108579</v>
      </c>
      <c r="R176" s="67">
        <f t="shared" si="45"/>
        <v>1840.92</v>
      </c>
      <c r="S176" s="67">
        <v>0</v>
      </c>
      <c r="T176" s="76">
        <f t="shared" si="46"/>
        <v>2340.663769</v>
      </c>
      <c r="U176" s="76"/>
      <c r="V176" s="77">
        <v>1405.124843</v>
      </c>
      <c r="W176" s="75">
        <v>0</v>
      </c>
      <c r="X176" s="76"/>
      <c r="Y176" s="77">
        <v>0</v>
      </c>
      <c r="Z176" s="77">
        <v>0</v>
      </c>
      <c r="AA176" s="67">
        <f t="shared" si="47"/>
        <v>0</v>
      </c>
      <c r="AB176" s="77">
        <v>0</v>
      </c>
      <c r="AC176" s="67">
        <f t="shared" si="48"/>
        <v>0</v>
      </c>
      <c r="AD176" s="77">
        <v>312.609919</v>
      </c>
      <c r="AE176" s="67">
        <f t="shared" si="49"/>
        <v>625.219838</v>
      </c>
      <c r="AF176" s="82">
        <v>0</v>
      </c>
      <c r="AG176" s="67">
        <f t="shared" si="50"/>
        <v>0</v>
      </c>
      <c r="AH176" s="77">
        <v>467.769463</v>
      </c>
      <c r="AI176" s="67">
        <f t="shared" si="51"/>
        <v>935.538926</v>
      </c>
      <c r="AJ176" s="77">
        <v>0</v>
      </c>
      <c r="AK176" s="77">
        <v>0</v>
      </c>
      <c r="AL176" s="77">
        <v>0</v>
      </c>
      <c r="AM176" s="77">
        <v>34.106119</v>
      </c>
      <c r="AN176" s="77">
        <v>0</v>
      </c>
      <c r="AO176" s="77">
        <v>1247.326507</v>
      </c>
      <c r="AP176" s="67">
        <f t="shared" si="52"/>
        <v>613.64</v>
      </c>
      <c r="AQ176" s="91">
        <f t="shared" si="53"/>
        <v>0</v>
      </c>
      <c r="AR176" s="92">
        <f t="shared" si="54"/>
        <v>1.22728</v>
      </c>
      <c r="AS176" s="67">
        <f t="shared" si="55"/>
        <v>0.92046</v>
      </c>
      <c r="AT176" s="75">
        <v>0</v>
      </c>
      <c r="AU176" s="67">
        <f t="shared" si="56"/>
        <v>0.360102118307692</v>
      </c>
      <c r="AV176" s="71">
        <f t="shared" si="57"/>
        <v>0.736368</v>
      </c>
      <c r="AW176" s="71"/>
      <c r="AX176" s="67"/>
      <c r="AY176" s="67">
        <f t="shared" si="58"/>
        <v>0.10251461008</v>
      </c>
      <c r="AZ176" s="67"/>
      <c r="BA176" s="67">
        <f t="shared" si="59"/>
        <v>1.09647011830769</v>
      </c>
      <c r="BB176" s="75"/>
    </row>
    <row r="177" spans="1:54">
      <c r="A177" s="64">
        <v>172</v>
      </c>
      <c r="B177" s="65" t="s">
        <v>260</v>
      </c>
      <c r="C177" s="65" t="s">
        <v>260</v>
      </c>
      <c r="D177" s="65" t="s">
        <v>261</v>
      </c>
      <c r="E177" s="65" t="s">
        <v>85</v>
      </c>
      <c r="F177" s="66">
        <v>840.09</v>
      </c>
      <c r="G177" s="67">
        <f t="shared" si="40"/>
        <v>21.7024043900058</v>
      </c>
      <c r="H177" s="67">
        <f t="shared" si="41"/>
        <v>18231.972904</v>
      </c>
      <c r="I177" s="75">
        <v>2</v>
      </c>
      <c r="J177" s="75">
        <v>2</v>
      </c>
      <c r="K177" s="76">
        <f t="shared" si="42"/>
        <v>5040.54</v>
      </c>
      <c r="L177" s="76">
        <f t="shared" si="43"/>
        <v>0</v>
      </c>
      <c r="M177" s="75">
        <v>4</v>
      </c>
      <c r="N177" s="77">
        <v>0</v>
      </c>
      <c r="O177" s="75">
        <v>0</v>
      </c>
      <c r="P177" s="67">
        <f t="shared" si="44"/>
        <v>1680.18</v>
      </c>
      <c r="Q177" s="77">
        <f>10305.184845+7926.788059</f>
        <v>18231.972904</v>
      </c>
      <c r="R177" s="67">
        <f t="shared" si="45"/>
        <v>5040.54</v>
      </c>
      <c r="S177" s="67">
        <v>0</v>
      </c>
      <c r="T177" s="76">
        <f t="shared" si="46"/>
        <v>0</v>
      </c>
      <c r="U177" s="76"/>
      <c r="V177" s="77">
        <v>0</v>
      </c>
      <c r="W177" s="75">
        <v>0</v>
      </c>
      <c r="X177" s="76"/>
      <c r="Y177" s="77">
        <v>0</v>
      </c>
      <c r="Z177" s="77">
        <v>0</v>
      </c>
      <c r="AA177" s="67">
        <f t="shared" si="47"/>
        <v>0</v>
      </c>
      <c r="AB177" s="77">
        <v>0</v>
      </c>
      <c r="AC177" s="67">
        <f t="shared" si="48"/>
        <v>0</v>
      </c>
      <c r="AD177" s="77">
        <v>0</v>
      </c>
      <c r="AE177" s="67">
        <f t="shared" si="49"/>
        <v>0</v>
      </c>
      <c r="AF177" s="82">
        <v>0</v>
      </c>
      <c r="AG177" s="67">
        <f t="shared" si="50"/>
        <v>0</v>
      </c>
      <c r="AH177" s="77">
        <v>0</v>
      </c>
      <c r="AI177" s="67">
        <f t="shared" si="51"/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  <c r="AO177" s="77">
        <v>0</v>
      </c>
      <c r="AP177" s="67">
        <f t="shared" si="52"/>
        <v>1680.18</v>
      </c>
      <c r="AQ177" s="91">
        <f t="shared" si="53"/>
        <v>0</v>
      </c>
      <c r="AR177" s="92">
        <f t="shared" si="54"/>
        <v>3.36036</v>
      </c>
      <c r="AS177" s="67">
        <f t="shared" si="55"/>
        <v>2.52027</v>
      </c>
      <c r="AT177" s="75">
        <v>0</v>
      </c>
      <c r="AU177" s="67">
        <f t="shared" si="56"/>
        <v>0</v>
      </c>
      <c r="AV177" s="71">
        <f t="shared" si="57"/>
        <v>2.016216</v>
      </c>
      <c r="AW177" s="71"/>
      <c r="AX177" s="67"/>
      <c r="AY177" s="67">
        <f t="shared" si="58"/>
        <v>0</v>
      </c>
      <c r="AZ177" s="67"/>
      <c r="BA177" s="67">
        <f t="shared" si="59"/>
        <v>2.016216</v>
      </c>
      <c r="BB177" s="75"/>
    </row>
    <row r="178" s="51" customFormat="1" ht="13.5" customHeight="1" spans="1:60">
      <c r="A178" s="68">
        <v>173</v>
      </c>
      <c r="B178" s="69" t="s">
        <v>117</v>
      </c>
      <c r="C178" s="69" t="s">
        <v>117</v>
      </c>
      <c r="D178" s="69" t="s">
        <v>139</v>
      </c>
      <c r="E178" s="69" t="s">
        <v>179</v>
      </c>
      <c r="F178" s="70">
        <v>496.69</v>
      </c>
      <c r="G178" s="71">
        <f t="shared" si="40"/>
        <v>49.2456668747106</v>
      </c>
      <c r="H178" s="71">
        <f t="shared" si="41"/>
        <v>24459.83028</v>
      </c>
      <c r="I178" s="78">
        <v>1</v>
      </c>
      <c r="J178" s="78">
        <v>2</v>
      </c>
      <c r="K178" s="79">
        <f t="shared" si="42"/>
        <v>14998.835987</v>
      </c>
      <c r="L178" s="79">
        <f t="shared" si="43"/>
        <v>12018.695987</v>
      </c>
      <c r="M178" s="78">
        <v>2</v>
      </c>
      <c r="N178" s="80">
        <v>2776.269783</v>
      </c>
      <c r="O178" s="78">
        <v>2</v>
      </c>
      <c r="P178" s="71">
        <f t="shared" si="44"/>
        <v>993.38</v>
      </c>
      <c r="Q178" s="80">
        <v>12441.134293</v>
      </c>
      <c r="R178" s="71">
        <f t="shared" si="45"/>
        <v>2980.14</v>
      </c>
      <c r="S178" s="71">
        <v>0</v>
      </c>
      <c r="T178" s="79">
        <f t="shared" si="46"/>
        <v>4426.243664</v>
      </c>
      <c r="U178" s="79"/>
      <c r="V178" s="80">
        <v>626.33665</v>
      </c>
      <c r="W178" s="78">
        <v>2</v>
      </c>
      <c r="X178" s="79"/>
      <c r="Y178" s="80">
        <v>2533.639341</v>
      </c>
      <c r="Z178" s="80">
        <v>0</v>
      </c>
      <c r="AA178" s="71">
        <f t="shared" si="47"/>
        <v>0</v>
      </c>
      <c r="AB178" s="80">
        <v>0</v>
      </c>
      <c r="AC178" s="71">
        <f t="shared" si="48"/>
        <v>0</v>
      </c>
      <c r="AD178" s="80">
        <v>0</v>
      </c>
      <c r="AE178" s="71">
        <f t="shared" si="49"/>
        <v>0</v>
      </c>
      <c r="AF178" s="83">
        <v>0</v>
      </c>
      <c r="AG178" s="71">
        <f t="shared" si="50"/>
        <v>0</v>
      </c>
      <c r="AH178" s="80">
        <v>0</v>
      </c>
      <c r="AI178" s="71">
        <f t="shared" si="51"/>
        <v>0</v>
      </c>
      <c r="AJ178" s="80">
        <v>1266.267673</v>
      </c>
      <c r="AK178" s="80">
        <v>0</v>
      </c>
      <c r="AL178" s="80">
        <v>0</v>
      </c>
      <c r="AM178" s="80">
        <v>843.573824</v>
      </c>
      <c r="AN178" s="80">
        <v>254.166813</v>
      </c>
      <c r="AO178" s="80">
        <v>6494.711686</v>
      </c>
      <c r="AP178" s="71">
        <f t="shared" si="52"/>
        <v>993.38</v>
      </c>
      <c r="AQ178" s="93">
        <f t="shared" si="53"/>
        <v>0</v>
      </c>
      <c r="AR178" s="94">
        <f t="shared" si="54"/>
        <v>1.98676</v>
      </c>
      <c r="AS178" s="71">
        <f t="shared" si="55"/>
        <v>1.49007</v>
      </c>
      <c r="AT178" s="78">
        <v>1</v>
      </c>
      <c r="AU178" s="71">
        <f t="shared" si="56"/>
        <v>0.680960563692308</v>
      </c>
      <c r="AV178" s="71">
        <f t="shared" si="57"/>
        <v>1.192056</v>
      </c>
      <c r="AW178" s="71">
        <v>1</v>
      </c>
      <c r="AX178" s="71"/>
      <c r="AY178" s="71">
        <f t="shared" si="58"/>
        <v>0.60739618584</v>
      </c>
      <c r="AZ178" s="71"/>
      <c r="BA178" s="67">
        <f t="shared" si="59"/>
        <v>2.87301656369231</v>
      </c>
      <c r="BB178" s="78"/>
      <c r="BH178" s="99"/>
    </row>
    <row r="179" s="51" customFormat="1" ht="13.5" customHeight="1" spans="1:60">
      <c r="A179" s="68">
        <v>174</v>
      </c>
      <c r="B179" s="69" t="s">
        <v>92</v>
      </c>
      <c r="C179" s="69" t="s">
        <v>92</v>
      </c>
      <c r="D179" s="69" t="s">
        <v>114</v>
      </c>
      <c r="E179" s="69" t="s">
        <v>112</v>
      </c>
      <c r="F179" s="70">
        <v>931.87</v>
      </c>
      <c r="G179" s="71">
        <f t="shared" si="40"/>
        <v>45.0699974867739</v>
      </c>
      <c r="H179" s="71">
        <f t="shared" si="41"/>
        <v>41999.378558</v>
      </c>
      <c r="I179" s="78">
        <v>1</v>
      </c>
      <c r="J179" s="78">
        <v>1</v>
      </c>
      <c r="K179" s="79">
        <f t="shared" si="42"/>
        <v>23399.265843</v>
      </c>
      <c r="L179" s="79">
        <f t="shared" si="43"/>
        <v>17808.045843</v>
      </c>
      <c r="M179" s="78">
        <v>2</v>
      </c>
      <c r="N179" s="80">
        <v>0</v>
      </c>
      <c r="O179" s="78">
        <v>0</v>
      </c>
      <c r="P179" s="71">
        <f t="shared" si="44"/>
        <v>1863.74</v>
      </c>
      <c r="Q179" s="80">
        <v>24191.332715</v>
      </c>
      <c r="R179" s="71">
        <f t="shared" si="45"/>
        <v>5591.22</v>
      </c>
      <c r="S179" s="71">
        <v>0</v>
      </c>
      <c r="T179" s="79">
        <f t="shared" si="46"/>
        <v>14384.892093</v>
      </c>
      <c r="U179" s="79"/>
      <c r="V179" s="80">
        <v>5166.172456</v>
      </c>
      <c r="W179" s="78">
        <v>2</v>
      </c>
      <c r="X179" s="79"/>
      <c r="Y179" s="80">
        <v>6289.801552</v>
      </c>
      <c r="Z179" s="80">
        <v>201.492632</v>
      </c>
      <c r="AA179" s="71">
        <f t="shared" si="47"/>
        <v>402.985264</v>
      </c>
      <c r="AB179" s="80">
        <v>0</v>
      </c>
      <c r="AC179" s="71">
        <f t="shared" si="48"/>
        <v>0</v>
      </c>
      <c r="AD179" s="80">
        <v>40.082778</v>
      </c>
      <c r="AE179" s="71">
        <f t="shared" si="49"/>
        <v>80.165556</v>
      </c>
      <c r="AF179" s="83">
        <v>0</v>
      </c>
      <c r="AG179" s="71">
        <f t="shared" si="50"/>
        <v>0</v>
      </c>
      <c r="AH179" s="80">
        <v>0</v>
      </c>
      <c r="AI179" s="71">
        <f t="shared" si="51"/>
        <v>0</v>
      </c>
      <c r="AJ179" s="80">
        <v>2928.918085</v>
      </c>
      <c r="AK179" s="80">
        <v>0</v>
      </c>
      <c r="AL179" s="80">
        <v>0</v>
      </c>
      <c r="AM179" s="80">
        <v>0</v>
      </c>
      <c r="AN179" s="80">
        <v>2013.649545</v>
      </c>
      <c r="AO179" s="80">
        <v>926.353385</v>
      </c>
      <c r="AP179" s="71">
        <f t="shared" si="52"/>
        <v>1863.74</v>
      </c>
      <c r="AQ179" s="93">
        <f t="shared" si="53"/>
        <v>0</v>
      </c>
      <c r="AR179" s="94">
        <f t="shared" si="54"/>
        <v>5.59122</v>
      </c>
      <c r="AS179" s="71">
        <f t="shared" si="55"/>
        <v>3.72748</v>
      </c>
      <c r="AT179" s="78">
        <v>7</v>
      </c>
      <c r="AU179" s="71">
        <f t="shared" si="56"/>
        <v>2.615434926</v>
      </c>
      <c r="AV179" s="71">
        <f t="shared" si="57"/>
        <v>3.19498285714286</v>
      </c>
      <c r="AW179" s="96">
        <v>1</v>
      </c>
      <c r="AX179" s="71"/>
      <c r="AY179" s="71">
        <f t="shared" si="58"/>
        <v>0.2352002344</v>
      </c>
      <c r="AZ179" s="71"/>
      <c r="BA179" s="67">
        <f t="shared" si="59"/>
        <v>6.81041778314286</v>
      </c>
      <c r="BB179" s="78"/>
      <c r="BH179" s="99"/>
    </row>
    <row r="180" s="51" customFormat="1" ht="13.5" customHeight="1" spans="1:60">
      <c r="A180" s="68">
        <v>175</v>
      </c>
      <c r="B180" s="69" t="s">
        <v>92</v>
      </c>
      <c r="C180" s="69" t="s">
        <v>92</v>
      </c>
      <c r="D180" s="69" t="s">
        <v>112</v>
      </c>
      <c r="E180" s="69" t="s">
        <v>139</v>
      </c>
      <c r="F180" s="70">
        <v>814.84</v>
      </c>
      <c r="G180" s="71">
        <f t="shared" si="40"/>
        <v>49.3687820099651</v>
      </c>
      <c r="H180" s="71">
        <f t="shared" si="41"/>
        <v>40227.658333</v>
      </c>
      <c r="I180" s="78">
        <v>1</v>
      </c>
      <c r="J180" s="78">
        <v>2</v>
      </c>
      <c r="K180" s="79">
        <f t="shared" si="42"/>
        <v>21794.594096</v>
      </c>
      <c r="L180" s="79">
        <f t="shared" si="43"/>
        <v>16905.554096</v>
      </c>
      <c r="M180" s="78">
        <v>2</v>
      </c>
      <c r="N180" s="80">
        <v>3384.400577</v>
      </c>
      <c r="O180" s="78">
        <v>2</v>
      </c>
      <c r="P180" s="71">
        <f t="shared" si="44"/>
        <v>1629.68</v>
      </c>
      <c r="Q180" s="80">
        <v>23322.104237</v>
      </c>
      <c r="R180" s="71">
        <f t="shared" si="45"/>
        <v>4889.04</v>
      </c>
      <c r="S180" s="71">
        <v>0</v>
      </c>
      <c r="T180" s="79">
        <f t="shared" si="46"/>
        <v>7310.290328</v>
      </c>
      <c r="U180" s="79"/>
      <c r="V180" s="80">
        <v>873.692599</v>
      </c>
      <c r="W180" s="78">
        <v>2</v>
      </c>
      <c r="X180" s="79"/>
      <c r="Y180" s="80">
        <v>4782.214381</v>
      </c>
      <c r="Z180" s="80">
        <v>0</v>
      </c>
      <c r="AA180" s="71">
        <f t="shared" si="47"/>
        <v>0</v>
      </c>
      <c r="AB180" s="80">
        <v>0</v>
      </c>
      <c r="AC180" s="71">
        <f t="shared" si="48"/>
        <v>0</v>
      </c>
      <c r="AD180" s="80">
        <v>102.385642</v>
      </c>
      <c r="AE180" s="71">
        <f t="shared" si="49"/>
        <v>204.771284</v>
      </c>
      <c r="AF180" s="83">
        <v>0</v>
      </c>
      <c r="AG180" s="71">
        <f t="shared" si="50"/>
        <v>0</v>
      </c>
      <c r="AH180" s="80">
        <v>0</v>
      </c>
      <c r="AI180" s="71">
        <f t="shared" si="51"/>
        <v>0</v>
      </c>
      <c r="AJ180" s="80">
        <v>1654.383348</v>
      </c>
      <c r="AK180" s="80">
        <v>0</v>
      </c>
      <c r="AL180" s="80">
        <v>0</v>
      </c>
      <c r="AM180" s="80">
        <v>1353.603219</v>
      </c>
      <c r="AN180" s="80">
        <v>66.995819</v>
      </c>
      <c r="AO180" s="80">
        <v>7969.893446</v>
      </c>
      <c r="AP180" s="71">
        <f t="shared" si="52"/>
        <v>1629.68</v>
      </c>
      <c r="AQ180" s="93">
        <f t="shared" si="53"/>
        <v>0</v>
      </c>
      <c r="AR180" s="94">
        <f t="shared" si="54"/>
        <v>3.25936</v>
      </c>
      <c r="AS180" s="71">
        <f t="shared" si="55"/>
        <v>2.44452</v>
      </c>
      <c r="AT180" s="78">
        <v>0</v>
      </c>
      <c r="AU180" s="71">
        <f t="shared" si="56"/>
        <v>1.12466005046154</v>
      </c>
      <c r="AV180" s="71">
        <f t="shared" si="57"/>
        <v>1.955616</v>
      </c>
      <c r="AW180" s="97"/>
      <c r="AX180" s="71"/>
      <c r="AY180" s="71">
        <f t="shared" si="58"/>
        <v>0.75123939872</v>
      </c>
      <c r="AZ180" s="71"/>
      <c r="BA180" s="67">
        <f t="shared" si="59"/>
        <v>3.08027605046154</v>
      </c>
      <c r="BB180" s="78"/>
      <c r="BH180" s="99"/>
    </row>
    <row r="181" s="51" customFormat="1" ht="13.5" customHeight="1" spans="1:60">
      <c r="A181" s="68">
        <v>176</v>
      </c>
      <c r="B181" s="69" t="s">
        <v>92</v>
      </c>
      <c r="C181" s="69" t="s">
        <v>92</v>
      </c>
      <c r="D181" s="69" t="s">
        <v>86</v>
      </c>
      <c r="E181" s="69" t="s">
        <v>148</v>
      </c>
      <c r="F181" s="70">
        <v>910.94</v>
      </c>
      <c r="G181" s="71">
        <f t="shared" si="40"/>
        <v>47.5927822008036</v>
      </c>
      <c r="H181" s="71">
        <f t="shared" si="41"/>
        <v>43354.169018</v>
      </c>
      <c r="I181" s="78">
        <v>1</v>
      </c>
      <c r="J181" s="78">
        <v>3</v>
      </c>
      <c r="K181" s="79">
        <f t="shared" si="42"/>
        <v>24420.288898</v>
      </c>
      <c r="L181" s="79">
        <f t="shared" si="43"/>
        <v>18954.648898</v>
      </c>
      <c r="M181" s="78">
        <v>2</v>
      </c>
      <c r="N181" s="80">
        <v>0</v>
      </c>
      <c r="O181" s="78">
        <v>0</v>
      </c>
      <c r="P181" s="71">
        <f t="shared" si="44"/>
        <v>1821.88</v>
      </c>
      <c r="Q181" s="80">
        <v>24399.52012</v>
      </c>
      <c r="R181" s="71">
        <f t="shared" si="45"/>
        <v>5465.64</v>
      </c>
      <c r="S181" s="71">
        <v>0</v>
      </c>
      <c r="T181" s="79">
        <f t="shared" si="46"/>
        <v>12183.16769</v>
      </c>
      <c r="U181" s="79"/>
      <c r="V181" s="80">
        <v>5299.66176</v>
      </c>
      <c r="W181" s="78">
        <v>2</v>
      </c>
      <c r="X181" s="79"/>
      <c r="Y181" s="80">
        <v>5224.039119</v>
      </c>
      <c r="Z181" s="80">
        <v>13.117363</v>
      </c>
      <c r="AA181" s="71">
        <f t="shared" si="47"/>
        <v>26.234726</v>
      </c>
      <c r="AB181" s="80">
        <v>0</v>
      </c>
      <c r="AC181" s="71">
        <f t="shared" si="48"/>
        <v>0</v>
      </c>
      <c r="AD181" s="80">
        <v>125.328266</v>
      </c>
      <c r="AE181" s="71">
        <f t="shared" si="49"/>
        <v>250.656532</v>
      </c>
      <c r="AF181" s="83">
        <v>0</v>
      </c>
      <c r="AG181" s="71">
        <f t="shared" si="50"/>
        <v>0</v>
      </c>
      <c r="AH181" s="80">
        <v>0</v>
      </c>
      <c r="AI181" s="71">
        <f t="shared" si="51"/>
        <v>0</v>
      </c>
      <c r="AJ181" s="80">
        <v>1659.466811</v>
      </c>
      <c r="AK181" s="80">
        <v>0</v>
      </c>
      <c r="AL181" s="80">
        <v>0</v>
      </c>
      <c r="AM181" s="80">
        <v>0</v>
      </c>
      <c r="AN181" s="80">
        <v>1611.666631</v>
      </c>
      <c r="AO181" s="80">
        <v>4882.923319</v>
      </c>
      <c r="AP181" s="71">
        <f t="shared" si="52"/>
        <v>1821.88</v>
      </c>
      <c r="AQ181" s="93">
        <f t="shared" si="53"/>
        <v>3.64376</v>
      </c>
      <c r="AR181" s="94">
        <f t="shared" si="54"/>
        <v>0</v>
      </c>
      <c r="AS181" s="71">
        <f t="shared" si="55"/>
        <v>1.82188</v>
      </c>
      <c r="AT181" s="78">
        <v>3</v>
      </c>
      <c r="AU181" s="71">
        <f t="shared" si="56"/>
        <v>1.62442235866667</v>
      </c>
      <c r="AV181" s="71">
        <f t="shared" si="57"/>
        <v>1.56161142857143</v>
      </c>
      <c r="AW181" s="97"/>
      <c r="AX181" s="71"/>
      <c r="AY181" s="71">
        <f t="shared" si="58"/>
        <v>0.519567196</v>
      </c>
      <c r="AZ181" s="71"/>
      <c r="BA181" s="67">
        <f t="shared" si="59"/>
        <v>3.1860337872381</v>
      </c>
      <c r="BB181" s="78"/>
      <c r="BH181" s="99"/>
    </row>
    <row r="182" s="51" customFormat="1" ht="13.5" customHeight="1" spans="1:60">
      <c r="A182" s="68">
        <v>177</v>
      </c>
      <c r="B182" s="69" t="s">
        <v>92</v>
      </c>
      <c r="C182" s="69" t="s">
        <v>92</v>
      </c>
      <c r="D182" s="69" t="s">
        <v>114</v>
      </c>
      <c r="E182" s="69" t="s">
        <v>102</v>
      </c>
      <c r="F182" s="70">
        <v>346.47</v>
      </c>
      <c r="G182" s="71">
        <f t="shared" si="40"/>
        <v>46.9266562848154</v>
      </c>
      <c r="H182" s="71">
        <f t="shared" si="41"/>
        <v>16258.678603</v>
      </c>
      <c r="I182" s="78">
        <v>1</v>
      </c>
      <c r="J182" s="78">
        <v>1</v>
      </c>
      <c r="K182" s="79">
        <f t="shared" si="42"/>
        <v>9508.633954</v>
      </c>
      <c r="L182" s="79">
        <f t="shared" si="43"/>
        <v>6745.533684</v>
      </c>
      <c r="M182" s="78">
        <v>2</v>
      </c>
      <c r="N182" s="80">
        <v>0</v>
      </c>
      <c r="O182" s="78">
        <v>0</v>
      </c>
      <c r="P182" s="71">
        <f t="shared" si="44"/>
        <v>692.94</v>
      </c>
      <c r="Q182" s="80">
        <v>8828.864649</v>
      </c>
      <c r="R182" s="71">
        <f t="shared" si="45"/>
        <v>2078.82</v>
      </c>
      <c r="S182" s="71">
        <v>0</v>
      </c>
      <c r="T182" s="79">
        <f t="shared" si="46"/>
        <v>5967.581707</v>
      </c>
      <c r="U182" s="79"/>
      <c r="V182" s="80">
        <v>2280.213056</v>
      </c>
      <c r="W182" s="78">
        <v>1</v>
      </c>
      <c r="X182" s="79"/>
      <c r="Y182" s="80">
        <v>2336.672943</v>
      </c>
      <c r="Z182" s="80">
        <v>0</v>
      </c>
      <c r="AA182" s="71">
        <f t="shared" si="47"/>
        <v>0</v>
      </c>
      <c r="AB182" s="80">
        <v>342.140135</v>
      </c>
      <c r="AC182" s="71">
        <f t="shared" si="48"/>
        <v>684.28027</v>
      </c>
      <c r="AD182" s="80">
        <v>0</v>
      </c>
      <c r="AE182" s="71">
        <f t="shared" si="49"/>
        <v>0</v>
      </c>
      <c r="AF182" s="83">
        <v>0</v>
      </c>
      <c r="AG182" s="71">
        <f t="shared" si="50"/>
        <v>0</v>
      </c>
      <c r="AH182" s="80">
        <v>0</v>
      </c>
      <c r="AI182" s="71">
        <f t="shared" si="51"/>
        <v>0</v>
      </c>
      <c r="AJ182" s="80">
        <v>1350.695708</v>
      </c>
      <c r="AK182" s="80">
        <v>0</v>
      </c>
      <c r="AL182" s="80">
        <v>0</v>
      </c>
      <c r="AM182" s="80">
        <v>0</v>
      </c>
      <c r="AN182" s="80">
        <v>747.079624</v>
      </c>
      <c r="AO182" s="80">
        <v>30.872353</v>
      </c>
      <c r="AP182" s="71">
        <f t="shared" si="52"/>
        <v>692.94</v>
      </c>
      <c r="AQ182" s="93">
        <f t="shared" si="53"/>
        <v>0</v>
      </c>
      <c r="AR182" s="94">
        <f t="shared" si="54"/>
        <v>2.07882</v>
      </c>
      <c r="AS182" s="71">
        <f t="shared" si="55"/>
        <v>1.38588</v>
      </c>
      <c r="AT182" s="78">
        <v>0</v>
      </c>
      <c r="AU182" s="71">
        <f t="shared" si="56"/>
        <v>1.08501485581818</v>
      </c>
      <c r="AV182" s="71">
        <f t="shared" si="57"/>
        <v>1.18789714285714</v>
      </c>
      <c r="AW182" s="97"/>
      <c r="AX182" s="71"/>
      <c r="AY182" s="71">
        <f t="shared" si="58"/>
        <v>0.06223615816</v>
      </c>
      <c r="AZ182" s="71"/>
      <c r="BA182" s="67">
        <f t="shared" si="59"/>
        <v>2.27291199867532</v>
      </c>
      <c r="BB182" s="78"/>
      <c r="BH182" s="99"/>
    </row>
    <row r="183" s="51" customFormat="1" ht="13.5" customHeight="1" spans="1:60">
      <c r="A183" s="68">
        <v>178</v>
      </c>
      <c r="B183" s="69" t="s">
        <v>92</v>
      </c>
      <c r="C183" s="69" t="s">
        <v>92</v>
      </c>
      <c r="D183" s="69" t="s">
        <v>102</v>
      </c>
      <c r="E183" s="69" t="s">
        <v>86</v>
      </c>
      <c r="F183" s="70">
        <v>268.71</v>
      </c>
      <c r="G183" s="71">
        <f t="shared" si="40"/>
        <v>47.394616657363</v>
      </c>
      <c r="H183" s="71">
        <f t="shared" si="41"/>
        <v>12735.407442</v>
      </c>
      <c r="I183" s="78">
        <v>1</v>
      </c>
      <c r="J183" s="78">
        <v>3</v>
      </c>
      <c r="K183" s="79">
        <f t="shared" si="42"/>
        <v>7186.035876</v>
      </c>
      <c r="L183" s="79">
        <f t="shared" si="43"/>
        <v>5040.178836</v>
      </c>
      <c r="M183" s="78">
        <v>2</v>
      </c>
      <c r="N183" s="80">
        <v>0</v>
      </c>
      <c r="O183" s="78">
        <v>0</v>
      </c>
      <c r="P183" s="71">
        <f t="shared" si="44"/>
        <v>537.42</v>
      </c>
      <c r="Q183" s="80">
        <v>7161.631566</v>
      </c>
      <c r="R183" s="71">
        <f t="shared" si="45"/>
        <v>1612.26</v>
      </c>
      <c r="S183" s="71">
        <v>0</v>
      </c>
      <c r="T183" s="79">
        <f t="shared" si="46"/>
        <v>3634.78651</v>
      </c>
      <c r="U183" s="79"/>
      <c r="V183" s="80">
        <v>1905.141319</v>
      </c>
      <c r="W183" s="78">
        <v>2</v>
      </c>
      <c r="X183" s="79"/>
      <c r="Y183" s="80">
        <v>1597.718037</v>
      </c>
      <c r="Z183" s="80">
        <v>0</v>
      </c>
      <c r="AA183" s="71">
        <f t="shared" si="47"/>
        <v>0</v>
      </c>
      <c r="AB183" s="80">
        <v>266.79852</v>
      </c>
      <c r="AC183" s="71">
        <f t="shared" si="48"/>
        <v>533.59704</v>
      </c>
      <c r="AD183" s="80">
        <v>0</v>
      </c>
      <c r="AE183" s="71">
        <f t="shared" si="49"/>
        <v>0</v>
      </c>
      <c r="AF183" s="83">
        <v>0</v>
      </c>
      <c r="AG183" s="71">
        <f t="shared" si="50"/>
        <v>0</v>
      </c>
      <c r="AH183" s="80">
        <v>0</v>
      </c>
      <c r="AI183" s="71">
        <f t="shared" si="51"/>
        <v>0</v>
      </c>
      <c r="AJ183" s="80">
        <v>131.927154</v>
      </c>
      <c r="AK183" s="80">
        <v>0</v>
      </c>
      <c r="AL183" s="80">
        <v>0</v>
      </c>
      <c r="AM183" s="80">
        <v>0</v>
      </c>
      <c r="AN183" s="80">
        <v>569.455643</v>
      </c>
      <c r="AO183" s="80">
        <v>835.936683</v>
      </c>
      <c r="AP183" s="71">
        <f t="shared" si="52"/>
        <v>537.42</v>
      </c>
      <c r="AQ183" s="93">
        <f t="shared" si="53"/>
        <v>1.07484</v>
      </c>
      <c r="AR183" s="94">
        <f t="shared" si="54"/>
        <v>0</v>
      </c>
      <c r="AS183" s="71">
        <f t="shared" si="55"/>
        <v>0.53742</v>
      </c>
      <c r="AT183" s="78">
        <v>2</v>
      </c>
      <c r="AU183" s="71">
        <f t="shared" si="56"/>
        <v>0.484638201333333</v>
      </c>
      <c r="AV183" s="71">
        <f t="shared" si="57"/>
        <v>0.460645714285714</v>
      </c>
      <c r="AW183" s="97"/>
      <c r="AX183" s="71"/>
      <c r="AY183" s="71">
        <f t="shared" si="58"/>
        <v>0.11243138608</v>
      </c>
      <c r="AZ183" s="71"/>
      <c r="BA183" s="67">
        <f t="shared" si="59"/>
        <v>0.945283915619048</v>
      </c>
      <c r="BB183" s="78"/>
      <c r="BH183" s="99"/>
    </row>
    <row r="184" s="51" customFormat="1" ht="13.5" customHeight="1" spans="1:60">
      <c r="A184" s="68">
        <v>179</v>
      </c>
      <c r="B184" s="69" t="s">
        <v>92</v>
      </c>
      <c r="C184" s="69" t="s">
        <v>262</v>
      </c>
      <c r="D184" s="69" t="s">
        <v>148</v>
      </c>
      <c r="E184" s="69" t="s">
        <v>263</v>
      </c>
      <c r="F184" s="70">
        <v>35.13</v>
      </c>
      <c r="G184" s="71">
        <f t="shared" si="40"/>
        <v>40.7073058354683</v>
      </c>
      <c r="H184" s="71">
        <f t="shared" si="41"/>
        <v>1430.047654</v>
      </c>
      <c r="I184" s="78">
        <v>1</v>
      </c>
      <c r="J184" s="78">
        <v>3</v>
      </c>
      <c r="K184" s="79">
        <f t="shared" si="42"/>
        <v>210.78</v>
      </c>
      <c r="L184" s="79">
        <f t="shared" si="43"/>
        <v>0</v>
      </c>
      <c r="M184" s="78">
        <v>0</v>
      </c>
      <c r="N184" s="80">
        <v>0</v>
      </c>
      <c r="O184" s="78">
        <v>0</v>
      </c>
      <c r="P184" s="71">
        <f t="shared" si="44"/>
        <v>70.26</v>
      </c>
      <c r="Q184" s="80">
        <v>1430.047654</v>
      </c>
      <c r="R184" s="71">
        <f t="shared" si="45"/>
        <v>210.78</v>
      </c>
      <c r="S184" s="71">
        <v>0</v>
      </c>
      <c r="T184" s="79">
        <f t="shared" si="46"/>
        <v>0</v>
      </c>
      <c r="U184" s="79"/>
      <c r="V184" s="80">
        <v>0</v>
      </c>
      <c r="W184" s="78">
        <v>0</v>
      </c>
      <c r="X184" s="79"/>
      <c r="Y184" s="80">
        <v>0</v>
      </c>
      <c r="Z184" s="80">
        <v>0</v>
      </c>
      <c r="AA184" s="71">
        <f t="shared" si="47"/>
        <v>0</v>
      </c>
      <c r="AB184" s="80">
        <v>0</v>
      </c>
      <c r="AC184" s="71">
        <f t="shared" si="48"/>
        <v>0</v>
      </c>
      <c r="AD184" s="80">
        <v>0</v>
      </c>
      <c r="AE184" s="71">
        <f t="shared" si="49"/>
        <v>0</v>
      </c>
      <c r="AF184" s="83">
        <v>0</v>
      </c>
      <c r="AG184" s="71">
        <f t="shared" si="50"/>
        <v>0</v>
      </c>
      <c r="AH184" s="80">
        <v>0</v>
      </c>
      <c r="AI184" s="71">
        <f t="shared" si="51"/>
        <v>0</v>
      </c>
      <c r="AJ184" s="80">
        <v>0</v>
      </c>
      <c r="AK184" s="80">
        <v>0</v>
      </c>
      <c r="AL184" s="80">
        <v>0</v>
      </c>
      <c r="AM184" s="80">
        <v>0</v>
      </c>
      <c r="AN184" s="80">
        <v>0</v>
      </c>
      <c r="AO184" s="80">
        <v>0</v>
      </c>
      <c r="AP184" s="71">
        <f t="shared" si="52"/>
        <v>70.26</v>
      </c>
      <c r="AQ184" s="93">
        <f t="shared" si="53"/>
        <v>0.14052</v>
      </c>
      <c r="AR184" s="94">
        <f t="shared" si="54"/>
        <v>0</v>
      </c>
      <c r="AS184" s="71">
        <f t="shared" si="55"/>
        <v>0.07026</v>
      </c>
      <c r="AT184" s="78">
        <v>0</v>
      </c>
      <c r="AU184" s="71">
        <f t="shared" si="56"/>
        <v>0</v>
      </c>
      <c r="AV184" s="71">
        <f t="shared" si="57"/>
        <v>0.0602228571428571</v>
      </c>
      <c r="AW184" s="97"/>
      <c r="AX184" s="71"/>
      <c r="AY184" s="71">
        <f t="shared" si="58"/>
        <v>0</v>
      </c>
      <c r="AZ184" s="71"/>
      <c r="BA184" s="67">
        <f t="shared" si="59"/>
        <v>0.0602228571428571</v>
      </c>
      <c r="BB184" s="78"/>
      <c r="BH184" s="99"/>
    </row>
    <row r="185" s="51" customFormat="1" ht="13.5" customHeight="1" spans="1:60">
      <c r="A185" s="68">
        <v>180</v>
      </c>
      <c r="B185" s="69" t="s">
        <v>92</v>
      </c>
      <c r="C185" s="69" t="s">
        <v>92</v>
      </c>
      <c r="D185" s="69" t="s">
        <v>148</v>
      </c>
      <c r="E185" s="69" t="s">
        <v>650</v>
      </c>
      <c r="F185" s="70">
        <v>1078.49</v>
      </c>
      <c r="G185" s="71">
        <f t="shared" si="40"/>
        <v>61.248871885692</v>
      </c>
      <c r="H185" s="71">
        <f t="shared" si="41"/>
        <v>66056.29584</v>
      </c>
      <c r="I185" s="78">
        <v>1</v>
      </c>
      <c r="J185" s="78">
        <v>3</v>
      </c>
      <c r="K185" s="79">
        <f t="shared" si="42"/>
        <v>42525.225311</v>
      </c>
      <c r="L185" s="79">
        <f t="shared" si="43"/>
        <v>35695.017859</v>
      </c>
      <c r="M185" s="78">
        <v>2</v>
      </c>
      <c r="N185" s="80">
        <v>0</v>
      </c>
      <c r="O185" s="78">
        <v>0</v>
      </c>
      <c r="P185" s="71">
        <f t="shared" si="44"/>
        <v>2156.98</v>
      </c>
      <c r="Q185" s="80">
        <v>30002.010529</v>
      </c>
      <c r="R185" s="71">
        <f t="shared" si="45"/>
        <v>6470.94</v>
      </c>
      <c r="S185" s="71">
        <v>0</v>
      </c>
      <c r="T185" s="79">
        <f t="shared" si="46"/>
        <v>15771.486943</v>
      </c>
      <c r="U185" s="79"/>
      <c r="V185" s="80">
        <v>5413.0711</v>
      </c>
      <c r="W185" s="78">
        <v>2</v>
      </c>
      <c r="X185" s="79"/>
      <c r="Y185" s="80">
        <v>6849.790408</v>
      </c>
      <c r="Z185" s="80">
        <v>88.288409</v>
      </c>
      <c r="AA185" s="71">
        <f t="shared" si="47"/>
        <v>176.576818</v>
      </c>
      <c r="AB185" s="80">
        <v>179.633726</v>
      </c>
      <c r="AC185" s="71">
        <f t="shared" si="48"/>
        <v>359.267452</v>
      </c>
      <c r="AD185" s="80">
        <v>0</v>
      </c>
      <c r="AE185" s="71">
        <f t="shared" si="49"/>
        <v>0</v>
      </c>
      <c r="AF185" s="83">
        <v>0</v>
      </c>
      <c r="AG185" s="71">
        <f t="shared" si="50"/>
        <v>0</v>
      </c>
      <c r="AH185" s="80">
        <v>0</v>
      </c>
      <c r="AI185" s="71">
        <f t="shared" si="51"/>
        <v>0</v>
      </c>
      <c r="AJ185" s="80">
        <v>2035.013676</v>
      </c>
      <c r="AK185" s="80">
        <v>1473.611759</v>
      </c>
      <c r="AL185" s="80">
        <v>0</v>
      </c>
      <c r="AM185" s="80">
        <v>0</v>
      </c>
      <c r="AN185" s="80">
        <v>2212.432102</v>
      </c>
      <c r="AO185" s="80">
        <v>17534.521996</v>
      </c>
      <c r="AP185" s="71">
        <f t="shared" si="52"/>
        <v>2156.98</v>
      </c>
      <c r="AQ185" s="93">
        <f t="shared" si="53"/>
        <v>4.31396</v>
      </c>
      <c r="AR185" s="94">
        <f t="shared" si="54"/>
        <v>0</v>
      </c>
      <c r="AS185" s="71">
        <f t="shared" si="55"/>
        <v>2.15698</v>
      </c>
      <c r="AT185" s="78">
        <v>1</v>
      </c>
      <c r="AU185" s="71">
        <f t="shared" si="56"/>
        <v>2.10286492573333</v>
      </c>
      <c r="AV185" s="71">
        <f t="shared" si="57"/>
        <v>1.84884</v>
      </c>
      <c r="AW185" s="98"/>
      <c r="AX185" s="71"/>
      <c r="AY185" s="71">
        <f t="shared" si="58"/>
        <v>1.57975632784</v>
      </c>
      <c r="AZ185" s="71"/>
      <c r="BA185" s="67">
        <f t="shared" si="59"/>
        <v>3.95170492573333</v>
      </c>
      <c r="BB185" s="78"/>
      <c r="BH185" s="99"/>
    </row>
    <row r="186" spans="1:54">
      <c r="A186" s="64">
        <v>181</v>
      </c>
      <c r="B186" s="65" t="s">
        <v>162</v>
      </c>
      <c r="C186" s="65" t="s">
        <v>162</v>
      </c>
      <c r="D186" s="65" t="s">
        <v>170</v>
      </c>
      <c r="E186" s="65" t="s">
        <v>85</v>
      </c>
      <c r="F186" s="66">
        <v>455.74</v>
      </c>
      <c r="G186" s="67">
        <f t="shared" si="40"/>
        <v>25.6509142691008</v>
      </c>
      <c r="H186" s="67">
        <f t="shared" si="41"/>
        <v>11690.147669</v>
      </c>
      <c r="I186" s="75">
        <v>3</v>
      </c>
      <c r="J186" s="75">
        <v>3</v>
      </c>
      <c r="K186" s="76">
        <f t="shared" si="42"/>
        <v>7319.382979</v>
      </c>
      <c r="L186" s="76">
        <f t="shared" si="43"/>
        <v>4584.942979</v>
      </c>
      <c r="M186" s="75">
        <v>2</v>
      </c>
      <c r="N186" s="77">
        <v>0</v>
      </c>
      <c r="O186" s="75">
        <v>0</v>
      </c>
      <c r="P186" s="67">
        <f t="shared" si="44"/>
        <v>911.48</v>
      </c>
      <c r="Q186" s="77">
        <v>7105.20469</v>
      </c>
      <c r="R186" s="67">
        <f t="shared" si="45"/>
        <v>2734.44</v>
      </c>
      <c r="S186" s="67">
        <v>0</v>
      </c>
      <c r="T186" s="76">
        <f t="shared" si="46"/>
        <v>3590.78423</v>
      </c>
      <c r="U186" s="76"/>
      <c r="V186" s="77">
        <v>0</v>
      </c>
      <c r="W186" s="75">
        <v>0</v>
      </c>
      <c r="X186" s="76"/>
      <c r="Y186" s="77">
        <v>1906.962051</v>
      </c>
      <c r="Z186" s="77">
        <v>0</v>
      </c>
      <c r="AA186" s="67">
        <f t="shared" si="47"/>
        <v>0</v>
      </c>
      <c r="AB186" s="77">
        <v>0</v>
      </c>
      <c r="AC186" s="67">
        <f t="shared" si="48"/>
        <v>0</v>
      </c>
      <c r="AD186" s="77">
        <v>0</v>
      </c>
      <c r="AE186" s="67">
        <f t="shared" si="49"/>
        <v>0</v>
      </c>
      <c r="AF186" s="82">
        <v>0</v>
      </c>
      <c r="AG186" s="67">
        <f t="shared" si="50"/>
        <v>0</v>
      </c>
      <c r="AH186" s="77">
        <v>0</v>
      </c>
      <c r="AI186" s="67">
        <f t="shared" si="51"/>
        <v>0</v>
      </c>
      <c r="AJ186" s="77">
        <v>1683.822179</v>
      </c>
      <c r="AK186" s="77">
        <v>0</v>
      </c>
      <c r="AL186" s="77">
        <v>0</v>
      </c>
      <c r="AM186" s="77">
        <v>0</v>
      </c>
      <c r="AN186" s="77">
        <v>0</v>
      </c>
      <c r="AO186" s="77">
        <v>994.158749</v>
      </c>
      <c r="AP186" s="67">
        <f t="shared" si="52"/>
        <v>911.48</v>
      </c>
      <c r="AQ186" s="91">
        <f t="shared" si="53"/>
        <v>1.82296</v>
      </c>
      <c r="AR186" s="92">
        <f t="shared" si="54"/>
        <v>0</v>
      </c>
      <c r="AS186" s="67">
        <f t="shared" si="55"/>
        <v>0.91148</v>
      </c>
      <c r="AT186" s="75">
        <v>0</v>
      </c>
      <c r="AU186" s="67">
        <f t="shared" si="56"/>
        <v>0.478771230666667</v>
      </c>
      <c r="AV186" s="71">
        <f t="shared" si="57"/>
        <v>0.781268571428571</v>
      </c>
      <c r="AW186" s="71"/>
      <c r="AX186" s="67"/>
      <c r="AY186" s="67">
        <f t="shared" si="58"/>
        <v>0.07953269992</v>
      </c>
      <c r="AZ186" s="67"/>
      <c r="BA186" s="67">
        <f t="shared" si="59"/>
        <v>1.26003980209524</v>
      </c>
      <c r="BB186" s="75" t="s">
        <v>651</v>
      </c>
    </row>
    <row r="187" spans="1:54">
      <c r="A187" s="64">
        <v>182</v>
      </c>
      <c r="B187" s="65" t="s">
        <v>162</v>
      </c>
      <c r="C187" s="65" t="s">
        <v>162</v>
      </c>
      <c r="D187" s="65" t="s">
        <v>85</v>
      </c>
      <c r="E187" s="65" t="s">
        <v>265</v>
      </c>
      <c r="F187" s="66">
        <v>522.74</v>
      </c>
      <c r="G187" s="67">
        <f t="shared" si="40"/>
        <v>17.2359566438382</v>
      </c>
      <c r="H187" s="67">
        <f t="shared" si="41"/>
        <v>9009.923976</v>
      </c>
      <c r="I187" s="75">
        <v>3</v>
      </c>
      <c r="J187" s="75">
        <v>3</v>
      </c>
      <c r="K187" s="76">
        <f t="shared" si="42"/>
        <v>6616.787385</v>
      </c>
      <c r="L187" s="76">
        <f t="shared" si="43"/>
        <v>3480.347385</v>
      </c>
      <c r="M187" s="75">
        <v>2</v>
      </c>
      <c r="N187" s="77">
        <v>0</v>
      </c>
      <c r="O187" s="75">
        <v>0</v>
      </c>
      <c r="P187" s="67">
        <f t="shared" si="44"/>
        <v>1045.48</v>
      </c>
      <c r="Q187" s="77">
        <v>5529.576591</v>
      </c>
      <c r="R187" s="67">
        <f t="shared" si="45"/>
        <v>3136.44</v>
      </c>
      <c r="S187" s="67">
        <v>0</v>
      </c>
      <c r="T187" s="76">
        <f t="shared" si="46"/>
        <v>2632.22486</v>
      </c>
      <c r="U187" s="76"/>
      <c r="V187" s="77">
        <v>0</v>
      </c>
      <c r="W187" s="75">
        <v>0</v>
      </c>
      <c r="X187" s="76"/>
      <c r="Y187" s="77">
        <v>1436.194876</v>
      </c>
      <c r="Z187" s="77">
        <v>0</v>
      </c>
      <c r="AA187" s="67">
        <f t="shared" si="47"/>
        <v>0</v>
      </c>
      <c r="AB187" s="77">
        <v>0</v>
      </c>
      <c r="AC187" s="67">
        <f t="shared" si="48"/>
        <v>0</v>
      </c>
      <c r="AD187" s="77">
        <v>0</v>
      </c>
      <c r="AE187" s="67">
        <f t="shared" si="49"/>
        <v>0</v>
      </c>
      <c r="AF187" s="82">
        <v>0</v>
      </c>
      <c r="AG187" s="67">
        <f t="shared" si="50"/>
        <v>0</v>
      </c>
      <c r="AH187" s="77">
        <v>0</v>
      </c>
      <c r="AI187" s="67">
        <f t="shared" si="51"/>
        <v>0</v>
      </c>
      <c r="AJ187" s="77">
        <v>1196.029984</v>
      </c>
      <c r="AK187" s="77">
        <v>0</v>
      </c>
      <c r="AL187" s="77">
        <v>0</v>
      </c>
      <c r="AM187" s="77">
        <v>0</v>
      </c>
      <c r="AN187" s="77">
        <v>0</v>
      </c>
      <c r="AO187" s="77">
        <v>848.122525</v>
      </c>
      <c r="AP187" s="67">
        <f t="shared" si="52"/>
        <v>1045.48</v>
      </c>
      <c r="AQ187" s="91">
        <f t="shared" si="53"/>
        <v>2.09096</v>
      </c>
      <c r="AR187" s="92">
        <f t="shared" si="54"/>
        <v>0</v>
      </c>
      <c r="AS187" s="67">
        <f t="shared" si="55"/>
        <v>1.04548</v>
      </c>
      <c r="AT187" s="75">
        <v>0</v>
      </c>
      <c r="AU187" s="67">
        <f t="shared" si="56"/>
        <v>0.350963314666667</v>
      </c>
      <c r="AV187" s="71">
        <f t="shared" si="57"/>
        <v>0.896125714285714</v>
      </c>
      <c r="AW187" s="71"/>
      <c r="AX187" s="67"/>
      <c r="AY187" s="67">
        <f t="shared" si="58"/>
        <v>0.067849802</v>
      </c>
      <c r="AZ187" s="67"/>
      <c r="BA187" s="67">
        <f t="shared" si="59"/>
        <v>1.24708902895238</v>
      </c>
      <c r="BB187" s="75"/>
    </row>
    <row r="188" spans="1:54">
      <c r="A188" s="64">
        <v>183</v>
      </c>
      <c r="B188" s="65" t="s">
        <v>266</v>
      </c>
      <c r="C188" s="65" t="s">
        <v>266</v>
      </c>
      <c r="D188" s="65" t="s">
        <v>162</v>
      </c>
      <c r="E188" s="65" t="s">
        <v>140</v>
      </c>
      <c r="F188" s="66">
        <v>388.7</v>
      </c>
      <c r="G188" s="67">
        <f t="shared" si="40"/>
        <v>16.6635229560072</v>
      </c>
      <c r="H188" s="67">
        <f t="shared" si="41"/>
        <v>6477.111373</v>
      </c>
      <c r="I188" s="75">
        <v>3</v>
      </c>
      <c r="J188" s="75">
        <v>3</v>
      </c>
      <c r="K188" s="76">
        <f t="shared" si="42"/>
        <v>5193.3323</v>
      </c>
      <c r="L188" s="76">
        <f t="shared" si="43"/>
        <v>2861.1323</v>
      </c>
      <c r="M188" s="75">
        <v>2</v>
      </c>
      <c r="N188" s="77">
        <v>0</v>
      </c>
      <c r="O188" s="75">
        <v>0</v>
      </c>
      <c r="P188" s="67">
        <f t="shared" si="44"/>
        <v>777.4</v>
      </c>
      <c r="Q188" s="77">
        <v>3615.979073</v>
      </c>
      <c r="R188" s="67">
        <f t="shared" si="45"/>
        <v>2332.2</v>
      </c>
      <c r="S188" s="67">
        <v>0</v>
      </c>
      <c r="T188" s="76">
        <f t="shared" si="46"/>
        <v>1838.428379</v>
      </c>
      <c r="U188" s="76"/>
      <c r="V188" s="77">
        <v>0</v>
      </c>
      <c r="W188" s="75">
        <v>0</v>
      </c>
      <c r="X188" s="76"/>
      <c r="Y188" s="77">
        <v>1838.428379</v>
      </c>
      <c r="Z188" s="77">
        <v>0</v>
      </c>
      <c r="AA188" s="67">
        <f t="shared" si="47"/>
        <v>0</v>
      </c>
      <c r="AB188" s="77">
        <v>0</v>
      </c>
      <c r="AC188" s="67">
        <f t="shared" si="48"/>
        <v>0</v>
      </c>
      <c r="AD188" s="77">
        <v>0</v>
      </c>
      <c r="AE188" s="67">
        <f t="shared" si="49"/>
        <v>0</v>
      </c>
      <c r="AF188" s="82">
        <v>0</v>
      </c>
      <c r="AG188" s="67">
        <f t="shared" si="50"/>
        <v>0</v>
      </c>
      <c r="AH188" s="77">
        <v>0</v>
      </c>
      <c r="AI188" s="67">
        <f t="shared" si="51"/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  <c r="AO188" s="77">
        <v>1022.703921</v>
      </c>
      <c r="AP188" s="67">
        <f t="shared" si="52"/>
        <v>777.4</v>
      </c>
      <c r="AQ188" s="91">
        <f t="shared" si="53"/>
        <v>1.5548</v>
      </c>
      <c r="AR188" s="92">
        <f t="shared" si="54"/>
        <v>0</v>
      </c>
      <c r="AS188" s="67">
        <f t="shared" si="55"/>
        <v>0.7774</v>
      </c>
      <c r="AT188" s="75">
        <v>0</v>
      </c>
      <c r="AU188" s="67">
        <f t="shared" si="56"/>
        <v>0.245123783866667</v>
      </c>
      <c r="AV188" s="71">
        <f t="shared" si="57"/>
        <v>0.666342857142857</v>
      </c>
      <c r="AW188" s="71"/>
      <c r="AX188" s="67"/>
      <c r="AY188" s="67">
        <f t="shared" si="58"/>
        <v>0.08181631368</v>
      </c>
      <c r="AZ188" s="67"/>
      <c r="BA188" s="67">
        <f t="shared" si="59"/>
        <v>0.911466641009524</v>
      </c>
      <c r="BB188" s="75" t="s">
        <v>652</v>
      </c>
    </row>
    <row r="189" spans="1:54">
      <c r="A189" s="64">
        <v>184</v>
      </c>
      <c r="B189" s="65" t="s">
        <v>267</v>
      </c>
      <c r="C189" s="65" t="s">
        <v>267</v>
      </c>
      <c r="D189" s="65" t="s">
        <v>266</v>
      </c>
      <c r="E189" s="65" t="s">
        <v>85</v>
      </c>
      <c r="F189" s="66">
        <v>228.28</v>
      </c>
      <c r="G189" s="67">
        <f t="shared" si="40"/>
        <v>31.7631594927282</v>
      </c>
      <c r="H189" s="67">
        <f t="shared" si="41"/>
        <v>7250.894049</v>
      </c>
      <c r="I189" s="75">
        <v>3</v>
      </c>
      <c r="J189" s="75">
        <v>3</v>
      </c>
      <c r="K189" s="76">
        <f t="shared" si="42"/>
        <v>6488.343977</v>
      </c>
      <c r="L189" s="76">
        <f t="shared" si="43"/>
        <v>5118.663977</v>
      </c>
      <c r="M189" s="75">
        <v>0</v>
      </c>
      <c r="N189" s="77">
        <v>0</v>
      </c>
      <c r="O189" s="75">
        <v>0</v>
      </c>
      <c r="P189" s="67">
        <f t="shared" si="44"/>
        <v>456.56</v>
      </c>
      <c r="Q189" s="77">
        <v>2132.230072</v>
      </c>
      <c r="R189" s="67">
        <f t="shared" si="45"/>
        <v>1369.68</v>
      </c>
      <c r="S189" s="67">
        <v>0</v>
      </c>
      <c r="T189" s="76">
        <f t="shared" si="46"/>
        <v>3348.017028</v>
      </c>
      <c r="U189" s="76"/>
      <c r="V189" s="77">
        <v>0</v>
      </c>
      <c r="W189" s="75">
        <v>0</v>
      </c>
      <c r="X189" s="76"/>
      <c r="Y189" s="77">
        <v>0</v>
      </c>
      <c r="Z189" s="77">
        <v>0</v>
      </c>
      <c r="AA189" s="67">
        <f t="shared" si="47"/>
        <v>0</v>
      </c>
      <c r="AB189" s="77">
        <v>0</v>
      </c>
      <c r="AC189" s="67">
        <f t="shared" si="48"/>
        <v>0</v>
      </c>
      <c r="AD189" s="77">
        <v>0</v>
      </c>
      <c r="AE189" s="67">
        <f t="shared" si="49"/>
        <v>0</v>
      </c>
      <c r="AF189" s="82">
        <v>0</v>
      </c>
      <c r="AG189" s="67">
        <f t="shared" si="50"/>
        <v>0</v>
      </c>
      <c r="AH189" s="77">
        <v>0</v>
      </c>
      <c r="AI189" s="67">
        <f t="shared" si="51"/>
        <v>0</v>
      </c>
      <c r="AJ189" s="77">
        <v>3348.017028</v>
      </c>
      <c r="AK189" s="77">
        <v>0</v>
      </c>
      <c r="AL189" s="77">
        <v>0</v>
      </c>
      <c r="AM189" s="77">
        <v>0</v>
      </c>
      <c r="AN189" s="77">
        <v>0</v>
      </c>
      <c r="AO189" s="77">
        <v>1770.646949</v>
      </c>
      <c r="AP189" s="67">
        <f t="shared" si="52"/>
        <v>456.56</v>
      </c>
      <c r="AQ189" s="91">
        <f t="shared" si="53"/>
        <v>0.91312</v>
      </c>
      <c r="AR189" s="92">
        <f t="shared" si="54"/>
        <v>0</v>
      </c>
      <c r="AS189" s="67">
        <f t="shared" si="55"/>
        <v>0.45656</v>
      </c>
      <c r="AT189" s="75">
        <v>0</v>
      </c>
      <c r="AU189" s="67">
        <f t="shared" si="56"/>
        <v>0.4464022704</v>
      </c>
      <c r="AV189" s="71">
        <f t="shared" si="57"/>
        <v>0.391337142857143</v>
      </c>
      <c r="AW189" s="71"/>
      <c r="AX189" s="67"/>
      <c r="AY189" s="67">
        <f t="shared" si="58"/>
        <v>0.14165175592</v>
      </c>
      <c r="AZ189" s="67"/>
      <c r="BA189" s="67">
        <f t="shared" si="59"/>
        <v>0.837739413257143</v>
      </c>
      <c r="BB189" s="75" t="s">
        <v>653</v>
      </c>
    </row>
    <row r="190" s="51" customFormat="1" ht="13.5" customHeight="1" spans="1:60">
      <c r="A190" s="68">
        <v>185</v>
      </c>
      <c r="B190" s="69" t="s">
        <v>112</v>
      </c>
      <c r="C190" s="69" t="s">
        <v>112</v>
      </c>
      <c r="D190" s="69" t="s">
        <v>92</v>
      </c>
      <c r="E190" s="69" t="s">
        <v>111</v>
      </c>
      <c r="F190" s="70">
        <v>192.11</v>
      </c>
      <c r="G190" s="71">
        <f t="shared" si="40"/>
        <v>22.193241007756</v>
      </c>
      <c r="H190" s="71">
        <f t="shared" si="41"/>
        <v>4263.54353</v>
      </c>
      <c r="I190" s="78">
        <v>2</v>
      </c>
      <c r="J190" s="78">
        <v>2</v>
      </c>
      <c r="K190" s="79">
        <f t="shared" si="42"/>
        <v>2536.519086</v>
      </c>
      <c r="L190" s="79">
        <f t="shared" si="43"/>
        <v>1383.859086</v>
      </c>
      <c r="M190" s="78">
        <v>2</v>
      </c>
      <c r="N190" s="80">
        <v>0</v>
      </c>
      <c r="O190" s="78">
        <v>0</v>
      </c>
      <c r="P190" s="71">
        <f t="shared" si="44"/>
        <v>384.22</v>
      </c>
      <c r="Q190" s="80">
        <v>2879.684444</v>
      </c>
      <c r="R190" s="71">
        <f t="shared" si="45"/>
        <v>1152.66</v>
      </c>
      <c r="S190" s="71">
        <v>0</v>
      </c>
      <c r="T190" s="79">
        <f t="shared" si="46"/>
        <v>438.991132</v>
      </c>
      <c r="U190" s="79"/>
      <c r="V190" s="80">
        <v>0</v>
      </c>
      <c r="W190" s="78">
        <v>0</v>
      </c>
      <c r="X190" s="79"/>
      <c r="Y190" s="80">
        <v>438.991132</v>
      </c>
      <c r="Z190" s="80">
        <v>0</v>
      </c>
      <c r="AA190" s="71">
        <f t="shared" si="47"/>
        <v>0</v>
      </c>
      <c r="AB190" s="80">
        <v>0</v>
      </c>
      <c r="AC190" s="71">
        <f t="shared" si="48"/>
        <v>0</v>
      </c>
      <c r="AD190" s="80">
        <v>0</v>
      </c>
      <c r="AE190" s="71">
        <f t="shared" si="49"/>
        <v>0</v>
      </c>
      <c r="AF190" s="83">
        <v>0</v>
      </c>
      <c r="AG190" s="71">
        <f t="shared" si="50"/>
        <v>0</v>
      </c>
      <c r="AH190" s="80">
        <v>0</v>
      </c>
      <c r="AI190" s="71">
        <f t="shared" si="51"/>
        <v>0</v>
      </c>
      <c r="AJ190" s="80">
        <v>0</v>
      </c>
      <c r="AK190" s="80">
        <v>0</v>
      </c>
      <c r="AL190" s="80">
        <v>0</v>
      </c>
      <c r="AM190" s="80">
        <v>0</v>
      </c>
      <c r="AN190" s="80">
        <v>0</v>
      </c>
      <c r="AO190" s="80">
        <v>944.867954</v>
      </c>
      <c r="AP190" s="71">
        <f t="shared" si="52"/>
        <v>384.22</v>
      </c>
      <c r="AQ190" s="93">
        <f t="shared" si="53"/>
        <v>0</v>
      </c>
      <c r="AR190" s="94">
        <f t="shared" si="54"/>
        <v>0.76844</v>
      </c>
      <c r="AS190" s="71">
        <f t="shared" si="55"/>
        <v>0.57633</v>
      </c>
      <c r="AT190" s="78">
        <v>1</v>
      </c>
      <c r="AU190" s="71">
        <f t="shared" si="56"/>
        <v>0.0675370972307692</v>
      </c>
      <c r="AV190" s="71">
        <f t="shared" si="57"/>
        <v>0.461064</v>
      </c>
      <c r="AW190" s="71">
        <v>1</v>
      </c>
      <c r="AX190" s="71"/>
      <c r="AY190" s="71">
        <f t="shared" si="58"/>
        <v>0.07558943632</v>
      </c>
      <c r="AZ190" s="71"/>
      <c r="BA190" s="67">
        <f t="shared" si="59"/>
        <v>1.52860109723077</v>
      </c>
      <c r="BB190" s="78"/>
      <c r="BH190" s="99"/>
    </row>
    <row r="191" s="51" customFormat="1" ht="13.5" customHeight="1" spans="1:60">
      <c r="A191" s="68">
        <v>186</v>
      </c>
      <c r="B191" s="69" t="s">
        <v>112</v>
      </c>
      <c r="C191" s="69" t="s">
        <v>112</v>
      </c>
      <c r="D191" s="69" t="s">
        <v>111</v>
      </c>
      <c r="E191" s="69" t="s">
        <v>88</v>
      </c>
      <c r="F191" s="70">
        <v>461.22</v>
      </c>
      <c r="G191" s="71">
        <f t="shared" si="40"/>
        <v>35.686148814015</v>
      </c>
      <c r="H191" s="71">
        <f t="shared" si="41"/>
        <v>16459.165556</v>
      </c>
      <c r="I191" s="78">
        <v>2</v>
      </c>
      <c r="J191" s="78">
        <v>2</v>
      </c>
      <c r="K191" s="79">
        <f t="shared" si="42"/>
        <v>10004.68383</v>
      </c>
      <c r="L191" s="79">
        <f t="shared" si="43"/>
        <v>7237.36383</v>
      </c>
      <c r="M191" s="78">
        <v>2</v>
      </c>
      <c r="N191" s="80">
        <v>0</v>
      </c>
      <c r="O191" s="78">
        <v>0</v>
      </c>
      <c r="P191" s="71">
        <f t="shared" si="44"/>
        <v>922.44</v>
      </c>
      <c r="Q191" s="80">
        <v>9221.801726</v>
      </c>
      <c r="R191" s="71">
        <f t="shared" si="45"/>
        <v>2767.32</v>
      </c>
      <c r="S191" s="71">
        <v>0</v>
      </c>
      <c r="T191" s="79">
        <f t="shared" si="46"/>
        <v>2482.815584</v>
      </c>
      <c r="U191" s="79"/>
      <c r="V191" s="80">
        <v>0</v>
      </c>
      <c r="W191" s="78">
        <v>0</v>
      </c>
      <c r="X191" s="79"/>
      <c r="Y191" s="80">
        <v>1945.625791</v>
      </c>
      <c r="Z191" s="80">
        <v>21.377402</v>
      </c>
      <c r="AA191" s="71">
        <f t="shared" si="47"/>
        <v>42.754804</v>
      </c>
      <c r="AB191" s="80">
        <v>0</v>
      </c>
      <c r="AC191" s="71">
        <f t="shared" si="48"/>
        <v>0</v>
      </c>
      <c r="AD191" s="80">
        <v>0</v>
      </c>
      <c r="AE191" s="71">
        <f t="shared" si="49"/>
        <v>0</v>
      </c>
      <c r="AF191" s="83">
        <v>0</v>
      </c>
      <c r="AG191" s="71">
        <f t="shared" si="50"/>
        <v>0</v>
      </c>
      <c r="AH191" s="80">
        <v>0</v>
      </c>
      <c r="AI191" s="71">
        <f t="shared" si="51"/>
        <v>0</v>
      </c>
      <c r="AJ191" s="80">
        <v>537.189793</v>
      </c>
      <c r="AK191" s="80">
        <v>0</v>
      </c>
      <c r="AL191" s="80">
        <v>0</v>
      </c>
      <c r="AM191" s="80">
        <v>0</v>
      </c>
      <c r="AN191" s="80">
        <v>0</v>
      </c>
      <c r="AO191" s="80">
        <v>4711.793442</v>
      </c>
      <c r="AP191" s="71">
        <f t="shared" si="52"/>
        <v>922.44</v>
      </c>
      <c r="AQ191" s="93">
        <f t="shared" si="53"/>
        <v>0</v>
      </c>
      <c r="AR191" s="94">
        <f t="shared" si="54"/>
        <v>1.84488</v>
      </c>
      <c r="AS191" s="71">
        <f t="shared" si="55"/>
        <v>1.38366</v>
      </c>
      <c r="AT191" s="78">
        <v>3</v>
      </c>
      <c r="AU191" s="71">
        <f t="shared" si="56"/>
        <v>0.381971628307692</v>
      </c>
      <c r="AV191" s="71">
        <f t="shared" si="57"/>
        <v>1.106928</v>
      </c>
      <c r="AW191" s="71"/>
      <c r="AX191" s="71"/>
      <c r="AY191" s="71">
        <f t="shared" si="58"/>
        <v>0.37694347536</v>
      </c>
      <c r="AZ191" s="71"/>
      <c r="BA191" s="67">
        <f t="shared" si="59"/>
        <v>1.48889962830769</v>
      </c>
      <c r="BB191" s="78"/>
      <c r="BH191" s="99"/>
    </row>
    <row r="192" s="51" customFormat="1" ht="13.5" customHeight="1" spans="1:60">
      <c r="A192" s="68">
        <v>187</v>
      </c>
      <c r="B192" s="69" t="s">
        <v>112</v>
      </c>
      <c r="C192" s="69" t="s">
        <v>112</v>
      </c>
      <c r="D192" s="69" t="s">
        <v>88</v>
      </c>
      <c r="E192" s="69" t="s">
        <v>223</v>
      </c>
      <c r="F192" s="70">
        <v>140.71</v>
      </c>
      <c r="G192" s="71">
        <f t="shared" si="40"/>
        <v>46.4868287115344</v>
      </c>
      <c r="H192" s="71">
        <f t="shared" si="41"/>
        <v>6541.161668</v>
      </c>
      <c r="I192" s="78">
        <v>2</v>
      </c>
      <c r="J192" s="78">
        <v>2</v>
      </c>
      <c r="K192" s="79">
        <f t="shared" si="42"/>
        <v>4570.164386</v>
      </c>
      <c r="L192" s="79">
        <f t="shared" si="43"/>
        <v>3725.904386</v>
      </c>
      <c r="M192" s="78">
        <v>2</v>
      </c>
      <c r="N192" s="80">
        <v>0</v>
      </c>
      <c r="O192" s="78">
        <v>0</v>
      </c>
      <c r="P192" s="71">
        <f t="shared" si="44"/>
        <v>281.42</v>
      </c>
      <c r="Q192" s="80">
        <v>2815.257282</v>
      </c>
      <c r="R192" s="71">
        <f t="shared" si="45"/>
        <v>844.26</v>
      </c>
      <c r="S192" s="71">
        <v>0</v>
      </c>
      <c r="T192" s="79">
        <f t="shared" si="46"/>
        <v>1231.727008</v>
      </c>
      <c r="U192" s="79"/>
      <c r="V192" s="80">
        <v>0</v>
      </c>
      <c r="W192" s="78">
        <v>0</v>
      </c>
      <c r="X192" s="79"/>
      <c r="Y192" s="80">
        <v>695.317206</v>
      </c>
      <c r="Z192" s="80">
        <v>28.044082</v>
      </c>
      <c r="AA192" s="71">
        <f t="shared" si="47"/>
        <v>56.088164</v>
      </c>
      <c r="AB192" s="80">
        <v>0</v>
      </c>
      <c r="AC192" s="71">
        <f t="shared" si="48"/>
        <v>0</v>
      </c>
      <c r="AD192" s="80">
        <v>0</v>
      </c>
      <c r="AE192" s="71">
        <f t="shared" si="49"/>
        <v>0</v>
      </c>
      <c r="AF192" s="83">
        <v>0</v>
      </c>
      <c r="AG192" s="71">
        <f t="shared" si="50"/>
        <v>0</v>
      </c>
      <c r="AH192" s="80">
        <v>0</v>
      </c>
      <c r="AI192" s="71">
        <f t="shared" si="51"/>
        <v>0</v>
      </c>
      <c r="AJ192" s="80">
        <v>387.612812</v>
      </c>
      <c r="AK192" s="80">
        <v>148.79699</v>
      </c>
      <c r="AL192" s="80">
        <v>0</v>
      </c>
      <c r="AM192" s="80">
        <v>0</v>
      </c>
      <c r="AN192" s="80">
        <v>0</v>
      </c>
      <c r="AO192" s="80">
        <v>2438.089214</v>
      </c>
      <c r="AP192" s="71">
        <f t="shared" si="52"/>
        <v>281.42</v>
      </c>
      <c r="AQ192" s="93">
        <f t="shared" si="53"/>
        <v>0</v>
      </c>
      <c r="AR192" s="94">
        <f t="shared" si="54"/>
        <v>0.56284</v>
      </c>
      <c r="AS192" s="71">
        <f t="shared" si="55"/>
        <v>0.42213</v>
      </c>
      <c r="AT192" s="78">
        <v>2</v>
      </c>
      <c r="AU192" s="71">
        <f t="shared" si="56"/>
        <v>0.189496462769231</v>
      </c>
      <c r="AV192" s="71">
        <f t="shared" si="57"/>
        <v>0.337704</v>
      </c>
      <c r="AW192" s="71"/>
      <c r="AX192" s="71"/>
      <c r="AY192" s="71">
        <f t="shared" si="58"/>
        <v>0.19504713712</v>
      </c>
      <c r="AZ192" s="71"/>
      <c r="BA192" s="67">
        <f t="shared" si="59"/>
        <v>0.527200462769231</v>
      </c>
      <c r="BB192" s="78"/>
      <c r="BH192" s="99"/>
    </row>
    <row r="193" s="51" customFormat="1" ht="13.5" customHeight="1" spans="1:60">
      <c r="A193" s="68">
        <v>188</v>
      </c>
      <c r="B193" s="69" t="s">
        <v>112</v>
      </c>
      <c r="C193" s="69" t="s">
        <v>268</v>
      </c>
      <c r="D193" s="69"/>
      <c r="E193" s="69"/>
      <c r="F193" s="70">
        <v>23.51</v>
      </c>
      <c r="G193" s="71">
        <f t="shared" si="40"/>
        <v>22.9165472990217</v>
      </c>
      <c r="H193" s="71">
        <f t="shared" si="41"/>
        <v>538.768027</v>
      </c>
      <c r="I193" s="78">
        <v>2</v>
      </c>
      <c r="J193" s="78">
        <v>2</v>
      </c>
      <c r="K193" s="79">
        <f t="shared" si="42"/>
        <v>141.06</v>
      </c>
      <c r="L193" s="79">
        <f t="shared" si="43"/>
        <v>0</v>
      </c>
      <c r="M193" s="78">
        <v>0</v>
      </c>
      <c r="N193" s="80">
        <v>0</v>
      </c>
      <c r="O193" s="78">
        <v>0</v>
      </c>
      <c r="P193" s="71">
        <f t="shared" si="44"/>
        <v>47.02</v>
      </c>
      <c r="Q193" s="80">
        <v>538.768027</v>
      </c>
      <c r="R193" s="71">
        <f t="shared" si="45"/>
        <v>141.06</v>
      </c>
      <c r="S193" s="71">
        <v>0</v>
      </c>
      <c r="T193" s="79">
        <f t="shared" si="46"/>
        <v>0</v>
      </c>
      <c r="U193" s="79"/>
      <c r="V193" s="80">
        <v>0</v>
      </c>
      <c r="W193" s="78">
        <v>0</v>
      </c>
      <c r="X193" s="79"/>
      <c r="Y193" s="80">
        <v>0</v>
      </c>
      <c r="Z193" s="80">
        <v>0</v>
      </c>
      <c r="AA193" s="71">
        <f t="shared" si="47"/>
        <v>0</v>
      </c>
      <c r="AB193" s="80">
        <v>0</v>
      </c>
      <c r="AC193" s="71">
        <f t="shared" si="48"/>
        <v>0</v>
      </c>
      <c r="AD193" s="80">
        <v>0</v>
      </c>
      <c r="AE193" s="71">
        <f t="shared" si="49"/>
        <v>0</v>
      </c>
      <c r="AF193" s="83">
        <v>0</v>
      </c>
      <c r="AG193" s="71">
        <f t="shared" si="50"/>
        <v>0</v>
      </c>
      <c r="AH193" s="80">
        <v>0</v>
      </c>
      <c r="AI193" s="71">
        <f t="shared" si="51"/>
        <v>0</v>
      </c>
      <c r="AJ193" s="80">
        <v>0</v>
      </c>
      <c r="AK193" s="80">
        <v>0</v>
      </c>
      <c r="AL193" s="80">
        <v>0</v>
      </c>
      <c r="AM193" s="80">
        <v>0</v>
      </c>
      <c r="AN193" s="80">
        <v>0</v>
      </c>
      <c r="AO193" s="80">
        <v>0</v>
      </c>
      <c r="AP193" s="71">
        <f t="shared" si="52"/>
        <v>47.02</v>
      </c>
      <c r="AQ193" s="93">
        <f t="shared" si="53"/>
        <v>0</v>
      </c>
      <c r="AR193" s="94">
        <f t="shared" si="54"/>
        <v>0.09404</v>
      </c>
      <c r="AS193" s="71">
        <f t="shared" si="55"/>
        <v>0.07053</v>
      </c>
      <c r="AT193" s="78">
        <v>0</v>
      </c>
      <c r="AU193" s="71">
        <f t="shared" si="56"/>
        <v>0</v>
      </c>
      <c r="AV193" s="71">
        <f t="shared" si="57"/>
        <v>0.056424</v>
      </c>
      <c r="AW193" s="71"/>
      <c r="AX193" s="71"/>
      <c r="AY193" s="71">
        <f t="shared" si="58"/>
        <v>0</v>
      </c>
      <c r="AZ193" s="71"/>
      <c r="BA193" s="67">
        <f t="shared" si="59"/>
        <v>0.056424</v>
      </c>
      <c r="BB193" s="78"/>
      <c r="BH193" s="99"/>
    </row>
    <row r="194" s="51" customFormat="1" ht="13.5" customHeight="1" spans="1:60">
      <c r="A194" s="68">
        <v>189</v>
      </c>
      <c r="B194" s="69" t="s">
        <v>112</v>
      </c>
      <c r="C194" s="69" t="s">
        <v>269</v>
      </c>
      <c r="D194" s="69"/>
      <c r="E194" s="69"/>
      <c r="F194" s="70">
        <v>30.41</v>
      </c>
      <c r="G194" s="71">
        <f t="shared" si="40"/>
        <v>25.7699580072345</v>
      </c>
      <c r="H194" s="71">
        <f t="shared" si="41"/>
        <v>783.664423</v>
      </c>
      <c r="I194" s="78">
        <v>2</v>
      </c>
      <c r="J194" s="78">
        <v>2</v>
      </c>
      <c r="K194" s="79">
        <f t="shared" si="42"/>
        <v>182.46</v>
      </c>
      <c r="L194" s="79">
        <f t="shared" si="43"/>
        <v>0</v>
      </c>
      <c r="M194" s="78">
        <v>0</v>
      </c>
      <c r="N194" s="80">
        <v>0</v>
      </c>
      <c r="O194" s="78">
        <v>0</v>
      </c>
      <c r="P194" s="71">
        <f t="shared" si="44"/>
        <v>60.82</v>
      </c>
      <c r="Q194" s="80">
        <v>783.664423</v>
      </c>
      <c r="R194" s="71">
        <f t="shared" si="45"/>
        <v>182.46</v>
      </c>
      <c r="S194" s="71">
        <v>0</v>
      </c>
      <c r="T194" s="79">
        <f t="shared" si="46"/>
        <v>0</v>
      </c>
      <c r="U194" s="79"/>
      <c r="V194" s="80">
        <v>0</v>
      </c>
      <c r="W194" s="78">
        <v>0</v>
      </c>
      <c r="X194" s="79"/>
      <c r="Y194" s="80">
        <v>0</v>
      </c>
      <c r="Z194" s="80">
        <v>0</v>
      </c>
      <c r="AA194" s="71">
        <f t="shared" si="47"/>
        <v>0</v>
      </c>
      <c r="AB194" s="80">
        <v>0</v>
      </c>
      <c r="AC194" s="71">
        <f t="shared" si="48"/>
        <v>0</v>
      </c>
      <c r="AD194" s="80">
        <v>0</v>
      </c>
      <c r="AE194" s="71">
        <f t="shared" si="49"/>
        <v>0</v>
      </c>
      <c r="AF194" s="83">
        <v>0</v>
      </c>
      <c r="AG194" s="71">
        <f t="shared" si="50"/>
        <v>0</v>
      </c>
      <c r="AH194" s="80">
        <v>0</v>
      </c>
      <c r="AI194" s="71">
        <f t="shared" si="51"/>
        <v>0</v>
      </c>
      <c r="AJ194" s="80">
        <v>0</v>
      </c>
      <c r="AK194" s="80">
        <v>0</v>
      </c>
      <c r="AL194" s="80">
        <v>0</v>
      </c>
      <c r="AM194" s="80">
        <v>0</v>
      </c>
      <c r="AN194" s="80">
        <v>0</v>
      </c>
      <c r="AO194" s="80">
        <v>0</v>
      </c>
      <c r="AP194" s="71">
        <f t="shared" si="52"/>
        <v>60.82</v>
      </c>
      <c r="AQ194" s="93">
        <f t="shared" si="53"/>
        <v>0</v>
      </c>
      <c r="AR194" s="94">
        <f t="shared" si="54"/>
        <v>0.12164</v>
      </c>
      <c r="AS194" s="71">
        <f t="shared" si="55"/>
        <v>0.09123</v>
      </c>
      <c r="AT194" s="78">
        <v>0</v>
      </c>
      <c r="AU194" s="71">
        <f t="shared" si="56"/>
        <v>0</v>
      </c>
      <c r="AV194" s="71">
        <f t="shared" si="57"/>
        <v>0.072984</v>
      </c>
      <c r="AW194" s="71"/>
      <c r="AX194" s="71"/>
      <c r="AY194" s="71">
        <f t="shared" si="58"/>
        <v>0</v>
      </c>
      <c r="AZ194" s="71"/>
      <c r="BA194" s="67">
        <f t="shared" si="59"/>
        <v>0.072984</v>
      </c>
      <c r="BB194" s="78"/>
      <c r="BH194" s="99"/>
    </row>
    <row r="195" s="51" customFormat="1" ht="13.5" customHeight="1" spans="1:60">
      <c r="A195" s="68">
        <v>190</v>
      </c>
      <c r="B195" s="69" t="s">
        <v>112</v>
      </c>
      <c r="C195" s="69" t="s">
        <v>270</v>
      </c>
      <c r="D195" s="69"/>
      <c r="E195" s="69"/>
      <c r="F195" s="70">
        <v>39.78</v>
      </c>
      <c r="G195" s="71">
        <f t="shared" si="40"/>
        <v>26.0191426093514</v>
      </c>
      <c r="H195" s="71">
        <f t="shared" si="41"/>
        <v>1035.041493</v>
      </c>
      <c r="I195" s="78">
        <v>2</v>
      </c>
      <c r="J195" s="78">
        <v>2</v>
      </c>
      <c r="K195" s="79">
        <f t="shared" si="42"/>
        <v>238.68</v>
      </c>
      <c r="L195" s="79">
        <f t="shared" si="43"/>
        <v>0</v>
      </c>
      <c r="M195" s="78">
        <v>0</v>
      </c>
      <c r="N195" s="80">
        <v>0</v>
      </c>
      <c r="O195" s="78">
        <v>0</v>
      </c>
      <c r="P195" s="71">
        <f t="shared" si="44"/>
        <v>79.56</v>
      </c>
      <c r="Q195" s="80">
        <v>1035.041493</v>
      </c>
      <c r="R195" s="71">
        <f t="shared" si="45"/>
        <v>238.68</v>
      </c>
      <c r="S195" s="71">
        <v>0</v>
      </c>
      <c r="T195" s="79">
        <f t="shared" si="46"/>
        <v>0</v>
      </c>
      <c r="U195" s="79"/>
      <c r="V195" s="80">
        <v>0</v>
      </c>
      <c r="W195" s="78">
        <v>0</v>
      </c>
      <c r="X195" s="79"/>
      <c r="Y195" s="80">
        <v>0</v>
      </c>
      <c r="Z195" s="80">
        <v>0</v>
      </c>
      <c r="AA195" s="71">
        <f t="shared" si="47"/>
        <v>0</v>
      </c>
      <c r="AB195" s="80">
        <v>0</v>
      </c>
      <c r="AC195" s="71">
        <f t="shared" si="48"/>
        <v>0</v>
      </c>
      <c r="AD195" s="80">
        <v>0</v>
      </c>
      <c r="AE195" s="71">
        <f t="shared" si="49"/>
        <v>0</v>
      </c>
      <c r="AF195" s="83">
        <v>0</v>
      </c>
      <c r="AG195" s="71">
        <f t="shared" si="50"/>
        <v>0</v>
      </c>
      <c r="AH195" s="80">
        <v>0</v>
      </c>
      <c r="AI195" s="71">
        <f t="shared" si="51"/>
        <v>0</v>
      </c>
      <c r="AJ195" s="80">
        <v>0</v>
      </c>
      <c r="AK195" s="80">
        <v>0</v>
      </c>
      <c r="AL195" s="80">
        <v>0</v>
      </c>
      <c r="AM195" s="80">
        <v>0</v>
      </c>
      <c r="AN195" s="80">
        <v>0</v>
      </c>
      <c r="AO195" s="80">
        <v>0</v>
      </c>
      <c r="AP195" s="71">
        <f t="shared" si="52"/>
        <v>79.56</v>
      </c>
      <c r="AQ195" s="93">
        <f t="shared" si="53"/>
        <v>0</v>
      </c>
      <c r="AR195" s="94">
        <f t="shared" si="54"/>
        <v>0.15912</v>
      </c>
      <c r="AS195" s="71">
        <f t="shared" si="55"/>
        <v>0.11934</v>
      </c>
      <c r="AT195" s="78">
        <v>0</v>
      </c>
      <c r="AU195" s="71">
        <f t="shared" si="56"/>
        <v>0</v>
      </c>
      <c r="AV195" s="71">
        <f t="shared" si="57"/>
        <v>0.095472</v>
      </c>
      <c r="AW195" s="71"/>
      <c r="AX195" s="71"/>
      <c r="AY195" s="71">
        <f t="shared" si="58"/>
        <v>0</v>
      </c>
      <c r="AZ195" s="71"/>
      <c r="BA195" s="67">
        <f t="shared" si="59"/>
        <v>0.095472</v>
      </c>
      <c r="BB195" s="78"/>
      <c r="BH195" s="99"/>
    </row>
    <row r="196" s="51" customFormat="1" ht="13.5" customHeight="1" spans="1:60">
      <c r="A196" s="68">
        <v>191</v>
      </c>
      <c r="B196" s="69" t="s">
        <v>112</v>
      </c>
      <c r="C196" s="69" t="s">
        <v>112</v>
      </c>
      <c r="D196" s="69" t="s">
        <v>223</v>
      </c>
      <c r="E196" s="69" t="s">
        <v>93</v>
      </c>
      <c r="F196" s="70">
        <v>183.88</v>
      </c>
      <c r="G196" s="71">
        <f t="shared" si="40"/>
        <v>49.0389188655645</v>
      </c>
      <c r="H196" s="71">
        <f t="shared" si="41"/>
        <v>9017.276401</v>
      </c>
      <c r="I196" s="78">
        <v>2</v>
      </c>
      <c r="J196" s="78">
        <v>2</v>
      </c>
      <c r="K196" s="79">
        <f t="shared" si="42"/>
        <v>6415.411991</v>
      </c>
      <c r="L196" s="79">
        <f t="shared" si="43"/>
        <v>5312.131991</v>
      </c>
      <c r="M196" s="78">
        <v>2</v>
      </c>
      <c r="N196" s="80">
        <v>0</v>
      </c>
      <c r="O196" s="78">
        <v>0</v>
      </c>
      <c r="P196" s="71">
        <f t="shared" si="44"/>
        <v>367.76</v>
      </c>
      <c r="Q196" s="80">
        <v>3705.14441</v>
      </c>
      <c r="R196" s="71">
        <f t="shared" si="45"/>
        <v>1103.28</v>
      </c>
      <c r="S196" s="71">
        <v>0</v>
      </c>
      <c r="T196" s="79">
        <f t="shared" si="46"/>
        <v>920.138972</v>
      </c>
      <c r="U196" s="79"/>
      <c r="V196" s="80">
        <v>0</v>
      </c>
      <c r="W196" s="78">
        <v>0</v>
      </c>
      <c r="X196" s="79"/>
      <c r="Y196" s="80">
        <v>779.468895</v>
      </c>
      <c r="Z196" s="80">
        <v>0</v>
      </c>
      <c r="AA196" s="71">
        <f t="shared" si="47"/>
        <v>0</v>
      </c>
      <c r="AB196" s="80">
        <v>0</v>
      </c>
      <c r="AC196" s="71">
        <f t="shared" si="48"/>
        <v>0</v>
      </c>
      <c r="AD196" s="80">
        <v>0</v>
      </c>
      <c r="AE196" s="71">
        <f t="shared" si="49"/>
        <v>0</v>
      </c>
      <c r="AF196" s="83">
        <v>0</v>
      </c>
      <c r="AG196" s="71">
        <f t="shared" si="50"/>
        <v>0</v>
      </c>
      <c r="AH196" s="80">
        <v>0</v>
      </c>
      <c r="AI196" s="71">
        <f t="shared" si="51"/>
        <v>0</v>
      </c>
      <c r="AJ196" s="80">
        <v>140.670077</v>
      </c>
      <c r="AK196" s="80">
        <v>0</v>
      </c>
      <c r="AL196" s="80">
        <v>0</v>
      </c>
      <c r="AM196" s="80">
        <v>0</v>
      </c>
      <c r="AN196" s="80">
        <v>0</v>
      </c>
      <c r="AO196" s="80">
        <v>4391.993019</v>
      </c>
      <c r="AP196" s="71">
        <f t="shared" si="52"/>
        <v>367.76</v>
      </c>
      <c r="AQ196" s="93">
        <f t="shared" si="53"/>
        <v>0</v>
      </c>
      <c r="AR196" s="94">
        <f t="shared" si="54"/>
        <v>0.73552</v>
      </c>
      <c r="AS196" s="71">
        <f t="shared" si="55"/>
        <v>0.55164</v>
      </c>
      <c r="AT196" s="78">
        <v>2</v>
      </c>
      <c r="AU196" s="71">
        <f t="shared" si="56"/>
        <v>0.141559841846154</v>
      </c>
      <c r="AV196" s="71">
        <f t="shared" si="57"/>
        <v>0.441312</v>
      </c>
      <c r="AW196" s="71"/>
      <c r="AX196" s="71"/>
      <c r="AY196" s="71">
        <f t="shared" si="58"/>
        <v>0.35135944152</v>
      </c>
      <c r="AZ196" s="71"/>
      <c r="BA196" s="67">
        <f t="shared" si="59"/>
        <v>0.582871841846154</v>
      </c>
      <c r="BB196" s="78"/>
      <c r="BH196" s="99"/>
    </row>
    <row r="197" s="51" customFormat="1" ht="13.5" customHeight="1" spans="1:60">
      <c r="A197" s="68">
        <v>192</v>
      </c>
      <c r="B197" s="69" t="s">
        <v>91</v>
      </c>
      <c r="C197" s="69" t="s">
        <v>91</v>
      </c>
      <c r="D197" s="69" t="s">
        <v>204</v>
      </c>
      <c r="E197" s="69" t="s">
        <v>114</v>
      </c>
      <c r="F197" s="70">
        <v>778.27</v>
      </c>
      <c r="G197" s="71">
        <f t="shared" si="40"/>
        <v>39.2803986007427</v>
      </c>
      <c r="H197" s="71">
        <f t="shared" si="41"/>
        <v>30570.755819</v>
      </c>
      <c r="I197" s="78">
        <v>2</v>
      </c>
      <c r="J197" s="78">
        <v>2</v>
      </c>
      <c r="K197" s="79">
        <f t="shared" si="42"/>
        <v>23218.441524</v>
      </c>
      <c r="L197" s="79">
        <f t="shared" si="43"/>
        <v>18548.821524</v>
      </c>
      <c r="M197" s="78">
        <v>2</v>
      </c>
      <c r="N197" s="80">
        <v>0</v>
      </c>
      <c r="O197" s="78">
        <v>0</v>
      </c>
      <c r="P197" s="71">
        <f t="shared" si="44"/>
        <v>1556.54</v>
      </c>
      <c r="Q197" s="80">
        <v>12021.934295</v>
      </c>
      <c r="R197" s="71">
        <f t="shared" si="45"/>
        <v>4669.62</v>
      </c>
      <c r="S197" s="71">
        <v>0</v>
      </c>
      <c r="T197" s="79">
        <f t="shared" si="46"/>
        <v>7625.923463</v>
      </c>
      <c r="U197" s="79"/>
      <c r="V197" s="80">
        <v>3722.855017</v>
      </c>
      <c r="W197" s="78">
        <v>1</v>
      </c>
      <c r="X197" s="79"/>
      <c r="Y197" s="80">
        <v>3142.29219</v>
      </c>
      <c r="Z197" s="80">
        <v>0</v>
      </c>
      <c r="AA197" s="71">
        <f t="shared" si="47"/>
        <v>0</v>
      </c>
      <c r="AB197" s="80">
        <v>0</v>
      </c>
      <c r="AC197" s="71">
        <f t="shared" si="48"/>
        <v>0</v>
      </c>
      <c r="AD197" s="80">
        <v>1369.325581</v>
      </c>
      <c r="AE197" s="71">
        <f t="shared" si="49"/>
        <v>2738.651162</v>
      </c>
      <c r="AF197" s="83">
        <v>0</v>
      </c>
      <c r="AG197" s="71">
        <f t="shared" si="50"/>
        <v>0</v>
      </c>
      <c r="AH197" s="80">
        <v>0</v>
      </c>
      <c r="AI197" s="71">
        <f t="shared" si="51"/>
        <v>0</v>
      </c>
      <c r="AJ197" s="80">
        <v>760.776256</v>
      </c>
      <c r="AK197" s="80">
        <v>0</v>
      </c>
      <c r="AL197" s="80">
        <v>0</v>
      </c>
      <c r="AM197" s="80">
        <v>0</v>
      </c>
      <c r="AN197" s="80">
        <v>0</v>
      </c>
      <c r="AO197" s="80">
        <v>8184.246899</v>
      </c>
      <c r="AP197" s="71">
        <f t="shared" si="52"/>
        <v>1556.54</v>
      </c>
      <c r="AQ197" s="93">
        <f t="shared" si="53"/>
        <v>0</v>
      </c>
      <c r="AR197" s="94">
        <f t="shared" si="54"/>
        <v>3.11308</v>
      </c>
      <c r="AS197" s="71">
        <f t="shared" si="55"/>
        <v>2.33481</v>
      </c>
      <c r="AT197" s="78">
        <v>0</v>
      </c>
      <c r="AU197" s="71">
        <f t="shared" si="56"/>
        <v>1.17321899430769</v>
      </c>
      <c r="AV197" s="71">
        <f t="shared" si="57"/>
        <v>1.867848</v>
      </c>
      <c r="AW197" s="96">
        <v>1</v>
      </c>
      <c r="AX197" s="71"/>
      <c r="AY197" s="71">
        <f t="shared" si="58"/>
        <v>0.65473975192</v>
      </c>
      <c r="AZ197" s="71"/>
      <c r="BA197" s="67">
        <f t="shared" si="59"/>
        <v>4.04106699430769</v>
      </c>
      <c r="BB197" s="78"/>
      <c r="BH197" s="99"/>
    </row>
    <row r="198" s="51" customFormat="1" ht="13.5" customHeight="1" spans="1:60">
      <c r="A198" s="68">
        <v>193</v>
      </c>
      <c r="B198" s="69" t="s">
        <v>91</v>
      </c>
      <c r="C198" s="69" t="s">
        <v>91</v>
      </c>
      <c r="D198" s="69" t="s">
        <v>86</v>
      </c>
      <c r="E198" s="69" t="s">
        <v>135</v>
      </c>
      <c r="F198" s="70">
        <v>434.84</v>
      </c>
      <c r="G198" s="71">
        <f t="shared" ref="G198:G213" si="60">H198/F198</f>
        <v>16.4325505174317</v>
      </c>
      <c r="H198" s="71">
        <f t="shared" ref="H198:H213" si="61">Q198+V198+Y198+AA198+AC198+AE198+AG198+AI198+AJ198+AK198+AL198+AM198+AN198+AO198</f>
        <v>7145.530267</v>
      </c>
      <c r="I198" s="78">
        <v>2</v>
      </c>
      <c r="J198" s="78">
        <v>2</v>
      </c>
      <c r="K198" s="79">
        <f t="shared" ref="K198:K213" si="62">R198+V198+Y198+AA198+AC198+AE198+AG198+AI198+AJ198+AK198+AL198+AM198+AN198+AO198</f>
        <v>6672.011531</v>
      </c>
      <c r="L198" s="79">
        <f t="shared" ref="L198:L213" si="63">S198+V198+Y198+AA198+AE198+AG198+AI198+AJ198+AK198+AL198+AM198+AN198+AO198</f>
        <v>4062.971531</v>
      </c>
      <c r="M198" s="78">
        <v>2</v>
      </c>
      <c r="N198" s="80">
        <v>0</v>
      </c>
      <c r="O198" s="78">
        <v>0</v>
      </c>
      <c r="P198" s="71">
        <f t="shared" ref="P198:P213" si="64">F198*2</f>
        <v>869.68</v>
      </c>
      <c r="Q198" s="80">
        <v>3082.558736</v>
      </c>
      <c r="R198" s="71">
        <f t="shared" ref="R198:R213" si="65">P198*3</f>
        <v>2609.04</v>
      </c>
      <c r="S198" s="71">
        <v>0</v>
      </c>
      <c r="T198" s="79">
        <f t="shared" ref="T198:T213" si="66">V198+Y198+AG198+AI198+AJ198+AK198+AL198</f>
        <v>483.07473</v>
      </c>
      <c r="U198" s="79"/>
      <c r="V198" s="80">
        <v>0</v>
      </c>
      <c r="W198" s="78">
        <v>0</v>
      </c>
      <c r="X198" s="79"/>
      <c r="Y198" s="80">
        <v>0</v>
      </c>
      <c r="Z198" s="80">
        <v>0</v>
      </c>
      <c r="AA198" s="71">
        <f t="shared" ref="AA198:AA213" si="67">Z198*2</f>
        <v>0</v>
      </c>
      <c r="AB198" s="80">
        <v>0</v>
      </c>
      <c r="AC198" s="71">
        <f t="shared" ref="AC198:AC213" si="68">AB198*2</f>
        <v>0</v>
      </c>
      <c r="AD198" s="80">
        <v>0</v>
      </c>
      <c r="AE198" s="71">
        <f t="shared" ref="AE198:AE213" si="69">AD198*2</f>
        <v>0</v>
      </c>
      <c r="AF198" s="83">
        <v>0</v>
      </c>
      <c r="AG198" s="71">
        <f t="shared" ref="AG198:AG213" si="70">AF198*2</f>
        <v>0</v>
      </c>
      <c r="AH198" s="80">
        <v>0</v>
      </c>
      <c r="AI198" s="71">
        <f t="shared" ref="AI198:AI213" si="71">AH198*2</f>
        <v>0</v>
      </c>
      <c r="AJ198" s="80">
        <v>483.07473</v>
      </c>
      <c r="AK198" s="80">
        <v>0</v>
      </c>
      <c r="AL198" s="80">
        <v>0</v>
      </c>
      <c r="AM198" s="80">
        <v>0</v>
      </c>
      <c r="AN198" s="80">
        <v>0</v>
      </c>
      <c r="AO198" s="80">
        <v>3579.896801</v>
      </c>
      <c r="AP198" s="71">
        <f t="shared" ref="AP198:AP213" si="72">F198*2</f>
        <v>869.68</v>
      </c>
      <c r="AQ198" s="93">
        <f t="shared" ref="AQ198:AQ213" si="73">P198*IF(J198=1,0,IF(J198=2,0,IF(J198=3,2,IF(J198=4,0))))/1000</f>
        <v>0</v>
      </c>
      <c r="AR198" s="94">
        <f t="shared" ref="AR198:AR213" si="74">P198*IF(J198=1,3,IF(J198=2,2,IF(J198=3,0,IF(J198=4,0))))/1000</f>
        <v>1.73936</v>
      </c>
      <c r="AS198" s="71">
        <f t="shared" ref="AS198:AS213" si="75">P198/1000/2*IF(J198=1,4,IF(J198=2,3,IF(J198=3,2,IF(J198=4,0))))</f>
        <v>1.30452</v>
      </c>
      <c r="AT198" s="78">
        <v>0</v>
      </c>
      <c r="AU198" s="71">
        <f t="shared" ref="AU198:AU213" si="76">T198/IF(J198=1,5500,IF(J198=2,6500,IF(J198=3,7500)))</f>
        <v>0.0743191892307692</v>
      </c>
      <c r="AV198" s="71">
        <f t="shared" ref="AV198:AV213" si="77">AP198/IF(J198=1,350,IF(J198=2,500,IF(J198=3,700)))*0.6</f>
        <v>1.043616</v>
      </c>
      <c r="AW198" s="97"/>
      <c r="AX198" s="71"/>
      <c r="AY198" s="71">
        <f t="shared" ref="AY198:AY213" si="78">(AM198+AN198+AO198)*0.8/10000</f>
        <v>0.28639174408</v>
      </c>
      <c r="AZ198" s="71"/>
      <c r="BA198" s="67">
        <f t="shared" ref="BA198:BA213" si="79">AU198+AV198+AW198</f>
        <v>1.11793518923077</v>
      </c>
      <c r="BB198" s="78"/>
      <c r="BH198" s="99"/>
    </row>
    <row r="199" s="51" customFormat="1" ht="13.5" customHeight="1" spans="1:60">
      <c r="A199" s="68">
        <v>194</v>
      </c>
      <c r="B199" s="69" t="s">
        <v>91</v>
      </c>
      <c r="C199" s="69" t="s">
        <v>91</v>
      </c>
      <c r="D199" s="69" t="s">
        <v>114</v>
      </c>
      <c r="E199" s="69" t="s">
        <v>86</v>
      </c>
      <c r="F199" s="70">
        <v>554.21</v>
      </c>
      <c r="G199" s="71">
        <f t="shared" si="60"/>
        <v>45.074749614767</v>
      </c>
      <c r="H199" s="71">
        <f t="shared" si="61"/>
        <v>24980.876984</v>
      </c>
      <c r="I199" s="78">
        <v>2</v>
      </c>
      <c r="J199" s="78">
        <v>2</v>
      </c>
      <c r="K199" s="79">
        <f t="shared" si="62"/>
        <v>19234.926889</v>
      </c>
      <c r="L199" s="79">
        <f t="shared" si="63"/>
        <v>15909.666889</v>
      </c>
      <c r="M199" s="78">
        <v>2</v>
      </c>
      <c r="N199" s="80">
        <v>0</v>
      </c>
      <c r="O199" s="78">
        <v>0</v>
      </c>
      <c r="P199" s="71">
        <f t="shared" si="64"/>
        <v>1108.42</v>
      </c>
      <c r="Q199" s="80">
        <v>9071.210095</v>
      </c>
      <c r="R199" s="71">
        <f t="shared" si="65"/>
        <v>3325.26</v>
      </c>
      <c r="S199" s="71">
        <v>0</v>
      </c>
      <c r="T199" s="79">
        <f t="shared" si="66"/>
        <v>4963.958474</v>
      </c>
      <c r="U199" s="79"/>
      <c r="V199" s="80">
        <v>2585.952206</v>
      </c>
      <c r="W199" s="78">
        <v>1</v>
      </c>
      <c r="X199" s="79"/>
      <c r="Y199" s="80">
        <v>2042.921953</v>
      </c>
      <c r="Z199" s="80">
        <v>0</v>
      </c>
      <c r="AA199" s="71">
        <f t="shared" si="67"/>
        <v>0</v>
      </c>
      <c r="AB199" s="80">
        <v>0</v>
      </c>
      <c r="AC199" s="71">
        <f t="shared" si="68"/>
        <v>0</v>
      </c>
      <c r="AD199" s="80">
        <v>927.289871</v>
      </c>
      <c r="AE199" s="71">
        <f t="shared" si="69"/>
        <v>1854.579742</v>
      </c>
      <c r="AF199" s="83">
        <v>0</v>
      </c>
      <c r="AG199" s="71">
        <f t="shared" si="70"/>
        <v>0</v>
      </c>
      <c r="AH199" s="80">
        <v>61.165407</v>
      </c>
      <c r="AI199" s="71">
        <f t="shared" si="71"/>
        <v>122.330814</v>
      </c>
      <c r="AJ199" s="80">
        <v>189.072279</v>
      </c>
      <c r="AK199" s="80">
        <v>23.681222</v>
      </c>
      <c r="AL199" s="80">
        <v>0</v>
      </c>
      <c r="AM199" s="80">
        <v>0</v>
      </c>
      <c r="AN199" s="80">
        <v>0</v>
      </c>
      <c r="AO199" s="80">
        <v>9091.128673</v>
      </c>
      <c r="AP199" s="71">
        <f t="shared" si="72"/>
        <v>1108.42</v>
      </c>
      <c r="AQ199" s="93">
        <f t="shared" si="73"/>
        <v>0</v>
      </c>
      <c r="AR199" s="94">
        <f t="shared" si="74"/>
        <v>2.21684</v>
      </c>
      <c r="AS199" s="71">
        <f t="shared" si="75"/>
        <v>1.66263</v>
      </c>
      <c r="AT199" s="78">
        <v>0</v>
      </c>
      <c r="AU199" s="71">
        <f t="shared" si="76"/>
        <v>0.763685919076923</v>
      </c>
      <c r="AV199" s="71">
        <f t="shared" si="77"/>
        <v>1.330104</v>
      </c>
      <c r="AW199" s="97"/>
      <c r="AX199" s="71"/>
      <c r="AY199" s="71">
        <f t="shared" si="78"/>
        <v>0.72729029384</v>
      </c>
      <c r="AZ199" s="71"/>
      <c r="BA199" s="67">
        <f t="shared" si="79"/>
        <v>2.09378991907692</v>
      </c>
      <c r="BB199" s="78"/>
      <c r="BH199" s="99"/>
    </row>
    <row r="200" s="51" customFormat="1" ht="13.5" customHeight="1" spans="1:60">
      <c r="A200" s="68">
        <v>195</v>
      </c>
      <c r="B200" s="69" t="s">
        <v>91</v>
      </c>
      <c r="C200" s="69" t="s">
        <v>271</v>
      </c>
      <c r="D200" s="69"/>
      <c r="E200" s="69"/>
      <c r="F200" s="70">
        <v>39.95</v>
      </c>
      <c r="G200" s="71">
        <f t="shared" si="60"/>
        <v>34.5172045807259</v>
      </c>
      <c r="H200" s="71">
        <f t="shared" si="61"/>
        <v>1378.962323</v>
      </c>
      <c r="I200" s="78">
        <v>2</v>
      </c>
      <c r="J200" s="78">
        <v>2</v>
      </c>
      <c r="K200" s="79">
        <f t="shared" si="62"/>
        <v>239.7</v>
      </c>
      <c r="L200" s="79">
        <f t="shared" si="63"/>
        <v>0</v>
      </c>
      <c r="M200" s="78">
        <v>0</v>
      </c>
      <c r="N200" s="80">
        <v>0</v>
      </c>
      <c r="O200" s="78">
        <v>0</v>
      </c>
      <c r="P200" s="71">
        <f t="shared" si="64"/>
        <v>79.9</v>
      </c>
      <c r="Q200" s="80">
        <v>1378.962323</v>
      </c>
      <c r="R200" s="71">
        <f t="shared" si="65"/>
        <v>239.7</v>
      </c>
      <c r="S200" s="71">
        <v>0</v>
      </c>
      <c r="T200" s="79">
        <f t="shared" si="66"/>
        <v>0</v>
      </c>
      <c r="U200" s="79"/>
      <c r="V200" s="80">
        <v>0</v>
      </c>
      <c r="W200" s="78">
        <v>0</v>
      </c>
      <c r="X200" s="79"/>
      <c r="Y200" s="80">
        <v>0</v>
      </c>
      <c r="Z200" s="80">
        <v>0</v>
      </c>
      <c r="AA200" s="71">
        <f t="shared" si="67"/>
        <v>0</v>
      </c>
      <c r="AB200" s="80">
        <v>0</v>
      </c>
      <c r="AC200" s="71">
        <f t="shared" si="68"/>
        <v>0</v>
      </c>
      <c r="AD200" s="80">
        <v>0</v>
      </c>
      <c r="AE200" s="71">
        <f t="shared" si="69"/>
        <v>0</v>
      </c>
      <c r="AF200" s="83">
        <v>0</v>
      </c>
      <c r="AG200" s="71">
        <f t="shared" si="70"/>
        <v>0</v>
      </c>
      <c r="AH200" s="80">
        <v>0</v>
      </c>
      <c r="AI200" s="71">
        <f t="shared" si="71"/>
        <v>0</v>
      </c>
      <c r="AJ200" s="80">
        <v>0</v>
      </c>
      <c r="AK200" s="80">
        <v>0</v>
      </c>
      <c r="AL200" s="80">
        <v>0</v>
      </c>
      <c r="AM200" s="80">
        <v>0</v>
      </c>
      <c r="AN200" s="80">
        <v>0</v>
      </c>
      <c r="AO200" s="80">
        <v>0</v>
      </c>
      <c r="AP200" s="71">
        <f t="shared" si="72"/>
        <v>79.9</v>
      </c>
      <c r="AQ200" s="93">
        <f t="shared" si="73"/>
        <v>0</v>
      </c>
      <c r="AR200" s="94">
        <f t="shared" si="74"/>
        <v>0.1598</v>
      </c>
      <c r="AS200" s="71">
        <f t="shared" si="75"/>
        <v>0.11985</v>
      </c>
      <c r="AT200" s="78">
        <v>0</v>
      </c>
      <c r="AU200" s="71">
        <f t="shared" si="76"/>
        <v>0</v>
      </c>
      <c r="AV200" s="71">
        <f t="shared" si="77"/>
        <v>0.09588</v>
      </c>
      <c r="AW200" s="97"/>
      <c r="AX200" s="71"/>
      <c r="AY200" s="71">
        <f t="shared" si="78"/>
        <v>0</v>
      </c>
      <c r="AZ200" s="71"/>
      <c r="BA200" s="67">
        <f t="shared" si="79"/>
        <v>0.09588</v>
      </c>
      <c r="BB200" s="78"/>
      <c r="BH200" s="99"/>
    </row>
    <row r="201" s="51" customFormat="1" ht="13.5" customHeight="1" spans="1:60">
      <c r="A201" s="68">
        <v>196</v>
      </c>
      <c r="B201" s="69" t="s">
        <v>91</v>
      </c>
      <c r="C201" s="69" t="s">
        <v>272</v>
      </c>
      <c r="D201" s="69"/>
      <c r="E201" s="69"/>
      <c r="F201" s="70">
        <v>41.17</v>
      </c>
      <c r="G201" s="71">
        <f t="shared" si="60"/>
        <v>30.1896181442798</v>
      </c>
      <c r="H201" s="71">
        <f t="shared" si="61"/>
        <v>1242.906579</v>
      </c>
      <c r="I201" s="78">
        <v>2</v>
      </c>
      <c r="J201" s="78">
        <v>2</v>
      </c>
      <c r="K201" s="79">
        <f t="shared" si="62"/>
        <v>247.02</v>
      </c>
      <c r="L201" s="79">
        <f t="shared" si="63"/>
        <v>0</v>
      </c>
      <c r="M201" s="78">
        <v>0</v>
      </c>
      <c r="N201" s="80">
        <v>0</v>
      </c>
      <c r="O201" s="78">
        <v>0</v>
      </c>
      <c r="P201" s="71">
        <f t="shared" si="64"/>
        <v>82.34</v>
      </c>
      <c r="Q201" s="80">
        <v>1242.906579</v>
      </c>
      <c r="R201" s="71">
        <f t="shared" si="65"/>
        <v>247.02</v>
      </c>
      <c r="S201" s="71">
        <v>0</v>
      </c>
      <c r="T201" s="79">
        <f t="shared" si="66"/>
        <v>0</v>
      </c>
      <c r="U201" s="79"/>
      <c r="V201" s="80">
        <v>0</v>
      </c>
      <c r="W201" s="78">
        <v>0</v>
      </c>
      <c r="X201" s="79"/>
      <c r="Y201" s="80">
        <v>0</v>
      </c>
      <c r="Z201" s="80">
        <v>0</v>
      </c>
      <c r="AA201" s="71">
        <f t="shared" si="67"/>
        <v>0</v>
      </c>
      <c r="AB201" s="80">
        <v>0</v>
      </c>
      <c r="AC201" s="71">
        <f t="shared" si="68"/>
        <v>0</v>
      </c>
      <c r="AD201" s="80">
        <v>0</v>
      </c>
      <c r="AE201" s="71">
        <f t="shared" si="69"/>
        <v>0</v>
      </c>
      <c r="AF201" s="83">
        <v>0</v>
      </c>
      <c r="AG201" s="71">
        <f t="shared" si="70"/>
        <v>0</v>
      </c>
      <c r="AH201" s="80">
        <v>0</v>
      </c>
      <c r="AI201" s="71">
        <f t="shared" si="71"/>
        <v>0</v>
      </c>
      <c r="AJ201" s="80">
        <v>0</v>
      </c>
      <c r="AK201" s="80">
        <v>0</v>
      </c>
      <c r="AL201" s="80">
        <v>0</v>
      </c>
      <c r="AM201" s="80">
        <v>0</v>
      </c>
      <c r="AN201" s="80">
        <v>0</v>
      </c>
      <c r="AO201" s="80">
        <v>0</v>
      </c>
      <c r="AP201" s="71">
        <f t="shared" si="72"/>
        <v>82.34</v>
      </c>
      <c r="AQ201" s="93">
        <f t="shared" si="73"/>
        <v>0</v>
      </c>
      <c r="AR201" s="94">
        <f t="shared" si="74"/>
        <v>0.16468</v>
      </c>
      <c r="AS201" s="71">
        <f t="shared" si="75"/>
        <v>0.12351</v>
      </c>
      <c r="AT201" s="78">
        <v>0</v>
      </c>
      <c r="AU201" s="71">
        <f t="shared" si="76"/>
        <v>0</v>
      </c>
      <c r="AV201" s="71">
        <f t="shared" si="77"/>
        <v>0.098808</v>
      </c>
      <c r="AW201" s="97"/>
      <c r="AX201" s="71"/>
      <c r="AY201" s="71">
        <f t="shared" si="78"/>
        <v>0</v>
      </c>
      <c r="AZ201" s="71"/>
      <c r="BA201" s="67">
        <f t="shared" si="79"/>
        <v>0.098808</v>
      </c>
      <c r="BB201" s="78"/>
      <c r="BH201" s="99"/>
    </row>
    <row r="202" spans="1:54">
      <c r="A202" s="64">
        <v>197</v>
      </c>
      <c r="B202" s="65" t="s">
        <v>273</v>
      </c>
      <c r="C202" s="65" t="s">
        <v>273</v>
      </c>
      <c r="D202" s="65" t="s">
        <v>91</v>
      </c>
      <c r="E202" s="65" t="s">
        <v>203</v>
      </c>
      <c r="F202" s="66">
        <v>215.91</v>
      </c>
      <c r="G202" s="67">
        <f t="shared" si="60"/>
        <v>16.7133450372841</v>
      </c>
      <c r="H202" s="67">
        <f t="shared" si="61"/>
        <v>3608.578327</v>
      </c>
      <c r="I202" s="75">
        <v>2</v>
      </c>
      <c r="J202" s="78">
        <v>3</v>
      </c>
      <c r="K202" s="76">
        <f t="shared" si="62"/>
        <v>3019.082162</v>
      </c>
      <c r="L202" s="76">
        <f t="shared" si="63"/>
        <v>1723.622162</v>
      </c>
      <c r="M202" s="75">
        <v>2</v>
      </c>
      <c r="N202" s="77">
        <v>0</v>
      </c>
      <c r="O202" s="75">
        <v>0</v>
      </c>
      <c r="P202" s="67">
        <f t="shared" si="64"/>
        <v>431.82</v>
      </c>
      <c r="Q202" s="77">
        <v>1884.956165</v>
      </c>
      <c r="R202" s="67">
        <f t="shared" si="65"/>
        <v>1295.46</v>
      </c>
      <c r="S202" s="67">
        <v>0</v>
      </c>
      <c r="T202" s="76">
        <f t="shared" si="66"/>
        <v>240.008927</v>
      </c>
      <c r="U202" s="76"/>
      <c r="V202" s="77">
        <v>0</v>
      </c>
      <c r="W202" s="75">
        <v>0</v>
      </c>
      <c r="X202" s="76"/>
      <c r="Y202" s="77">
        <v>0</v>
      </c>
      <c r="Z202" s="77">
        <v>0</v>
      </c>
      <c r="AA202" s="67">
        <f t="shared" si="67"/>
        <v>0</v>
      </c>
      <c r="AB202" s="77">
        <v>0</v>
      </c>
      <c r="AC202" s="67">
        <f t="shared" si="68"/>
        <v>0</v>
      </c>
      <c r="AD202" s="77">
        <v>0</v>
      </c>
      <c r="AE202" s="67">
        <f t="shared" si="69"/>
        <v>0</v>
      </c>
      <c r="AF202" s="82">
        <v>0</v>
      </c>
      <c r="AG202" s="67">
        <f t="shared" si="70"/>
        <v>0</v>
      </c>
      <c r="AH202" s="77">
        <v>0</v>
      </c>
      <c r="AI202" s="67">
        <f t="shared" si="71"/>
        <v>0</v>
      </c>
      <c r="AJ202" s="77">
        <v>240.008927</v>
      </c>
      <c r="AK202" s="77">
        <v>0</v>
      </c>
      <c r="AL202" s="77">
        <v>0</v>
      </c>
      <c r="AM202" s="77">
        <v>0</v>
      </c>
      <c r="AN202" s="77">
        <v>0</v>
      </c>
      <c r="AO202" s="77">
        <v>1483.613235</v>
      </c>
      <c r="AP202" s="67">
        <f t="shared" si="72"/>
        <v>431.82</v>
      </c>
      <c r="AQ202" s="91">
        <f t="shared" si="73"/>
        <v>0.86364</v>
      </c>
      <c r="AR202" s="92">
        <f t="shared" si="74"/>
        <v>0</v>
      </c>
      <c r="AS202" s="67">
        <f t="shared" si="75"/>
        <v>0.43182</v>
      </c>
      <c r="AT202" s="75">
        <v>0</v>
      </c>
      <c r="AU202" s="67">
        <f t="shared" si="76"/>
        <v>0.0320011902666667</v>
      </c>
      <c r="AV202" s="71">
        <f t="shared" si="77"/>
        <v>0.370131428571429</v>
      </c>
      <c r="AW202" s="98"/>
      <c r="AX202" s="67"/>
      <c r="AY202" s="67">
        <f t="shared" si="78"/>
        <v>0.1186890588</v>
      </c>
      <c r="AZ202" s="67"/>
      <c r="BA202" s="67">
        <f t="shared" si="79"/>
        <v>0.402132618838095</v>
      </c>
      <c r="BB202" s="75"/>
    </row>
    <row r="203" s="51" customFormat="1" ht="13.5" customHeight="1" spans="1:60">
      <c r="A203" s="68">
        <v>198</v>
      </c>
      <c r="B203" s="69" t="s">
        <v>204</v>
      </c>
      <c r="C203" s="69" t="s">
        <v>204</v>
      </c>
      <c r="D203" s="69" t="s">
        <v>274</v>
      </c>
      <c r="E203" s="69" t="s">
        <v>91</v>
      </c>
      <c r="F203" s="70">
        <v>155.43</v>
      </c>
      <c r="G203" s="71">
        <f t="shared" si="60"/>
        <v>17.8446334813099</v>
      </c>
      <c r="H203" s="71">
        <f t="shared" si="61"/>
        <v>2773.591382</v>
      </c>
      <c r="I203" s="78">
        <v>2</v>
      </c>
      <c r="J203" s="78">
        <v>2</v>
      </c>
      <c r="K203" s="79">
        <f t="shared" si="62"/>
        <v>2363.47433</v>
      </c>
      <c r="L203" s="79">
        <f t="shared" si="63"/>
        <v>1430.89433</v>
      </c>
      <c r="M203" s="78">
        <v>2</v>
      </c>
      <c r="N203" s="80">
        <v>0</v>
      </c>
      <c r="O203" s="78">
        <v>0</v>
      </c>
      <c r="P203" s="71">
        <f t="shared" si="64"/>
        <v>310.86</v>
      </c>
      <c r="Q203" s="80">
        <v>1342.697052</v>
      </c>
      <c r="R203" s="71">
        <f t="shared" si="65"/>
        <v>932.58</v>
      </c>
      <c r="S203" s="71">
        <v>0</v>
      </c>
      <c r="T203" s="79">
        <f t="shared" si="66"/>
        <v>370.315784</v>
      </c>
      <c r="U203" s="79"/>
      <c r="V203" s="80">
        <v>0</v>
      </c>
      <c r="W203" s="78">
        <v>0</v>
      </c>
      <c r="X203" s="79"/>
      <c r="Y203" s="80">
        <v>320.067598</v>
      </c>
      <c r="Z203" s="80">
        <v>0</v>
      </c>
      <c r="AA203" s="71">
        <f t="shared" si="67"/>
        <v>0</v>
      </c>
      <c r="AB203" s="80">
        <v>0</v>
      </c>
      <c r="AC203" s="71">
        <f t="shared" si="68"/>
        <v>0</v>
      </c>
      <c r="AD203" s="80">
        <v>0</v>
      </c>
      <c r="AE203" s="71">
        <f t="shared" si="69"/>
        <v>0</v>
      </c>
      <c r="AF203" s="83">
        <v>0</v>
      </c>
      <c r="AG203" s="71">
        <f t="shared" si="70"/>
        <v>0</v>
      </c>
      <c r="AH203" s="80">
        <v>13.236174</v>
      </c>
      <c r="AI203" s="71">
        <f t="shared" si="71"/>
        <v>26.472348</v>
      </c>
      <c r="AJ203" s="80">
        <v>23.775838</v>
      </c>
      <c r="AK203" s="80">
        <v>0</v>
      </c>
      <c r="AL203" s="80">
        <v>0</v>
      </c>
      <c r="AM203" s="80">
        <v>0</v>
      </c>
      <c r="AN203" s="80">
        <v>0</v>
      </c>
      <c r="AO203" s="80">
        <v>1060.578546</v>
      </c>
      <c r="AP203" s="71">
        <f t="shared" si="72"/>
        <v>310.86</v>
      </c>
      <c r="AQ203" s="93">
        <f t="shared" si="73"/>
        <v>0</v>
      </c>
      <c r="AR203" s="94">
        <f t="shared" si="74"/>
        <v>0.62172</v>
      </c>
      <c r="AS203" s="71">
        <f t="shared" si="75"/>
        <v>0.46629</v>
      </c>
      <c r="AT203" s="78">
        <v>0</v>
      </c>
      <c r="AU203" s="71">
        <f t="shared" si="76"/>
        <v>0.0569716590769231</v>
      </c>
      <c r="AV203" s="71">
        <f t="shared" si="77"/>
        <v>0.373032</v>
      </c>
      <c r="AW203" s="71">
        <v>1</v>
      </c>
      <c r="AX203" s="71"/>
      <c r="AY203" s="71">
        <f t="shared" si="78"/>
        <v>0.08484628368</v>
      </c>
      <c r="AZ203" s="71"/>
      <c r="BA203" s="67">
        <f t="shared" si="79"/>
        <v>1.43000365907692</v>
      </c>
      <c r="BB203" s="78"/>
      <c r="BH203" s="99"/>
    </row>
    <row r="204" s="51" customFormat="1" ht="13.5" customHeight="1" spans="1:60">
      <c r="A204" s="68">
        <v>199</v>
      </c>
      <c r="B204" s="69" t="s">
        <v>204</v>
      </c>
      <c r="C204" s="69" t="s">
        <v>204</v>
      </c>
      <c r="D204" s="69" t="s">
        <v>91</v>
      </c>
      <c r="E204" s="69" t="s">
        <v>138</v>
      </c>
      <c r="F204" s="70">
        <v>545.15</v>
      </c>
      <c r="G204" s="71">
        <f t="shared" si="60"/>
        <v>17.8559588498578</v>
      </c>
      <c r="H204" s="71">
        <f t="shared" si="61"/>
        <v>9734.175967</v>
      </c>
      <c r="I204" s="78">
        <v>2</v>
      </c>
      <c r="J204" s="78">
        <v>2</v>
      </c>
      <c r="K204" s="79">
        <f t="shared" si="62"/>
        <v>8110.360211</v>
      </c>
      <c r="L204" s="79">
        <f t="shared" si="63"/>
        <v>4839.460211</v>
      </c>
      <c r="M204" s="78">
        <v>2</v>
      </c>
      <c r="N204" s="80">
        <v>0</v>
      </c>
      <c r="O204" s="78">
        <v>0</v>
      </c>
      <c r="P204" s="71">
        <f t="shared" si="64"/>
        <v>1090.3</v>
      </c>
      <c r="Q204" s="80">
        <v>4894.715756</v>
      </c>
      <c r="R204" s="71">
        <f t="shared" si="65"/>
        <v>3270.9</v>
      </c>
      <c r="S204" s="71">
        <v>0</v>
      </c>
      <c r="T204" s="79">
        <f t="shared" si="66"/>
        <v>1971.116851</v>
      </c>
      <c r="U204" s="79"/>
      <c r="V204" s="80">
        <v>0</v>
      </c>
      <c r="W204" s="78">
        <v>0</v>
      </c>
      <c r="X204" s="79"/>
      <c r="Y204" s="80">
        <v>1955.707626</v>
      </c>
      <c r="Z204" s="80">
        <v>0</v>
      </c>
      <c r="AA204" s="71">
        <f t="shared" si="67"/>
        <v>0</v>
      </c>
      <c r="AB204" s="80">
        <v>0</v>
      </c>
      <c r="AC204" s="71">
        <f t="shared" si="68"/>
        <v>0</v>
      </c>
      <c r="AD204" s="80">
        <v>0</v>
      </c>
      <c r="AE204" s="71">
        <f t="shared" si="69"/>
        <v>0</v>
      </c>
      <c r="AF204" s="83">
        <v>0</v>
      </c>
      <c r="AG204" s="71">
        <f t="shared" si="70"/>
        <v>0</v>
      </c>
      <c r="AH204" s="80">
        <v>0</v>
      </c>
      <c r="AI204" s="71">
        <f t="shared" si="71"/>
        <v>0</v>
      </c>
      <c r="AJ204" s="80">
        <v>15.409225</v>
      </c>
      <c r="AK204" s="80">
        <v>0</v>
      </c>
      <c r="AL204" s="80">
        <v>0</v>
      </c>
      <c r="AM204" s="80">
        <v>0</v>
      </c>
      <c r="AN204" s="80">
        <v>0</v>
      </c>
      <c r="AO204" s="80">
        <v>2868.34336</v>
      </c>
      <c r="AP204" s="71">
        <f t="shared" si="72"/>
        <v>1090.3</v>
      </c>
      <c r="AQ204" s="93">
        <f t="shared" si="73"/>
        <v>0</v>
      </c>
      <c r="AR204" s="94">
        <f t="shared" si="74"/>
        <v>2.1806</v>
      </c>
      <c r="AS204" s="71">
        <f t="shared" si="75"/>
        <v>1.63545</v>
      </c>
      <c r="AT204" s="78">
        <v>0</v>
      </c>
      <c r="AU204" s="71">
        <f t="shared" si="76"/>
        <v>0.303248746307692</v>
      </c>
      <c r="AV204" s="71">
        <f t="shared" si="77"/>
        <v>1.30836</v>
      </c>
      <c r="AW204" s="71"/>
      <c r="AX204" s="71"/>
      <c r="AY204" s="71">
        <f t="shared" si="78"/>
        <v>0.2294674688</v>
      </c>
      <c r="AZ204" s="71"/>
      <c r="BA204" s="67">
        <f t="shared" si="79"/>
        <v>1.61160874630769</v>
      </c>
      <c r="BB204" s="78"/>
      <c r="BH204" s="99"/>
    </row>
    <row r="205" s="51" customFormat="1" ht="13.5" customHeight="1" spans="1:60">
      <c r="A205" s="68">
        <v>200</v>
      </c>
      <c r="B205" s="69" t="s">
        <v>204</v>
      </c>
      <c r="C205" s="69" t="s">
        <v>275</v>
      </c>
      <c r="D205" s="69"/>
      <c r="E205" s="69"/>
      <c r="F205" s="70">
        <v>16.78</v>
      </c>
      <c r="G205" s="71">
        <f t="shared" si="60"/>
        <v>12.6187773539928</v>
      </c>
      <c r="H205" s="71">
        <f t="shared" si="61"/>
        <v>211.743084</v>
      </c>
      <c r="I205" s="78">
        <v>2</v>
      </c>
      <c r="J205" s="78">
        <v>2</v>
      </c>
      <c r="K205" s="79">
        <f t="shared" si="62"/>
        <v>100.68</v>
      </c>
      <c r="L205" s="79">
        <f t="shared" si="63"/>
        <v>0</v>
      </c>
      <c r="M205" s="78">
        <v>0</v>
      </c>
      <c r="N205" s="80">
        <v>0</v>
      </c>
      <c r="O205" s="78">
        <v>0</v>
      </c>
      <c r="P205" s="71">
        <f t="shared" si="64"/>
        <v>33.56</v>
      </c>
      <c r="Q205" s="80">
        <v>211.743084</v>
      </c>
      <c r="R205" s="71">
        <f t="shared" si="65"/>
        <v>100.68</v>
      </c>
      <c r="S205" s="71">
        <v>0</v>
      </c>
      <c r="T205" s="79">
        <f t="shared" si="66"/>
        <v>0</v>
      </c>
      <c r="U205" s="79"/>
      <c r="V205" s="80">
        <v>0</v>
      </c>
      <c r="W205" s="78">
        <v>0</v>
      </c>
      <c r="X205" s="79"/>
      <c r="Y205" s="80">
        <v>0</v>
      </c>
      <c r="Z205" s="80">
        <v>0</v>
      </c>
      <c r="AA205" s="71">
        <f t="shared" si="67"/>
        <v>0</v>
      </c>
      <c r="AB205" s="80">
        <v>0</v>
      </c>
      <c r="AC205" s="71">
        <f t="shared" si="68"/>
        <v>0</v>
      </c>
      <c r="AD205" s="80">
        <v>0</v>
      </c>
      <c r="AE205" s="71">
        <f t="shared" si="69"/>
        <v>0</v>
      </c>
      <c r="AF205" s="83">
        <v>0</v>
      </c>
      <c r="AG205" s="71">
        <f t="shared" si="70"/>
        <v>0</v>
      </c>
      <c r="AH205" s="80">
        <v>0</v>
      </c>
      <c r="AI205" s="71">
        <f t="shared" si="71"/>
        <v>0</v>
      </c>
      <c r="AJ205" s="80">
        <v>0</v>
      </c>
      <c r="AK205" s="80">
        <v>0</v>
      </c>
      <c r="AL205" s="80">
        <v>0</v>
      </c>
      <c r="AM205" s="80">
        <v>0</v>
      </c>
      <c r="AN205" s="80">
        <v>0</v>
      </c>
      <c r="AO205" s="80">
        <v>0</v>
      </c>
      <c r="AP205" s="71">
        <f t="shared" si="72"/>
        <v>33.56</v>
      </c>
      <c r="AQ205" s="93">
        <f t="shared" si="73"/>
        <v>0</v>
      </c>
      <c r="AR205" s="94">
        <f t="shared" si="74"/>
        <v>0.06712</v>
      </c>
      <c r="AS205" s="71">
        <f t="shared" si="75"/>
        <v>0.05034</v>
      </c>
      <c r="AT205" s="78">
        <v>0</v>
      </c>
      <c r="AU205" s="71">
        <f t="shared" si="76"/>
        <v>0</v>
      </c>
      <c r="AV205" s="71">
        <f t="shared" si="77"/>
        <v>0.040272</v>
      </c>
      <c r="AW205" s="71"/>
      <c r="AX205" s="71"/>
      <c r="AY205" s="71">
        <f t="shared" si="78"/>
        <v>0</v>
      </c>
      <c r="AZ205" s="71"/>
      <c r="BA205" s="67">
        <f t="shared" si="79"/>
        <v>0.040272</v>
      </c>
      <c r="BB205" s="78"/>
      <c r="BH205" s="99"/>
    </row>
    <row r="206" s="51" customFormat="1" ht="13.5" customHeight="1" spans="1:60">
      <c r="A206" s="68">
        <v>201</v>
      </c>
      <c r="B206" s="69" t="s">
        <v>204</v>
      </c>
      <c r="C206" s="69" t="s">
        <v>276</v>
      </c>
      <c r="D206" s="69"/>
      <c r="E206" s="69"/>
      <c r="F206" s="70">
        <v>32.25</v>
      </c>
      <c r="G206" s="71">
        <f t="shared" si="60"/>
        <v>13.1613537054264</v>
      </c>
      <c r="H206" s="71">
        <f t="shared" si="61"/>
        <v>424.453657</v>
      </c>
      <c r="I206" s="78">
        <v>2</v>
      </c>
      <c r="J206" s="78">
        <v>2</v>
      </c>
      <c r="K206" s="79">
        <f t="shared" si="62"/>
        <v>193.5</v>
      </c>
      <c r="L206" s="79">
        <f t="shared" si="63"/>
        <v>0</v>
      </c>
      <c r="M206" s="78">
        <v>0</v>
      </c>
      <c r="N206" s="80">
        <v>0</v>
      </c>
      <c r="O206" s="78">
        <v>0</v>
      </c>
      <c r="P206" s="71">
        <f t="shared" si="64"/>
        <v>64.5</v>
      </c>
      <c r="Q206" s="80">
        <v>424.453657</v>
      </c>
      <c r="R206" s="71">
        <f t="shared" si="65"/>
        <v>193.5</v>
      </c>
      <c r="S206" s="71">
        <v>0</v>
      </c>
      <c r="T206" s="79">
        <f t="shared" si="66"/>
        <v>0</v>
      </c>
      <c r="U206" s="79"/>
      <c r="V206" s="80">
        <v>0</v>
      </c>
      <c r="W206" s="78">
        <v>0</v>
      </c>
      <c r="X206" s="79"/>
      <c r="Y206" s="80">
        <v>0</v>
      </c>
      <c r="Z206" s="80">
        <v>0</v>
      </c>
      <c r="AA206" s="71">
        <f t="shared" si="67"/>
        <v>0</v>
      </c>
      <c r="AB206" s="80">
        <v>0</v>
      </c>
      <c r="AC206" s="71">
        <f t="shared" si="68"/>
        <v>0</v>
      </c>
      <c r="AD206" s="80">
        <v>0</v>
      </c>
      <c r="AE206" s="71">
        <f t="shared" si="69"/>
        <v>0</v>
      </c>
      <c r="AF206" s="83">
        <v>0</v>
      </c>
      <c r="AG206" s="71">
        <f t="shared" si="70"/>
        <v>0</v>
      </c>
      <c r="AH206" s="80">
        <v>0</v>
      </c>
      <c r="AI206" s="71">
        <f t="shared" si="71"/>
        <v>0</v>
      </c>
      <c r="AJ206" s="80">
        <v>0</v>
      </c>
      <c r="AK206" s="80">
        <v>0</v>
      </c>
      <c r="AL206" s="80">
        <v>0</v>
      </c>
      <c r="AM206" s="80">
        <v>0</v>
      </c>
      <c r="AN206" s="80">
        <v>0</v>
      </c>
      <c r="AO206" s="80">
        <v>0</v>
      </c>
      <c r="AP206" s="71">
        <f t="shared" si="72"/>
        <v>64.5</v>
      </c>
      <c r="AQ206" s="93">
        <f t="shared" si="73"/>
        <v>0</v>
      </c>
      <c r="AR206" s="94">
        <f t="shared" si="74"/>
        <v>0.129</v>
      </c>
      <c r="AS206" s="71">
        <f t="shared" si="75"/>
        <v>0.09675</v>
      </c>
      <c r="AT206" s="78">
        <v>0</v>
      </c>
      <c r="AU206" s="71">
        <f t="shared" si="76"/>
        <v>0</v>
      </c>
      <c r="AV206" s="71">
        <f t="shared" si="77"/>
        <v>0.0774</v>
      </c>
      <c r="AW206" s="71"/>
      <c r="AX206" s="71"/>
      <c r="AY206" s="71">
        <f t="shared" si="78"/>
        <v>0</v>
      </c>
      <c r="AZ206" s="71"/>
      <c r="BA206" s="67">
        <f t="shared" si="79"/>
        <v>0.0774</v>
      </c>
      <c r="BB206" s="78"/>
      <c r="BH206" s="99"/>
    </row>
    <row r="207" s="51" customFormat="1" ht="13.5" customHeight="1" spans="1:60">
      <c r="A207" s="68">
        <v>202</v>
      </c>
      <c r="B207" s="69" t="s">
        <v>204</v>
      </c>
      <c r="C207" s="69" t="s">
        <v>204</v>
      </c>
      <c r="D207" s="69" t="s">
        <v>138</v>
      </c>
      <c r="E207" s="69" t="s">
        <v>92</v>
      </c>
      <c r="F207" s="70">
        <v>405.21</v>
      </c>
      <c r="G207" s="71">
        <f t="shared" si="60"/>
        <v>17.6316975025296</v>
      </c>
      <c r="H207" s="71">
        <f t="shared" si="61"/>
        <v>7144.540145</v>
      </c>
      <c r="I207" s="78">
        <v>2</v>
      </c>
      <c r="J207" s="78">
        <v>2</v>
      </c>
      <c r="K207" s="79">
        <f t="shared" si="62"/>
        <v>5528.06261</v>
      </c>
      <c r="L207" s="79">
        <f t="shared" si="63"/>
        <v>3096.80261</v>
      </c>
      <c r="M207" s="78">
        <v>2</v>
      </c>
      <c r="N207" s="80">
        <v>0</v>
      </c>
      <c r="O207" s="78">
        <v>0</v>
      </c>
      <c r="P207" s="71">
        <f t="shared" si="64"/>
        <v>810.42</v>
      </c>
      <c r="Q207" s="80">
        <v>4047.737535</v>
      </c>
      <c r="R207" s="71">
        <f t="shared" si="65"/>
        <v>2431.26</v>
      </c>
      <c r="S207" s="71">
        <v>0</v>
      </c>
      <c r="T207" s="79">
        <f t="shared" si="66"/>
        <v>988.522312</v>
      </c>
      <c r="U207" s="79"/>
      <c r="V207" s="80">
        <v>236.162647</v>
      </c>
      <c r="W207" s="78">
        <v>0</v>
      </c>
      <c r="X207" s="79"/>
      <c r="Y207" s="80">
        <v>274.280697</v>
      </c>
      <c r="Z207" s="80">
        <v>0</v>
      </c>
      <c r="AA207" s="71">
        <f t="shared" si="67"/>
        <v>0</v>
      </c>
      <c r="AB207" s="80">
        <v>0</v>
      </c>
      <c r="AC207" s="71">
        <f t="shared" si="68"/>
        <v>0</v>
      </c>
      <c r="AD207" s="80">
        <v>126.687746</v>
      </c>
      <c r="AE207" s="71">
        <f t="shared" si="69"/>
        <v>253.375492</v>
      </c>
      <c r="AF207" s="83">
        <v>0</v>
      </c>
      <c r="AG207" s="71">
        <f t="shared" si="70"/>
        <v>0</v>
      </c>
      <c r="AH207" s="80">
        <v>0</v>
      </c>
      <c r="AI207" s="71">
        <f t="shared" si="71"/>
        <v>0</v>
      </c>
      <c r="AJ207" s="80">
        <v>478.078968</v>
      </c>
      <c r="AK207" s="80">
        <v>0</v>
      </c>
      <c r="AL207" s="80">
        <v>0</v>
      </c>
      <c r="AM207" s="80">
        <v>0</v>
      </c>
      <c r="AN207" s="80">
        <v>0</v>
      </c>
      <c r="AO207" s="80">
        <v>1854.904806</v>
      </c>
      <c r="AP207" s="71">
        <f t="shared" si="72"/>
        <v>810.42</v>
      </c>
      <c r="AQ207" s="93">
        <f t="shared" si="73"/>
        <v>0</v>
      </c>
      <c r="AR207" s="94">
        <f t="shared" si="74"/>
        <v>1.62084</v>
      </c>
      <c r="AS207" s="71">
        <f t="shared" si="75"/>
        <v>1.21563</v>
      </c>
      <c r="AT207" s="78">
        <v>0</v>
      </c>
      <c r="AU207" s="71">
        <f t="shared" si="76"/>
        <v>0.152080355692308</v>
      </c>
      <c r="AV207" s="71">
        <f t="shared" si="77"/>
        <v>0.972504</v>
      </c>
      <c r="AW207" s="71"/>
      <c r="AX207" s="71"/>
      <c r="AY207" s="71">
        <f t="shared" si="78"/>
        <v>0.14839238448</v>
      </c>
      <c r="AZ207" s="71"/>
      <c r="BA207" s="67">
        <f t="shared" si="79"/>
        <v>1.12458435569231</v>
      </c>
      <c r="BB207" s="78"/>
      <c r="BH207" s="99"/>
    </row>
    <row r="208" spans="1:54">
      <c r="A208" s="64">
        <v>203</v>
      </c>
      <c r="B208" s="65" t="s">
        <v>172</v>
      </c>
      <c r="C208" s="65" t="s">
        <v>172</v>
      </c>
      <c r="D208" s="65" t="s">
        <v>174</v>
      </c>
      <c r="E208" s="65" t="s">
        <v>171</v>
      </c>
      <c r="F208" s="66">
        <v>177.45</v>
      </c>
      <c r="G208" s="67">
        <f t="shared" si="60"/>
        <v>13.4617286954072</v>
      </c>
      <c r="H208" s="67">
        <f t="shared" si="61"/>
        <v>2388.783757</v>
      </c>
      <c r="I208" s="75">
        <v>3</v>
      </c>
      <c r="J208" s="75">
        <v>3</v>
      </c>
      <c r="K208" s="76">
        <f t="shared" si="62"/>
        <v>1943.797701</v>
      </c>
      <c r="L208" s="76">
        <f t="shared" si="63"/>
        <v>879.097701</v>
      </c>
      <c r="M208" s="75">
        <v>2</v>
      </c>
      <c r="N208" s="77">
        <v>0</v>
      </c>
      <c r="O208" s="75">
        <v>0</v>
      </c>
      <c r="P208" s="67">
        <f t="shared" si="64"/>
        <v>354.9</v>
      </c>
      <c r="Q208" s="77">
        <v>1509.686056</v>
      </c>
      <c r="R208" s="67">
        <f t="shared" si="65"/>
        <v>1064.7</v>
      </c>
      <c r="S208" s="67">
        <v>0</v>
      </c>
      <c r="T208" s="76">
        <f t="shared" si="66"/>
        <v>135.890481</v>
      </c>
      <c r="U208" s="76"/>
      <c r="V208" s="77">
        <v>0</v>
      </c>
      <c r="W208" s="75">
        <v>0</v>
      </c>
      <c r="X208" s="76"/>
      <c r="Y208" s="77">
        <v>0</v>
      </c>
      <c r="Z208" s="77">
        <v>0</v>
      </c>
      <c r="AA208" s="67">
        <f t="shared" si="67"/>
        <v>0</v>
      </c>
      <c r="AB208" s="77">
        <v>0</v>
      </c>
      <c r="AC208" s="67">
        <f t="shared" si="68"/>
        <v>0</v>
      </c>
      <c r="AD208" s="77">
        <v>0</v>
      </c>
      <c r="AE208" s="67">
        <f t="shared" si="69"/>
        <v>0</v>
      </c>
      <c r="AF208" s="82">
        <v>0</v>
      </c>
      <c r="AG208" s="67">
        <f t="shared" si="70"/>
        <v>0</v>
      </c>
      <c r="AH208" s="77">
        <v>0</v>
      </c>
      <c r="AI208" s="67">
        <f t="shared" si="71"/>
        <v>0</v>
      </c>
      <c r="AJ208" s="77">
        <v>135.890481</v>
      </c>
      <c r="AK208" s="77">
        <v>0</v>
      </c>
      <c r="AL208" s="77">
        <v>0</v>
      </c>
      <c r="AM208" s="77">
        <v>0</v>
      </c>
      <c r="AN208" s="77">
        <v>0</v>
      </c>
      <c r="AO208" s="77">
        <v>743.20722</v>
      </c>
      <c r="AP208" s="67">
        <f t="shared" si="72"/>
        <v>354.9</v>
      </c>
      <c r="AQ208" s="91">
        <f t="shared" si="73"/>
        <v>0.7098</v>
      </c>
      <c r="AR208" s="92">
        <f t="shared" si="74"/>
        <v>0</v>
      </c>
      <c r="AS208" s="67">
        <f t="shared" si="75"/>
        <v>0.3549</v>
      </c>
      <c r="AT208" s="75">
        <v>0</v>
      </c>
      <c r="AU208" s="67">
        <f t="shared" si="76"/>
        <v>0.0181187308</v>
      </c>
      <c r="AV208" s="71">
        <f t="shared" si="77"/>
        <v>0.3042</v>
      </c>
      <c r="AW208" s="71"/>
      <c r="AX208" s="67"/>
      <c r="AY208" s="67">
        <f t="shared" si="78"/>
        <v>0.0594565776</v>
      </c>
      <c r="AZ208" s="67"/>
      <c r="BA208" s="67">
        <f t="shared" si="79"/>
        <v>0.3223187308</v>
      </c>
      <c r="BB208" s="75"/>
    </row>
    <row r="209" ht="27" customHeight="1" spans="1:54">
      <c r="A209" s="64">
        <v>204</v>
      </c>
      <c r="B209" s="65" t="s">
        <v>172</v>
      </c>
      <c r="C209" s="65" t="s">
        <v>277</v>
      </c>
      <c r="D209" s="65"/>
      <c r="E209" s="65"/>
      <c r="F209" s="66">
        <v>17.33</v>
      </c>
      <c r="G209" s="67">
        <f t="shared" si="60"/>
        <v>7.97919596076169</v>
      </c>
      <c r="H209" s="67">
        <f t="shared" si="61"/>
        <v>138.279466</v>
      </c>
      <c r="I209" s="75">
        <v>3</v>
      </c>
      <c r="J209" s="75">
        <v>3</v>
      </c>
      <c r="K209" s="76">
        <f t="shared" si="62"/>
        <v>103.98</v>
      </c>
      <c r="L209" s="76">
        <f t="shared" si="63"/>
        <v>0</v>
      </c>
      <c r="M209" s="75">
        <v>0</v>
      </c>
      <c r="N209" s="77">
        <v>0</v>
      </c>
      <c r="O209" s="75">
        <v>0</v>
      </c>
      <c r="P209" s="67">
        <f t="shared" si="64"/>
        <v>34.66</v>
      </c>
      <c r="Q209" s="77">
        <v>138.279466</v>
      </c>
      <c r="R209" s="67">
        <f t="shared" si="65"/>
        <v>103.98</v>
      </c>
      <c r="S209" s="67">
        <v>0</v>
      </c>
      <c r="T209" s="76">
        <f t="shared" si="66"/>
        <v>0</v>
      </c>
      <c r="U209" s="76"/>
      <c r="V209" s="77">
        <v>0</v>
      </c>
      <c r="W209" s="75">
        <v>0</v>
      </c>
      <c r="X209" s="76"/>
      <c r="Y209" s="77">
        <v>0</v>
      </c>
      <c r="Z209" s="77">
        <v>0</v>
      </c>
      <c r="AA209" s="67">
        <f t="shared" si="67"/>
        <v>0</v>
      </c>
      <c r="AB209" s="77">
        <v>0</v>
      </c>
      <c r="AC209" s="67">
        <f t="shared" si="68"/>
        <v>0</v>
      </c>
      <c r="AD209" s="77">
        <v>0</v>
      </c>
      <c r="AE209" s="67">
        <f t="shared" si="69"/>
        <v>0</v>
      </c>
      <c r="AF209" s="82">
        <v>0</v>
      </c>
      <c r="AG209" s="67">
        <f t="shared" si="70"/>
        <v>0</v>
      </c>
      <c r="AH209" s="77">
        <v>0</v>
      </c>
      <c r="AI209" s="67">
        <f t="shared" si="71"/>
        <v>0</v>
      </c>
      <c r="AJ209" s="77">
        <v>0</v>
      </c>
      <c r="AK209" s="77">
        <v>0</v>
      </c>
      <c r="AL209" s="77">
        <v>0</v>
      </c>
      <c r="AM209" s="77">
        <v>0</v>
      </c>
      <c r="AN209" s="77">
        <v>0</v>
      </c>
      <c r="AO209" s="77">
        <v>0</v>
      </c>
      <c r="AP209" s="67">
        <f t="shared" si="72"/>
        <v>34.66</v>
      </c>
      <c r="AQ209" s="91">
        <f t="shared" si="73"/>
        <v>0.06932</v>
      </c>
      <c r="AR209" s="92">
        <f t="shared" si="74"/>
        <v>0</v>
      </c>
      <c r="AS209" s="67">
        <f t="shared" si="75"/>
        <v>0.03466</v>
      </c>
      <c r="AT209" s="75">
        <v>0</v>
      </c>
      <c r="AU209" s="67">
        <f t="shared" si="76"/>
        <v>0</v>
      </c>
      <c r="AV209" s="71">
        <f t="shared" si="77"/>
        <v>0.0297085714285714</v>
      </c>
      <c r="AW209" s="71"/>
      <c r="AX209" s="67"/>
      <c r="AY209" s="67">
        <f t="shared" si="78"/>
        <v>0</v>
      </c>
      <c r="AZ209" s="67"/>
      <c r="BA209" s="67">
        <f t="shared" si="79"/>
        <v>0.0297085714285714</v>
      </c>
      <c r="BB209" s="75"/>
    </row>
    <row r="210" ht="27" customHeight="1" spans="1:54">
      <c r="A210" s="64">
        <v>205</v>
      </c>
      <c r="B210" s="65" t="s">
        <v>172</v>
      </c>
      <c r="C210" s="65" t="s">
        <v>278</v>
      </c>
      <c r="D210" s="65"/>
      <c r="E210" s="65"/>
      <c r="F210" s="66">
        <v>10.38</v>
      </c>
      <c r="G210" s="67">
        <f t="shared" si="60"/>
        <v>12.5042535645472</v>
      </c>
      <c r="H210" s="67">
        <f t="shared" si="61"/>
        <v>129.794152</v>
      </c>
      <c r="I210" s="75">
        <v>3</v>
      </c>
      <c r="J210" s="75">
        <v>3</v>
      </c>
      <c r="K210" s="76">
        <f t="shared" si="62"/>
        <v>62.28</v>
      </c>
      <c r="L210" s="76">
        <f t="shared" si="63"/>
        <v>0</v>
      </c>
      <c r="M210" s="75">
        <v>0</v>
      </c>
      <c r="N210" s="77">
        <v>0</v>
      </c>
      <c r="O210" s="75">
        <v>0</v>
      </c>
      <c r="P210" s="67">
        <f t="shared" si="64"/>
        <v>20.76</v>
      </c>
      <c r="Q210" s="77">
        <v>129.794152</v>
      </c>
      <c r="R210" s="67">
        <f t="shared" si="65"/>
        <v>62.28</v>
      </c>
      <c r="S210" s="67">
        <v>0</v>
      </c>
      <c r="T210" s="76">
        <f t="shared" si="66"/>
        <v>0</v>
      </c>
      <c r="U210" s="76"/>
      <c r="V210" s="77">
        <v>0</v>
      </c>
      <c r="W210" s="75">
        <v>0</v>
      </c>
      <c r="X210" s="76"/>
      <c r="Y210" s="77">
        <v>0</v>
      </c>
      <c r="Z210" s="77">
        <v>0</v>
      </c>
      <c r="AA210" s="67">
        <f t="shared" si="67"/>
        <v>0</v>
      </c>
      <c r="AB210" s="77">
        <v>0</v>
      </c>
      <c r="AC210" s="67">
        <f t="shared" si="68"/>
        <v>0</v>
      </c>
      <c r="AD210" s="77">
        <v>0</v>
      </c>
      <c r="AE210" s="67">
        <f t="shared" si="69"/>
        <v>0</v>
      </c>
      <c r="AF210" s="82">
        <v>0</v>
      </c>
      <c r="AG210" s="67">
        <f t="shared" si="70"/>
        <v>0</v>
      </c>
      <c r="AH210" s="77">
        <v>0</v>
      </c>
      <c r="AI210" s="67">
        <f t="shared" si="71"/>
        <v>0</v>
      </c>
      <c r="AJ210" s="77">
        <v>0</v>
      </c>
      <c r="AK210" s="77">
        <v>0</v>
      </c>
      <c r="AL210" s="77">
        <v>0</v>
      </c>
      <c r="AM210" s="77">
        <v>0</v>
      </c>
      <c r="AN210" s="77">
        <v>0</v>
      </c>
      <c r="AO210" s="77">
        <v>0</v>
      </c>
      <c r="AP210" s="67">
        <f t="shared" si="72"/>
        <v>20.76</v>
      </c>
      <c r="AQ210" s="91">
        <f t="shared" si="73"/>
        <v>0.04152</v>
      </c>
      <c r="AR210" s="92">
        <f t="shared" si="74"/>
        <v>0</v>
      </c>
      <c r="AS210" s="67">
        <f t="shared" si="75"/>
        <v>0.02076</v>
      </c>
      <c r="AT210" s="75">
        <v>0</v>
      </c>
      <c r="AU210" s="67">
        <f t="shared" si="76"/>
        <v>0</v>
      </c>
      <c r="AV210" s="71">
        <f t="shared" si="77"/>
        <v>0.0177942857142857</v>
      </c>
      <c r="AW210" s="71"/>
      <c r="AX210" s="67"/>
      <c r="AY210" s="67">
        <f t="shared" si="78"/>
        <v>0</v>
      </c>
      <c r="AZ210" s="67"/>
      <c r="BA210" s="67">
        <f t="shared" si="79"/>
        <v>0.0177942857142857</v>
      </c>
      <c r="BB210" s="75"/>
    </row>
    <row r="211" spans="1:54">
      <c r="A211" s="64">
        <v>206</v>
      </c>
      <c r="B211" s="65" t="s">
        <v>172</v>
      </c>
      <c r="C211" s="65" t="s">
        <v>172</v>
      </c>
      <c r="D211" s="65" t="s">
        <v>221</v>
      </c>
      <c r="E211" s="65" t="s">
        <v>174</v>
      </c>
      <c r="F211" s="66">
        <v>348.74</v>
      </c>
      <c r="G211" s="67">
        <f t="shared" si="60"/>
        <v>13.0314088260595</v>
      </c>
      <c r="H211" s="67">
        <f t="shared" si="61"/>
        <v>4544.573514</v>
      </c>
      <c r="I211" s="75">
        <v>3</v>
      </c>
      <c r="J211" s="75">
        <v>3</v>
      </c>
      <c r="K211" s="76">
        <f t="shared" si="62"/>
        <v>4220.641589</v>
      </c>
      <c r="L211" s="76">
        <f t="shared" si="63"/>
        <v>2128.201589</v>
      </c>
      <c r="M211" s="75">
        <v>2</v>
      </c>
      <c r="N211" s="77">
        <v>0</v>
      </c>
      <c r="O211" s="75">
        <v>0</v>
      </c>
      <c r="P211" s="67">
        <f t="shared" si="64"/>
        <v>697.48</v>
      </c>
      <c r="Q211" s="77">
        <v>2416.371925</v>
      </c>
      <c r="R211" s="67">
        <f t="shared" si="65"/>
        <v>2092.44</v>
      </c>
      <c r="S211" s="67">
        <v>0</v>
      </c>
      <c r="T211" s="76">
        <f t="shared" si="66"/>
        <v>1113.014094</v>
      </c>
      <c r="U211" s="76"/>
      <c r="V211" s="77">
        <v>0</v>
      </c>
      <c r="W211" s="75">
        <v>0</v>
      </c>
      <c r="X211" s="76"/>
      <c r="Y211" s="77">
        <v>1113.014094</v>
      </c>
      <c r="Z211" s="77">
        <v>0</v>
      </c>
      <c r="AA211" s="67">
        <f t="shared" si="67"/>
        <v>0</v>
      </c>
      <c r="AB211" s="77">
        <v>0</v>
      </c>
      <c r="AC211" s="67">
        <f t="shared" si="68"/>
        <v>0</v>
      </c>
      <c r="AD211" s="77">
        <v>0</v>
      </c>
      <c r="AE211" s="67">
        <f t="shared" si="69"/>
        <v>0</v>
      </c>
      <c r="AF211" s="82">
        <v>0</v>
      </c>
      <c r="AG211" s="67">
        <f t="shared" si="70"/>
        <v>0</v>
      </c>
      <c r="AH211" s="77">
        <v>0</v>
      </c>
      <c r="AI211" s="67">
        <f t="shared" si="71"/>
        <v>0</v>
      </c>
      <c r="AJ211" s="77">
        <v>0</v>
      </c>
      <c r="AK211" s="77">
        <v>0</v>
      </c>
      <c r="AL211" s="77">
        <v>0</v>
      </c>
      <c r="AM211" s="77">
        <v>0</v>
      </c>
      <c r="AN211" s="77">
        <v>0</v>
      </c>
      <c r="AO211" s="77">
        <v>1015.187495</v>
      </c>
      <c r="AP211" s="67">
        <f t="shared" si="72"/>
        <v>697.48</v>
      </c>
      <c r="AQ211" s="91">
        <f t="shared" si="73"/>
        <v>1.39496</v>
      </c>
      <c r="AR211" s="92">
        <f t="shared" si="74"/>
        <v>0</v>
      </c>
      <c r="AS211" s="67">
        <f t="shared" si="75"/>
        <v>0.69748</v>
      </c>
      <c r="AT211" s="75">
        <v>0</v>
      </c>
      <c r="AU211" s="67">
        <f t="shared" si="76"/>
        <v>0.1484018792</v>
      </c>
      <c r="AV211" s="71">
        <f t="shared" si="77"/>
        <v>0.59784</v>
      </c>
      <c r="AW211" s="71"/>
      <c r="AX211" s="67"/>
      <c r="AY211" s="67">
        <f t="shared" si="78"/>
        <v>0.0812149996</v>
      </c>
      <c r="AZ211" s="67"/>
      <c r="BA211" s="67">
        <f t="shared" si="79"/>
        <v>0.7462418792</v>
      </c>
      <c r="BB211" s="75"/>
    </row>
    <row r="212" spans="1:54">
      <c r="A212" s="64">
        <v>207</v>
      </c>
      <c r="B212" s="65" t="s">
        <v>172</v>
      </c>
      <c r="C212" s="65" t="s">
        <v>172</v>
      </c>
      <c r="D212" s="65" t="s">
        <v>171</v>
      </c>
      <c r="E212" s="65" t="s">
        <v>137</v>
      </c>
      <c r="F212" s="66">
        <v>271.4</v>
      </c>
      <c r="G212" s="67">
        <f t="shared" si="60"/>
        <v>10.4360503979366</v>
      </c>
      <c r="H212" s="67">
        <f t="shared" si="61"/>
        <v>2832.344078</v>
      </c>
      <c r="I212" s="75">
        <v>3</v>
      </c>
      <c r="J212" s="75">
        <v>3</v>
      </c>
      <c r="K212" s="76">
        <f t="shared" si="62"/>
        <v>2889.419032</v>
      </c>
      <c r="L212" s="76">
        <f t="shared" si="63"/>
        <v>1261.019032</v>
      </c>
      <c r="M212" s="75">
        <v>0</v>
      </c>
      <c r="N212" s="77">
        <v>0</v>
      </c>
      <c r="O212" s="75">
        <v>0</v>
      </c>
      <c r="P212" s="67">
        <f t="shared" si="64"/>
        <v>542.8</v>
      </c>
      <c r="Q212" s="77">
        <v>1571.325046</v>
      </c>
      <c r="R212" s="67">
        <f t="shared" si="65"/>
        <v>1628.4</v>
      </c>
      <c r="S212" s="67">
        <v>0</v>
      </c>
      <c r="T212" s="76">
        <f t="shared" si="66"/>
        <v>146.05138</v>
      </c>
      <c r="U212" s="76"/>
      <c r="V212" s="77">
        <v>0</v>
      </c>
      <c r="W212" s="75">
        <v>0</v>
      </c>
      <c r="X212" s="76"/>
      <c r="Y212" s="77">
        <v>49.550059</v>
      </c>
      <c r="Z212" s="77">
        <v>0</v>
      </c>
      <c r="AA212" s="67">
        <f t="shared" si="67"/>
        <v>0</v>
      </c>
      <c r="AB212" s="77">
        <v>0</v>
      </c>
      <c r="AC212" s="67">
        <f t="shared" si="68"/>
        <v>0</v>
      </c>
      <c r="AD212" s="77">
        <v>0</v>
      </c>
      <c r="AE212" s="67">
        <f t="shared" si="69"/>
        <v>0</v>
      </c>
      <c r="AF212" s="82">
        <v>0</v>
      </c>
      <c r="AG212" s="67">
        <f t="shared" si="70"/>
        <v>0</v>
      </c>
      <c r="AH212" s="77">
        <v>0</v>
      </c>
      <c r="AI212" s="67">
        <f t="shared" si="71"/>
        <v>0</v>
      </c>
      <c r="AJ212" s="77">
        <v>96.501321</v>
      </c>
      <c r="AK212" s="77">
        <v>0</v>
      </c>
      <c r="AL212" s="77">
        <v>0</v>
      </c>
      <c r="AM212" s="77">
        <v>0</v>
      </c>
      <c r="AN212" s="77">
        <v>0</v>
      </c>
      <c r="AO212" s="77">
        <v>1114.967652</v>
      </c>
      <c r="AP212" s="67">
        <f t="shared" si="72"/>
        <v>542.8</v>
      </c>
      <c r="AQ212" s="91">
        <f t="shared" si="73"/>
        <v>1.0856</v>
      </c>
      <c r="AR212" s="92">
        <f t="shared" si="74"/>
        <v>0</v>
      </c>
      <c r="AS212" s="67">
        <f t="shared" si="75"/>
        <v>0.5428</v>
      </c>
      <c r="AT212" s="75">
        <v>0</v>
      </c>
      <c r="AU212" s="67">
        <f t="shared" si="76"/>
        <v>0.0194735173333333</v>
      </c>
      <c r="AV212" s="71">
        <f t="shared" si="77"/>
        <v>0.465257142857143</v>
      </c>
      <c r="AW212" s="71"/>
      <c r="AX212" s="67"/>
      <c r="AY212" s="67">
        <f t="shared" si="78"/>
        <v>0.08919741216</v>
      </c>
      <c r="AZ212" s="67"/>
      <c r="BA212" s="67">
        <f t="shared" si="79"/>
        <v>0.484730660190476</v>
      </c>
      <c r="BB212" s="75"/>
    </row>
    <row r="213" spans="1:54">
      <c r="A213" s="64">
        <v>208</v>
      </c>
      <c r="B213" s="65" t="s">
        <v>279</v>
      </c>
      <c r="C213" s="65" t="s">
        <v>279</v>
      </c>
      <c r="D213" s="65" t="s">
        <v>280</v>
      </c>
      <c r="E213" s="65" t="s">
        <v>172</v>
      </c>
      <c r="F213" s="66">
        <v>47.5</v>
      </c>
      <c r="G213" s="67">
        <f t="shared" si="60"/>
        <v>9.03028088421053</v>
      </c>
      <c r="H213" s="67">
        <f t="shared" si="61"/>
        <v>428.938342</v>
      </c>
      <c r="I213" s="75">
        <v>3</v>
      </c>
      <c r="J213" s="75">
        <v>3</v>
      </c>
      <c r="K213" s="76">
        <f t="shared" si="62"/>
        <v>547.148304</v>
      </c>
      <c r="L213" s="76">
        <f t="shared" si="63"/>
        <v>262.148304</v>
      </c>
      <c r="M213" s="75">
        <v>0</v>
      </c>
      <c r="N213" s="77">
        <v>0</v>
      </c>
      <c r="O213" s="75">
        <v>0</v>
      </c>
      <c r="P213" s="67">
        <f t="shared" si="64"/>
        <v>95</v>
      </c>
      <c r="Q213" s="77">
        <v>166.790038</v>
      </c>
      <c r="R213" s="67">
        <f t="shared" si="65"/>
        <v>285</v>
      </c>
      <c r="S213" s="67">
        <v>0</v>
      </c>
      <c r="T213" s="76">
        <f t="shared" si="66"/>
        <v>0</v>
      </c>
      <c r="U213" s="76"/>
      <c r="V213" s="77">
        <v>0</v>
      </c>
      <c r="W213" s="75">
        <v>0</v>
      </c>
      <c r="X213" s="76"/>
      <c r="Y213" s="77">
        <v>0</v>
      </c>
      <c r="Z213" s="77">
        <v>0</v>
      </c>
      <c r="AA213" s="67">
        <f t="shared" si="67"/>
        <v>0</v>
      </c>
      <c r="AB213" s="77">
        <v>0</v>
      </c>
      <c r="AC213" s="67">
        <f t="shared" si="68"/>
        <v>0</v>
      </c>
      <c r="AD213" s="77">
        <v>0</v>
      </c>
      <c r="AE213" s="67">
        <f t="shared" si="69"/>
        <v>0</v>
      </c>
      <c r="AF213" s="82">
        <v>0</v>
      </c>
      <c r="AG213" s="67">
        <f t="shared" si="70"/>
        <v>0</v>
      </c>
      <c r="AH213" s="77">
        <v>0</v>
      </c>
      <c r="AI213" s="67">
        <f t="shared" si="71"/>
        <v>0</v>
      </c>
      <c r="AJ213" s="77">
        <v>0</v>
      </c>
      <c r="AK213" s="77">
        <v>0</v>
      </c>
      <c r="AL213" s="77">
        <v>0</v>
      </c>
      <c r="AM213" s="77">
        <v>0</v>
      </c>
      <c r="AN213" s="77">
        <v>0</v>
      </c>
      <c r="AO213" s="77">
        <v>262.148304</v>
      </c>
      <c r="AP213" s="67">
        <f t="shared" si="72"/>
        <v>95</v>
      </c>
      <c r="AQ213" s="91">
        <f t="shared" si="73"/>
        <v>0.19</v>
      </c>
      <c r="AR213" s="92">
        <f t="shared" si="74"/>
        <v>0</v>
      </c>
      <c r="AS213" s="67">
        <f t="shared" si="75"/>
        <v>0.095</v>
      </c>
      <c r="AT213" s="75">
        <v>0</v>
      </c>
      <c r="AU213" s="67">
        <f t="shared" si="76"/>
        <v>0</v>
      </c>
      <c r="AV213" s="71">
        <f t="shared" si="77"/>
        <v>0.0814285714285714</v>
      </c>
      <c r="AW213" s="71"/>
      <c r="AX213" s="67"/>
      <c r="AY213" s="67">
        <f t="shared" si="78"/>
        <v>0.02097186432</v>
      </c>
      <c r="AZ213" s="67"/>
      <c r="BA213" s="67">
        <f t="shared" si="79"/>
        <v>0.0814285714285714</v>
      </c>
      <c r="BB213" s="75"/>
    </row>
    <row r="214" spans="1:54">
      <c r="A214" s="64">
        <v>209</v>
      </c>
      <c r="B214" s="104"/>
      <c r="C214" s="104"/>
      <c r="D214" s="104"/>
      <c r="E214" s="104"/>
      <c r="F214" s="76">
        <f>SUM(F6:F213)</f>
        <v>81256.8100000001</v>
      </c>
      <c r="G214" s="67">
        <f>SUM(G6:G213)</f>
        <v>5578.85088552416</v>
      </c>
      <c r="H214" s="67">
        <f>SUM(H6:H213)</f>
        <v>2535144.381804</v>
      </c>
      <c r="I214" s="104"/>
      <c r="J214" s="104"/>
      <c r="K214" s="76">
        <f>SUM(K6:K213)</f>
        <v>1893453.110651</v>
      </c>
      <c r="L214" s="76">
        <f>SUM(L6:L213)</f>
        <v>1395295.531711</v>
      </c>
      <c r="M214" s="106"/>
      <c r="N214" s="77">
        <f>SUBTOTAL(9,N6:N213)</f>
        <v>8646.594776</v>
      </c>
      <c r="O214" s="75"/>
      <c r="P214" s="67">
        <f>SUM(P6:P213)</f>
        <v>162513.62</v>
      </c>
      <c r="Q214" s="76">
        <f>SUM(Q6:Q213)</f>
        <v>1129232.131153</v>
      </c>
      <c r="R214" s="67">
        <f>SUM(R6:R213)</f>
        <v>487540.86</v>
      </c>
      <c r="S214" s="67">
        <f>SUM(S6:S213)</f>
        <v>0</v>
      </c>
      <c r="T214" s="76">
        <f>SUM(T6:T213)</f>
        <v>516921.266519</v>
      </c>
      <c r="U214" s="104"/>
      <c r="V214" s="67">
        <f>SUM(V6:V213)</f>
        <v>73318.317037</v>
      </c>
      <c r="W214" s="67"/>
      <c r="X214" s="104"/>
      <c r="Y214" s="77">
        <f>SUBTOTAL(9,Y6:Y213)</f>
        <v>225577.757913</v>
      </c>
      <c r="Z214" s="77">
        <f>SUBTOTAL(9,Z6:Z213)</f>
        <v>2461.986401</v>
      </c>
      <c r="AA214" s="67">
        <f>SUM(AA6:AA213)</f>
        <v>4923.972802</v>
      </c>
      <c r="AB214" s="67">
        <f>SUM(AB6:AB213)</f>
        <v>5308.35947</v>
      </c>
      <c r="AC214" s="67">
        <f>SUM(AC6:AC213)</f>
        <v>10616.71894</v>
      </c>
      <c r="AD214" s="112">
        <f>SUBTOTAL(9,AD6:AD213)</f>
        <v>15580.145731</v>
      </c>
      <c r="AE214" s="67">
        <f>SUM(AE6:AE213)</f>
        <v>31160.291462</v>
      </c>
      <c r="AF214" s="113">
        <f>SUBTOTAL(9,AF6:AF213)</f>
        <v>486.194514</v>
      </c>
      <c r="AG214" s="67">
        <f>SUM(AG6:AG213)</f>
        <v>972.389028</v>
      </c>
      <c r="AH214" s="77">
        <f>SUBTOTAL(9,AH6:AH213)</f>
        <v>11086.201301</v>
      </c>
      <c r="AI214" s="67">
        <f>SUM(AI6:AI213)</f>
        <v>22172.402602</v>
      </c>
      <c r="AJ214" s="77">
        <f t="shared" ref="AJ214:AO214" si="80">SUBTOTAL(9,AJ6:AJ213)</f>
        <v>178618.814528</v>
      </c>
      <c r="AK214" s="77">
        <f t="shared" si="80"/>
        <v>15492.692233</v>
      </c>
      <c r="AL214" s="77">
        <f t="shared" si="80"/>
        <v>768.893178</v>
      </c>
      <c r="AM214" s="77">
        <f t="shared" si="80"/>
        <v>178647.052778</v>
      </c>
      <c r="AN214" s="77">
        <f t="shared" si="80"/>
        <v>10796.391606</v>
      </c>
      <c r="AO214" s="77">
        <f t="shared" si="80"/>
        <v>652846.556544</v>
      </c>
      <c r="AP214" s="67">
        <f>SUM(AP6:AP213)</f>
        <v>162513.62</v>
      </c>
      <c r="AQ214" s="91">
        <f>SUM(AQ6:AQ213)</f>
        <v>211.32152</v>
      </c>
      <c r="AR214" s="92">
        <f>SUM(AR6:AR213)</f>
        <v>122.442</v>
      </c>
      <c r="AS214" s="67">
        <f>SUM(AS6:AS213)</f>
        <v>195.30819</v>
      </c>
      <c r="AT214" s="115">
        <f>SUBTOTAL(9,AT6:AT213)</f>
        <v>120</v>
      </c>
      <c r="AU214" s="64">
        <f>SUM(AU6:AU213)</f>
        <v>76.313459837862</v>
      </c>
      <c r="AV214" s="64">
        <f>SUM(AV6:AV213)</f>
        <v>163.282741714286</v>
      </c>
      <c r="AW214" s="64">
        <f>SUM(AW6:AW213)</f>
        <v>23</v>
      </c>
      <c r="AX214" s="67">
        <f>AT214/60</f>
        <v>2</v>
      </c>
      <c r="AY214" s="67">
        <f>SUM(AY6:AY213)</f>
        <v>67.38320007424</v>
      </c>
      <c r="AZ214" s="64">
        <f>AY214/7</f>
        <v>9.62617143917714</v>
      </c>
      <c r="BA214" s="64">
        <f>AU214+AV214</f>
        <v>239.596201552148</v>
      </c>
      <c r="BB214" s="64">
        <f>AU215+AV215+AW215+AX215+AZ215</f>
        <v>274.2</v>
      </c>
    </row>
    <row r="215" spans="8:54">
      <c r="H215" s="105"/>
      <c r="S215" s="111"/>
      <c r="AM215" s="114">
        <f>SUM(AM214:AO214)</f>
        <v>842290.000928</v>
      </c>
      <c r="AU215" s="105">
        <v>76</v>
      </c>
      <c r="AV215" s="116">
        <f>272*0.6</f>
        <v>163.2</v>
      </c>
      <c r="AW215" s="116">
        <v>23</v>
      </c>
      <c r="AX215" s="105">
        <v>2</v>
      </c>
      <c r="AY215" s="105"/>
      <c r="AZ215" s="105">
        <v>10</v>
      </c>
      <c r="BA215" s="105"/>
      <c r="BB215" s="116">
        <f>AU215+AV215+AW215+AX215+AZ215</f>
        <v>274.2</v>
      </c>
    </row>
    <row r="216" spans="8:49">
      <c r="H216" s="105"/>
      <c r="K216" s="106" t="s">
        <v>1</v>
      </c>
      <c r="L216" s="106" t="s">
        <v>654</v>
      </c>
      <c r="M216" s="106" t="s">
        <v>655</v>
      </c>
      <c r="AA216" s="114">
        <f>AA214+AC214+AE214+AG214+AI214</f>
        <v>69845.774834</v>
      </c>
      <c r="AW216" s="114"/>
    </row>
    <row r="217" spans="8:49">
      <c r="H217" s="105"/>
      <c r="K217" s="106">
        <v>1</v>
      </c>
      <c r="L217" s="67">
        <f>H214</f>
        <v>2535144.381804</v>
      </c>
      <c r="M217" s="67">
        <f>AM215</f>
        <v>842290.000928</v>
      </c>
      <c r="AW217" s="52" t="s">
        <v>668</v>
      </c>
    </row>
    <row r="218" spans="8:13">
      <c r="H218" s="105"/>
      <c r="K218" s="105"/>
      <c r="L218" s="107"/>
      <c r="M218" s="107"/>
    </row>
    <row r="219" ht="14.25" customHeight="1" spans="8:13">
      <c r="H219" s="105"/>
      <c r="K219" s="108" t="s">
        <v>656</v>
      </c>
      <c r="L219" s="109"/>
      <c r="M219" s="71">
        <f>AA216</f>
        <v>69845.774834</v>
      </c>
    </row>
    <row r="220" ht="14.25" customHeight="1" spans="8:13">
      <c r="H220" s="52" t="s">
        <v>657</v>
      </c>
      <c r="K220" s="108" t="s">
        <v>658</v>
      </c>
      <c r="L220" s="109"/>
      <c r="M220" s="71">
        <f>L217-M217-M219</f>
        <v>1623008.606042</v>
      </c>
    </row>
    <row r="221" ht="18.75" customHeight="1" spans="11:13">
      <c r="K221" s="110" t="s">
        <v>659</v>
      </c>
      <c r="L221" s="109"/>
      <c r="M221" s="71">
        <f>M217</f>
        <v>842290.000928</v>
      </c>
    </row>
    <row r="222" ht="18.75" customHeight="1" spans="11:13">
      <c r="K222" s="110" t="s">
        <v>660</v>
      </c>
      <c r="L222" s="109"/>
      <c r="M222" s="71">
        <f>SUM(M219:M221)</f>
        <v>2535144.381804</v>
      </c>
    </row>
    <row r="257" spans="62:62">
      <c r="BJ257" s="117"/>
    </row>
  </sheetData>
  <mergeCells count="65">
    <mergeCell ref="A1:BB1"/>
    <mergeCell ref="L2:AO2"/>
    <mergeCell ref="M3:S3"/>
    <mergeCell ref="U3:W3"/>
    <mergeCell ref="X3:Y3"/>
    <mergeCell ref="Z3:AA3"/>
    <mergeCell ref="AB3:AC3"/>
    <mergeCell ref="AD3:AE3"/>
    <mergeCell ref="AF3:AG3"/>
    <mergeCell ref="AH3:AI3"/>
    <mergeCell ref="AJ3:AL3"/>
    <mergeCell ref="AM3:AO3"/>
    <mergeCell ref="Q4:S4"/>
    <mergeCell ref="A2:A5"/>
    <mergeCell ref="B2:B5"/>
    <mergeCell ref="C2:C5"/>
    <mergeCell ref="D2:D5"/>
    <mergeCell ref="E2:E5"/>
    <mergeCell ref="F2:F5"/>
    <mergeCell ref="G2:G5"/>
    <mergeCell ref="H2:H5"/>
    <mergeCell ref="H215:H219"/>
    <mergeCell ref="I2:I5"/>
    <mergeCell ref="J2:J5"/>
    <mergeCell ref="K2:K5"/>
    <mergeCell ref="L3:L5"/>
    <mergeCell ref="M4:M5"/>
    <mergeCell ref="N4:N5"/>
    <mergeCell ref="O4:O5"/>
    <mergeCell ref="P4:P5"/>
    <mergeCell ref="T3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2:AP5"/>
    <mergeCell ref="AQ2:AQ5"/>
    <mergeCell ref="AR2:AR5"/>
    <mergeCell ref="AS2:AS5"/>
    <mergeCell ref="AT2:AT5"/>
    <mergeCell ref="AU2:AU5"/>
    <mergeCell ref="AV2:AV5"/>
    <mergeCell ref="AW2:AW5"/>
    <mergeCell ref="AX2:AX5"/>
    <mergeCell ref="AY2:AY5"/>
    <mergeCell ref="AZ2:AZ5"/>
    <mergeCell ref="BA2:BA5"/>
    <mergeCell ref="BB2:BB5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workbookViewId="0">
      <selection activeCell="G5" sqref="G5"/>
    </sheetView>
  </sheetViews>
  <sheetFormatPr defaultColWidth="9" defaultRowHeight="14.4" outlineLevelRow="5" outlineLevelCol="4"/>
  <cols>
    <col min="5" max="5" width="24.5" customWidth="1"/>
  </cols>
  <sheetData>
    <row r="2" ht="20.25" customHeight="1" spans="1:5">
      <c r="A2" s="50" t="s">
        <v>669</v>
      </c>
      <c r="B2" s="50"/>
      <c r="C2" s="50"/>
      <c r="D2" s="50"/>
      <c r="E2" s="50"/>
    </row>
    <row r="4" ht="189" customHeight="1" spans="1:5">
      <c r="A4" s="1" t="s">
        <v>670</v>
      </c>
      <c r="B4" s="1"/>
      <c r="C4" s="1"/>
      <c r="D4" s="1"/>
      <c r="E4" s="1"/>
    </row>
    <row r="5" ht="20.25" customHeight="1" spans="1:5">
      <c r="A5" s="50" t="s">
        <v>671</v>
      </c>
      <c r="B5" s="50"/>
      <c r="C5" s="50"/>
      <c r="D5" s="50"/>
      <c r="E5" s="50"/>
    </row>
    <row r="6" ht="20.25" customHeight="1" spans="1:5">
      <c r="A6" s="50" t="s">
        <v>672</v>
      </c>
      <c r="B6" s="50"/>
      <c r="C6" s="50"/>
      <c r="D6" s="50"/>
      <c r="E6" s="50"/>
    </row>
  </sheetData>
  <mergeCells count="4">
    <mergeCell ref="A2:E2"/>
    <mergeCell ref="A4:E4"/>
    <mergeCell ref="A5:E5"/>
    <mergeCell ref="A6:E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城区道路保洁</vt:lpstr>
      <vt:lpstr>村道</vt:lpstr>
      <vt:lpstr>垃圾清运（生活垃圾分类收集）</vt:lpstr>
      <vt:lpstr>公厕保洁</vt:lpstr>
      <vt:lpstr>抑尘车费用</vt:lpstr>
      <vt:lpstr>东北塘“三乱”保洁</vt:lpstr>
      <vt:lpstr>3.28调整道路保洁 (车辆)</vt:lpstr>
      <vt:lpstr>3.28调整道路保洁 (人员)</vt:lpstr>
      <vt:lpstr>抑尘车线路</vt:lpstr>
      <vt:lpstr>人工清扫</vt:lpstr>
      <vt:lpstr>人工保洁</vt:lpstr>
      <vt:lpstr>2022</vt:lpstr>
      <vt:lpstr>2020</vt:lpstr>
      <vt:lpstr>洗扫车</vt:lpstr>
      <vt:lpstr>清洗车高压冲洗</vt:lpstr>
      <vt:lpstr>清洗车洒水</vt:lpstr>
      <vt:lpstr>小型洗扫车</vt:lpstr>
      <vt:lpstr>小型清洗车</vt:lpstr>
      <vt:lpstr>人工保洁 (不要求社保)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WPS_1683780790</cp:lastModifiedBy>
  <cp:revision>0</cp:revision>
  <dcterms:created xsi:type="dcterms:W3CDTF">2006-09-16T00:00:00Z</dcterms:created>
  <cp:lastPrinted>2022-11-14T01:02:00Z</cp:lastPrinted>
  <dcterms:modified xsi:type="dcterms:W3CDTF">2025-07-04T06:38:02Z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315603E55383448C81FE9DC0C1A50358_13</vt:lpwstr>
  </property>
  <property fmtid="{D5CDD505-2E9C-101B-9397-08002B2CF9AE}" pid="3" name="KSOProductBuildVer">
    <vt:lpwstr>2052-12.1.0.21541</vt:lpwstr>
  </property>
</Properties>
</file>