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2025年\新文件\南京市鼓楼区公共道路保洁服务项目\发布版\清单\"/>
    </mc:Choice>
  </mc:AlternateContent>
  <xr:revisionPtr revIDLastSave="0" documentId="13_ncr:1_{0149A438-9B75-412E-B820-C9C7DAE7354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道路（设施量内）" sheetId="1" r:id="rId1"/>
    <sheet name="街巷（设施量内）" sheetId="2" r:id="rId2"/>
    <sheet name="公厕（设施量内）" sheetId="3" r:id="rId3"/>
    <sheet name="设施量外道路" sheetId="4" r:id="rId4"/>
    <sheet name="设施量外街巷" sheetId="5" r:id="rId5"/>
    <sheet name="设施量外公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6" l="1"/>
  <c r="M72" i="5"/>
  <c r="L72" i="5"/>
  <c r="K72" i="5"/>
  <c r="J72" i="5"/>
  <c r="I72" i="5"/>
  <c r="H72" i="5"/>
  <c r="G72" i="5"/>
  <c r="F72" i="5"/>
  <c r="L71" i="5"/>
  <c r="I71" i="5"/>
  <c r="H71" i="5"/>
  <c r="L70" i="5"/>
  <c r="J70" i="5"/>
  <c r="I70" i="5"/>
  <c r="H70" i="5"/>
  <c r="L69" i="5"/>
  <c r="K69" i="5"/>
  <c r="J69" i="5"/>
  <c r="I69" i="5"/>
  <c r="H69" i="5"/>
  <c r="L68" i="5"/>
  <c r="K68" i="5"/>
  <c r="J68" i="5"/>
  <c r="I68" i="5"/>
  <c r="H68" i="5"/>
  <c r="L67" i="5"/>
  <c r="K67" i="5"/>
  <c r="I67" i="5"/>
  <c r="H67" i="5"/>
  <c r="M66" i="5"/>
  <c r="L66" i="5"/>
  <c r="J66" i="5"/>
  <c r="I66" i="5"/>
  <c r="H66" i="5"/>
  <c r="L65" i="5"/>
  <c r="J65" i="5"/>
  <c r="I65" i="5"/>
  <c r="H65" i="5"/>
  <c r="L64" i="5"/>
  <c r="K64" i="5"/>
  <c r="J64" i="5"/>
  <c r="I64" i="5"/>
  <c r="H64" i="5"/>
  <c r="L63" i="5"/>
  <c r="I63" i="5"/>
  <c r="H63" i="5"/>
  <c r="M62" i="5"/>
  <c r="L62" i="5"/>
  <c r="I62" i="5"/>
  <c r="H62" i="5"/>
  <c r="M61" i="5"/>
  <c r="L61" i="5"/>
  <c r="J61" i="5"/>
  <c r="I61" i="5"/>
  <c r="H61" i="5"/>
  <c r="G61" i="5"/>
  <c r="L60" i="5"/>
  <c r="K60" i="5"/>
  <c r="J60" i="5"/>
  <c r="I60" i="5"/>
  <c r="H60" i="5"/>
  <c r="L59" i="5"/>
  <c r="K59" i="5"/>
  <c r="I59" i="5"/>
  <c r="H59" i="5"/>
  <c r="L58" i="5"/>
  <c r="K58" i="5"/>
  <c r="J58" i="5"/>
  <c r="I58" i="5"/>
  <c r="H58" i="5"/>
  <c r="L57" i="5"/>
  <c r="I57" i="5"/>
  <c r="H57" i="5"/>
  <c r="M56" i="5"/>
  <c r="L56" i="5"/>
  <c r="I56" i="5"/>
  <c r="H56" i="5"/>
  <c r="M55" i="5"/>
  <c r="L55" i="5"/>
  <c r="I55" i="5"/>
  <c r="H55" i="5"/>
  <c r="L54" i="5"/>
  <c r="K54" i="5"/>
  <c r="I54" i="5"/>
  <c r="H54" i="5"/>
  <c r="L53" i="5"/>
  <c r="K53" i="5"/>
  <c r="I53" i="5"/>
  <c r="H53" i="5"/>
  <c r="L52" i="5"/>
  <c r="J52" i="5"/>
  <c r="I52" i="5"/>
  <c r="H52" i="5"/>
  <c r="L51" i="5"/>
  <c r="K51" i="5"/>
  <c r="I51" i="5"/>
  <c r="H51" i="5"/>
  <c r="L50" i="5"/>
  <c r="J50" i="5"/>
  <c r="I50" i="5"/>
  <c r="H50" i="5"/>
  <c r="L49" i="5"/>
  <c r="K49" i="5"/>
  <c r="I49" i="5"/>
  <c r="H49" i="5"/>
  <c r="L48" i="5"/>
  <c r="I48" i="5"/>
  <c r="H48" i="5"/>
  <c r="L47" i="5"/>
  <c r="K47" i="5"/>
  <c r="I47" i="5"/>
  <c r="H47" i="5"/>
  <c r="L46" i="5"/>
  <c r="K46" i="5"/>
  <c r="I46" i="5"/>
  <c r="H46" i="5"/>
  <c r="L45" i="5"/>
  <c r="K45" i="5"/>
  <c r="I45" i="5"/>
  <c r="H45" i="5"/>
  <c r="M44" i="5"/>
  <c r="L44" i="5"/>
  <c r="I44" i="5"/>
  <c r="H44" i="5"/>
  <c r="M43" i="5"/>
  <c r="L43" i="5"/>
  <c r="I43" i="5"/>
  <c r="H43" i="5"/>
  <c r="L42" i="5"/>
  <c r="K42" i="5"/>
  <c r="I42" i="5"/>
  <c r="H42" i="5"/>
  <c r="L41" i="5"/>
  <c r="J41" i="5"/>
  <c r="I41" i="5"/>
  <c r="H41" i="5"/>
  <c r="G41" i="5"/>
  <c r="L40" i="5"/>
  <c r="I40" i="5"/>
  <c r="H40" i="5"/>
  <c r="L39" i="5"/>
  <c r="I39" i="5"/>
  <c r="H39" i="5"/>
  <c r="L38" i="5"/>
  <c r="J38" i="5"/>
  <c r="I38" i="5"/>
  <c r="H38" i="5"/>
  <c r="L37" i="5"/>
  <c r="J37" i="5"/>
  <c r="I37" i="5"/>
  <c r="H37" i="5"/>
  <c r="M36" i="5"/>
  <c r="L36" i="5"/>
  <c r="J36" i="5"/>
  <c r="I36" i="5"/>
  <c r="H36" i="5"/>
  <c r="L35" i="5"/>
  <c r="I35" i="5"/>
  <c r="H35" i="5"/>
  <c r="L34" i="5"/>
  <c r="K34" i="5"/>
  <c r="I34" i="5"/>
  <c r="H34" i="5"/>
  <c r="L33" i="5"/>
  <c r="I33" i="5"/>
  <c r="H33" i="5"/>
  <c r="L32" i="5"/>
  <c r="J32" i="5"/>
  <c r="I32" i="5"/>
  <c r="H32" i="5"/>
  <c r="G32" i="5"/>
  <c r="L31" i="5"/>
  <c r="J31" i="5"/>
  <c r="I31" i="5"/>
  <c r="H31" i="5"/>
  <c r="G31" i="5"/>
  <c r="L30" i="5"/>
  <c r="J30" i="5"/>
  <c r="I30" i="5"/>
  <c r="H30" i="5"/>
  <c r="G30" i="5"/>
  <c r="L29" i="5"/>
  <c r="I29" i="5"/>
  <c r="H29" i="5"/>
  <c r="L28" i="5"/>
  <c r="J28" i="5"/>
  <c r="I28" i="5"/>
  <c r="H28" i="5"/>
  <c r="G28" i="5"/>
  <c r="L27" i="5"/>
  <c r="J27" i="5"/>
  <c r="I27" i="5"/>
  <c r="H27" i="5"/>
  <c r="G27" i="5"/>
  <c r="L26" i="5"/>
  <c r="J26" i="5"/>
  <c r="I26" i="5"/>
  <c r="H26" i="5"/>
  <c r="G26" i="5"/>
  <c r="M24" i="5"/>
  <c r="L24" i="5"/>
  <c r="K24" i="5"/>
  <c r="J24" i="5"/>
  <c r="I24" i="5"/>
  <c r="H24" i="5"/>
  <c r="G24" i="5"/>
  <c r="F24" i="5"/>
  <c r="M12" i="4"/>
  <c r="L12" i="4"/>
  <c r="K12" i="4"/>
  <c r="J12" i="4"/>
  <c r="I12" i="4"/>
  <c r="H12" i="4"/>
  <c r="G12" i="4"/>
  <c r="F12" i="4"/>
  <c r="L9" i="4"/>
  <c r="J9" i="4"/>
  <c r="I9" i="4"/>
  <c r="H9" i="4"/>
  <c r="G9" i="4"/>
  <c r="M8" i="4"/>
  <c r="L8" i="4"/>
  <c r="J8" i="4"/>
  <c r="I8" i="4"/>
  <c r="H8" i="4"/>
  <c r="G8" i="4"/>
  <c r="L7" i="4"/>
  <c r="L6" i="4"/>
  <c r="L5" i="4"/>
  <c r="L4" i="4"/>
  <c r="L3" i="4"/>
  <c r="L2" i="4"/>
  <c r="J2" i="4"/>
  <c r="I2" i="4"/>
  <c r="H2" i="4"/>
  <c r="G2" i="4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C70" i="3"/>
  <c r="BM69" i="3"/>
  <c r="BL69" i="3"/>
  <c r="BK69" i="3"/>
  <c r="BJ69" i="3"/>
  <c r="BI69" i="3"/>
  <c r="BH69" i="3"/>
  <c r="BG69" i="3"/>
  <c r="BF69" i="3"/>
  <c r="BE69" i="3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C69" i="3"/>
  <c r="BM68" i="3"/>
  <c r="BH68" i="3"/>
  <c r="BC68" i="3"/>
  <c r="AZ68" i="3"/>
  <c r="AA68" i="3"/>
  <c r="BM67" i="3"/>
  <c r="BH67" i="3"/>
  <c r="BC67" i="3"/>
  <c r="AZ67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C66" i="3"/>
  <c r="BM65" i="3"/>
  <c r="BH65" i="3"/>
  <c r="BC65" i="3"/>
  <c r="AZ65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C64" i="3"/>
  <c r="BM63" i="3"/>
  <c r="BH63" i="3"/>
  <c r="BC63" i="3"/>
  <c r="AZ63" i="3"/>
  <c r="BM62" i="3"/>
  <c r="BH62" i="3"/>
  <c r="BC62" i="3"/>
  <c r="AZ62" i="3"/>
  <c r="AA62" i="3"/>
  <c r="BM61" i="3"/>
  <c r="BH61" i="3"/>
  <c r="BC61" i="3"/>
  <c r="AZ61" i="3"/>
  <c r="AA61" i="3"/>
  <c r="BM60" i="3"/>
  <c r="BH60" i="3"/>
  <c r="BC60" i="3"/>
  <c r="AZ60" i="3"/>
  <c r="BM59" i="3"/>
  <c r="BH59" i="3"/>
  <c r="BC59" i="3"/>
  <c r="AZ59" i="3"/>
  <c r="AA59" i="3"/>
  <c r="BM58" i="3"/>
  <c r="BH58" i="3"/>
  <c r="BC58" i="3"/>
  <c r="AZ58" i="3"/>
  <c r="AA58" i="3"/>
  <c r="BM57" i="3"/>
  <c r="BH57" i="3"/>
  <c r="BC57" i="3"/>
  <c r="AZ57" i="3"/>
  <c r="AA57" i="3"/>
  <c r="BM56" i="3"/>
  <c r="BH56" i="3"/>
  <c r="BC56" i="3"/>
  <c r="AZ56" i="3"/>
  <c r="AA56" i="3"/>
  <c r="BM55" i="3"/>
  <c r="BH55" i="3"/>
  <c r="BC55" i="3"/>
  <c r="AZ55" i="3"/>
  <c r="AA55" i="3"/>
  <c r="BM54" i="3"/>
  <c r="BH54" i="3"/>
  <c r="BC54" i="3"/>
  <c r="AZ54" i="3"/>
  <c r="AA54" i="3"/>
  <c r="BM53" i="3"/>
  <c r="BH53" i="3"/>
  <c r="BC53" i="3"/>
  <c r="AZ53" i="3"/>
  <c r="AA53" i="3"/>
  <c r="BM52" i="3"/>
  <c r="BH52" i="3"/>
  <c r="BC52" i="3"/>
  <c r="AZ52" i="3"/>
  <c r="AA52" i="3"/>
  <c r="BM51" i="3"/>
  <c r="BH51" i="3"/>
  <c r="BC51" i="3"/>
  <c r="AZ51" i="3"/>
  <c r="AA51" i="3"/>
  <c r="BM50" i="3"/>
  <c r="BH50" i="3"/>
  <c r="BC50" i="3"/>
  <c r="AZ50" i="3"/>
  <c r="AA50" i="3"/>
  <c r="BM49" i="3"/>
  <c r="BH49" i="3"/>
  <c r="BC49" i="3"/>
  <c r="AZ49" i="3"/>
  <c r="AA49" i="3"/>
  <c r="BM48" i="3"/>
  <c r="BH48" i="3"/>
  <c r="BC48" i="3"/>
  <c r="AZ48" i="3"/>
  <c r="AA48" i="3"/>
  <c r="BM47" i="3"/>
  <c r="BH47" i="3"/>
  <c r="BC47" i="3"/>
  <c r="AZ47" i="3"/>
  <c r="AA47" i="3"/>
  <c r="BM46" i="3"/>
  <c r="BH46" i="3"/>
  <c r="BC46" i="3"/>
  <c r="AZ46" i="3"/>
  <c r="AA46" i="3"/>
  <c r="BM45" i="3"/>
  <c r="BH45" i="3"/>
  <c r="BC45" i="3"/>
  <c r="AZ45" i="3"/>
  <c r="AA45" i="3"/>
  <c r="BM44" i="3"/>
  <c r="BH44" i="3"/>
  <c r="BC44" i="3"/>
  <c r="AZ44" i="3"/>
  <c r="AA44" i="3"/>
  <c r="BM43" i="3"/>
  <c r="BH43" i="3"/>
  <c r="BC43" i="3"/>
  <c r="AZ43" i="3"/>
  <c r="AA43" i="3"/>
  <c r="BM42" i="3"/>
  <c r="BH42" i="3"/>
  <c r="BC42" i="3"/>
  <c r="AZ42" i="3"/>
  <c r="AA42" i="3"/>
  <c r="BM41" i="3"/>
  <c r="BH41" i="3"/>
  <c r="BC41" i="3"/>
  <c r="AZ41" i="3"/>
  <c r="AA41" i="3"/>
  <c r="BM40" i="3"/>
  <c r="BH40" i="3"/>
  <c r="BC40" i="3"/>
  <c r="AZ40" i="3"/>
  <c r="BM39" i="3"/>
  <c r="BH39" i="3"/>
  <c r="BC39" i="3"/>
  <c r="AZ39" i="3"/>
  <c r="AA39" i="3"/>
  <c r="BM38" i="3"/>
  <c r="BH38" i="3"/>
  <c r="BC38" i="3"/>
  <c r="AZ38" i="3"/>
  <c r="BM37" i="3"/>
  <c r="BH37" i="3"/>
  <c r="BC37" i="3"/>
  <c r="AZ37" i="3"/>
  <c r="AA37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C36" i="3"/>
  <c r="BM35" i="3"/>
  <c r="BH35" i="3"/>
  <c r="BC35" i="3"/>
  <c r="AZ35" i="3"/>
  <c r="BM34" i="3"/>
  <c r="BH34" i="3"/>
  <c r="BC34" i="3"/>
  <c r="AZ34" i="3"/>
  <c r="AA34" i="3"/>
  <c r="BM33" i="3"/>
  <c r="BH33" i="3"/>
  <c r="BC33" i="3"/>
  <c r="AZ33" i="3"/>
  <c r="AA33" i="3"/>
  <c r="BM32" i="3"/>
  <c r="BH32" i="3"/>
  <c r="BC32" i="3"/>
  <c r="AZ32" i="3"/>
  <c r="AA32" i="3"/>
  <c r="BM31" i="3"/>
  <c r="BH31" i="3"/>
  <c r="BC31" i="3"/>
  <c r="AZ31" i="3"/>
  <c r="BM30" i="3"/>
  <c r="BH30" i="3"/>
  <c r="BC30" i="3"/>
  <c r="AZ30" i="3"/>
  <c r="BM29" i="3"/>
  <c r="BH29" i="3"/>
  <c r="BC29" i="3"/>
  <c r="AZ29" i="3"/>
  <c r="BM28" i="3"/>
  <c r="BC28" i="3"/>
  <c r="AZ28" i="3"/>
  <c r="BM27" i="3"/>
  <c r="BH27" i="3"/>
  <c r="BC27" i="3"/>
  <c r="AZ27" i="3"/>
  <c r="AA27" i="3"/>
  <c r="BM26" i="3"/>
  <c r="BH26" i="3"/>
  <c r="BC26" i="3"/>
  <c r="AZ26" i="3"/>
  <c r="AH26" i="3"/>
  <c r="BM25" i="3"/>
  <c r="BH25" i="3"/>
  <c r="BC25" i="3"/>
  <c r="AZ25" i="3"/>
  <c r="AH25" i="3"/>
  <c r="AA25" i="3"/>
  <c r="BM24" i="3"/>
  <c r="BH24" i="3"/>
  <c r="BC24" i="3"/>
  <c r="AZ24" i="3"/>
  <c r="AA24" i="3"/>
  <c r="BM23" i="3"/>
  <c r="BH23" i="3"/>
  <c r="BC23" i="3"/>
  <c r="AZ23" i="3"/>
  <c r="AA23" i="3"/>
  <c r="BM22" i="3"/>
  <c r="BH22" i="3"/>
  <c r="BC22" i="3"/>
  <c r="AZ22" i="3"/>
  <c r="AA22" i="3"/>
  <c r="BM21" i="3"/>
  <c r="BH21" i="3"/>
  <c r="BC21" i="3"/>
  <c r="AZ21" i="3"/>
  <c r="AA21" i="3"/>
  <c r="BM20" i="3"/>
  <c r="BH20" i="3"/>
  <c r="BC20" i="3"/>
  <c r="AZ20" i="3"/>
  <c r="AA20" i="3"/>
  <c r="BM19" i="3"/>
  <c r="BH19" i="3"/>
  <c r="BC19" i="3"/>
  <c r="AZ19" i="3"/>
  <c r="AH19" i="3"/>
  <c r="AA19" i="3"/>
  <c r="BM18" i="3"/>
  <c r="BH18" i="3"/>
  <c r="BC18" i="3"/>
  <c r="AZ18" i="3"/>
  <c r="AH18" i="3"/>
  <c r="AA18" i="3"/>
  <c r="BM17" i="3"/>
  <c r="BH17" i="3"/>
  <c r="BC17" i="3"/>
  <c r="AZ17" i="3"/>
  <c r="AA17" i="3"/>
  <c r="BM16" i="3"/>
  <c r="BH16" i="3"/>
  <c r="BC16" i="3"/>
  <c r="AZ16" i="3"/>
  <c r="AA16" i="3"/>
  <c r="BM15" i="3"/>
  <c r="BH15" i="3"/>
  <c r="BC15" i="3"/>
  <c r="AZ15" i="3"/>
  <c r="AA15" i="3"/>
  <c r="BM14" i="3"/>
  <c r="BH14" i="3"/>
  <c r="BC14" i="3"/>
  <c r="AZ14" i="3"/>
  <c r="AA14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C13" i="3"/>
  <c r="BM12" i="3"/>
  <c r="BH12" i="3"/>
  <c r="BC12" i="3"/>
  <c r="AZ12" i="3"/>
  <c r="BM11" i="3"/>
  <c r="BH11" i="3"/>
  <c r="BC11" i="3"/>
  <c r="AZ11" i="3"/>
  <c r="AA11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C10" i="3"/>
  <c r="BM9" i="3"/>
  <c r="BH9" i="3"/>
  <c r="BC9" i="3"/>
  <c r="AZ9" i="3"/>
  <c r="AA9" i="3"/>
  <c r="BM8" i="3"/>
  <c r="BH8" i="3"/>
  <c r="BC8" i="3"/>
  <c r="AZ8" i="3"/>
  <c r="AA8" i="3"/>
  <c r="BM7" i="3"/>
  <c r="BH7" i="3"/>
  <c r="BC7" i="3"/>
  <c r="AZ7" i="3"/>
  <c r="AA7" i="3"/>
  <c r="BH6" i="3"/>
  <c r="BC6" i="3"/>
  <c r="AZ6" i="3"/>
  <c r="BM5" i="3"/>
  <c r="BH5" i="3"/>
  <c r="BC5" i="3"/>
  <c r="AZ5" i="3"/>
  <c r="AH5" i="3"/>
  <c r="AA5" i="3"/>
  <c r="BM4" i="3"/>
  <c r="BH4" i="3"/>
  <c r="BC4" i="3"/>
  <c r="AZ4" i="3"/>
  <c r="AA4" i="3"/>
  <c r="M186" i="2"/>
  <c r="L186" i="2"/>
  <c r="K186" i="2"/>
  <c r="J186" i="2"/>
  <c r="I186" i="2"/>
  <c r="H186" i="2"/>
  <c r="F186" i="2"/>
  <c r="C186" i="2"/>
  <c r="M185" i="2"/>
  <c r="L185" i="2"/>
  <c r="K185" i="2"/>
  <c r="J185" i="2"/>
  <c r="I185" i="2"/>
  <c r="H185" i="2"/>
  <c r="F185" i="2"/>
  <c r="C185" i="2"/>
  <c r="L184" i="2"/>
  <c r="I184" i="2"/>
  <c r="H184" i="2"/>
  <c r="A184" i="2"/>
  <c r="L183" i="2"/>
  <c r="A183" i="2"/>
  <c r="L182" i="2"/>
  <c r="A182" i="2"/>
  <c r="M181" i="2"/>
  <c r="L181" i="2"/>
  <c r="K181" i="2"/>
  <c r="J181" i="2"/>
  <c r="H181" i="2"/>
  <c r="A181" i="2"/>
  <c r="M180" i="2"/>
  <c r="L180" i="2"/>
  <c r="K180" i="2"/>
  <c r="J180" i="2"/>
  <c r="I180" i="2"/>
  <c r="H180" i="2"/>
  <c r="A180" i="2"/>
  <c r="M179" i="2"/>
  <c r="L179" i="2"/>
  <c r="K179" i="2"/>
  <c r="J179" i="2"/>
  <c r="I179" i="2"/>
  <c r="H179" i="2"/>
  <c r="A179" i="2"/>
  <c r="M178" i="2"/>
  <c r="L178" i="2"/>
  <c r="K178" i="2"/>
  <c r="J178" i="2"/>
  <c r="I178" i="2"/>
  <c r="H178" i="2"/>
  <c r="A178" i="2"/>
  <c r="M177" i="2"/>
  <c r="L177" i="2"/>
  <c r="K177" i="2"/>
  <c r="J177" i="2"/>
  <c r="I177" i="2"/>
  <c r="H177" i="2"/>
  <c r="A177" i="2"/>
  <c r="M176" i="2"/>
  <c r="L176" i="2"/>
  <c r="K176" i="2"/>
  <c r="J176" i="2"/>
  <c r="I176" i="2"/>
  <c r="H176" i="2"/>
  <c r="A176" i="2"/>
  <c r="M175" i="2"/>
  <c r="L175" i="2"/>
  <c r="K175" i="2"/>
  <c r="J175" i="2"/>
  <c r="I175" i="2"/>
  <c r="H175" i="2"/>
  <c r="A175" i="2"/>
  <c r="M174" i="2"/>
  <c r="L174" i="2"/>
  <c r="K174" i="2"/>
  <c r="J174" i="2"/>
  <c r="I174" i="2"/>
  <c r="H174" i="2"/>
  <c r="M173" i="2"/>
  <c r="L173" i="2"/>
  <c r="K173" i="2"/>
  <c r="J173" i="2"/>
  <c r="I173" i="2"/>
  <c r="H173" i="2"/>
  <c r="A173" i="2"/>
  <c r="M172" i="2"/>
  <c r="L172" i="2"/>
  <c r="K172" i="2"/>
  <c r="J172" i="2"/>
  <c r="I172" i="2"/>
  <c r="H172" i="2"/>
  <c r="A172" i="2"/>
  <c r="M171" i="2"/>
  <c r="L171" i="2"/>
  <c r="K171" i="2"/>
  <c r="J171" i="2"/>
  <c r="I171" i="2"/>
  <c r="H171" i="2"/>
  <c r="M170" i="2"/>
  <c r="L170" i="2"/>
  <c r="K170" i="2"/>
  <c r="J170" i="2"/>
  <c r="I170" i="2"/>
  <c r="H170" i="2"/>
  <c r="M169" i="2"/>
  <c r="L169" i="2"/>
  <c r="K169" i="2"/>
  <c r="J169" i="2"/>
  <c r="I169" i="2"/>
  <c r="H169" i="2"/>
  <c r="M168" i="2"/>
  <c r="L168" i="2"/>
  <c r="K168" i="2"/>
  <c r="J168" i="2"/>
  <c r="I168" i="2"/>
  <c r="H168" i="2"/>
  <c r="A168" i="2"/>
  <c r="M167" i="2"/>
  <c r="L167" i="2"/>
  <c r="K167" i="2"/>
  <c r="J167" i="2"/>
  <c r="I167" i="2"/>
  <c r="H167" i="2"/>
  <c r="A167" i="2"/>
  <c r="M166" i="2"/>
  <c r="L166" i="2"/>
  <c r="K166" i="2"/>
  <c r="J166" i="2"/>
  <c r="I166" i="2"/>
  <c r="H166" i="2"/>
  <c r="M165" i="2"/>
  <c r="L165" i="2"/>
  <c r="K165" i="2"/>
  <c r="J165" i="2"/>
  <c r="I165" i="2"/>
  <c r="H165" i="2"/>
  <c r="A165" i="2"/>
  <c r="M164" i="2"/>
  <c r="L164" i="2"/>
  <c r="K164" i="2"/>
  <c r="J164" i="2"/>
  <c r="I164" i="2"/>
  <c r="H164" i="2"/>
  <c r="M163" i="2"/>
  <c r="L163" i="2"/>
  <c r="K163" i="2"/>
  <c r="J163" i="2"/>
  <c r="I163" i="2"/>
  <c r="H163" i="2"/>
  <c r="A163" i="2"/>
  <c r="M162" i="2"/>
  <c r="L162" i="2"/>
  <c r="K162" i="2"/>
  <c r="J162" i="2"/>
  <c r="I162" i="2"/>
  <c r="H162" i="2"/>
  <c r="M161" i="2"/>
  <c r="L161" i="2"/>
  <c r="K161" i="2"/>
  <c r="J161" i="2"/>
  <c r="I161" i="2"/>
  <c r="H161" i="2"/>
  <c r="A161" i="2"/>
  <c r="M160" i="2"/>
  <c r="L160" i="2"/>
  <c r="K160" i="2"/>
  <c r="J160" i="2"/>
  <c r="I160" i="2"/>
  <c r="H160" i="2"/>
  <c r="A160" i="2"/>
  <c r="M159" i="2"/>
  <c r="L159" i="2"/>
  <c r="K159" i="2"/>
  <c r="J159" i="2"/>
  <c r="I159" i="2"/>
  <c r="H159" i="2"/>
  <c r="M158" i="2"/>
  <c r="L158" i="2"/>
  <c r="K158" i="2"/>
  <c r="J158" i="2"/>
  <c r="I158" i="2"/>
  <c r="H158" i="2"/>
  <c r="A158" i="2"/>
  <c r="M157" i="2"/>
  <c r="L157" i="2"/>
  <c r="K157" i="2"/>
  <c r="J157" i="2"/>
  <c r="I157" i="2"/>
  <c r="H157" i="2"/>
  <c r="M156" i="2"/>
  <c r="L156" i="2"/>
  <c r="K156" i="2"/>
  <c r="J156" i="2"/>
  <c r="I156" i="2"/>
  <c r="H156" i="2"/>
  <c r="A156" i="2"/>
  <c r="M155" i="2"/>
  <c r="L155" i="2"/>
  <c r="K155" i="2"/>
  <c r="J155" i="2"/>
  <c r="I155" i="2"/>
  <c r="H155" i="2"/>
  <c r="M154" i="2"/>
  <c r="L154" i="2"/>
  <c r="K154" i="2"/>
  <c r="J154" i="2"/>
  <c r="I154" i="2"/>
  <c r="H154" i="2"/>
  <c r="A154" i="2"/>
  <c r="M153" i="2"/>
  <c r="L153" i="2"/>
  <c r="K153" i="2"/>
  <c r="J153" i="2"/>
  <c r="I153" i="2"/>
  <c r="H153" i="2"/>
  <c r="A153" i="2"/>
  <c r="M152" i="2"/>
  <c r="L152" i="2"/>
  <c r="K152" i="2"/>
  <c r="J152" i="2"/>
  <c r="I152" i="2"/>
  <c r="H152" i="2"/>
  <c r="A152" i="2"/>
  <c r="M151" i="2"/>
  <c r="L151" i="2"/>
  <c r="K151" i="2"/>
  <c r="J151" i="2"/>
  <c r="I151" i="2"/>
  <c r="H151" i="2"/>
  <c r="A151" i="2"/>
  <c r="M150" i="2"/>
  <c r="L150" i="2"/>
  <c r="K150" i="2"/>
  <c r="J150" i="2"/>
  <c r="I150" i="2"/>
  <c r="H150" i="2"/>
  <c r="A150" i="2"/>
  <c r="M149" i="2"/>
  <c r="L149" i="2"/>
  <c r="K149" i="2"/>
  <c r="J149" i="2"/>
  <c r="I149" i="2"/>
  <c r="H149" i="2"/>
  <c r="A149" i="2"/>
  <c r="M148" i="2"/>
  <c r="L148" i="2"/>
  <c r="K148" i="2"/>
  <c r="J148" i="2"/>
  <c r="I148" i="2"/>
  <c r="H148" i="2"/>
  <c r="A148" i="2"/>
  <c r="M147" i="2"/>
  <c r="L147" i="2"/>
  <c r="K147" i="2"/>
  <c r="J147" i="2"/>
  <c r="I147" i="2"/>
  <c r="H147" i="2"/>
  <c r="A147" i="2"/>
  <c r="L146" i="2"/>
  <c r="K146" i="2"/>
  <c r="J146" i="2"/>
  <c r="I146" i="2"/>
  <c r="H146" i="2"/>
  <c r="M145" i="2"/>
  <c r="L145" i="2"/>
  <c r="K145" i="2"/>
  <c r="J145" i="2"/>
  <c r="I145" i="2"/>
  <c r="H145" i="2"/>
  <c r="A145" i="2"/>
  <c r="M144" i="2"/>
  <c r="L144" i="2"/>
  <c r="K144" i="2"/>
  <c r="I144" i="2"/>
  <c r="H144" i="2"/>
  <c r="A144" i="2"/>
  <c r="M143" i="2"/>
  <c r="L143" i="2"/>
  <c r="K143" i="2"/>
  <c r="J143" i="2"/>
  <c r="I143" i="2"/>
  <c r="H143" i="2"/>
  <c r="A143" i="2"/>
  <c r="M142" i="2"/>
  <c r="L142" i="2"/>
  <c r="K142" i="2"/>
  <c r="J142" i="2"/>
  <c r="I142" i="2"/>
  <c r="H142" i="2"/>
  <c r="M141" i="2"/>
  <c r="L141" i="2"/>
  <c r="K141" i="2"/>
  <c r="J141" i="2"/>
  <c r="I141" i="2"/>
  <c r="H141" i="2"/>
  <c r="A141" i="2"/>
  <c r="M140" i="2"/>
  <c r="L140" i="2"/>
  <c r="K140" i="2"/>
  <c r="J140" i="2"/>
  <c r="I140" i="2"/>
  <c r="H140" i="2"/>
  <c r="A140" i="2"/>
  <c r="M139" i="2"/>
  <c r="L139" i="2"/>
  <c r="K139" i="2"/>
  <c r="J139" i="2"/>
  <c r="I139" i="2"/>
  <c r="H139" i="2"/>
  <c r="M138" i="2"/>
  <c r="L138" i="2"/>
  <c r="K138" i="2"/>
  <c r="J138" i="2"/>
  <c r="I138" i="2"/>
  <c r="H138" i="2"/>
  <c r="A138" i="2"/>
  <c r="M137" i="2"/>
  <c r="L137" i="2"/>
  <c r="K137" i="2"/>
  <c r="J137" i="2"/>
  <c r="I137" i="2"/>
  <c r="H137" i="2"/>
  <c r="A137" i="2"/>
  <c r="M136" i="2"/>
  <c r="L136" i="2"/>
  <c r="K136" i="2"/>
  <c r="J136" i="2"/>
  <c r="I136" i="2"/>
  <c r="H136" i="2"/>
  <c r="A136" i="2"/>
  <c r="M135" i="2"/>
  <c r="L135" i="2"/>
  <c r="K135" i="2"/>
  <c r="J135" i="2"/>
  <c r="I135" i="2"/>
  <c r="H135" i="2"/>
  <c r="A135" i="2"/>
  <c r="M134" i="2"/>
  <c r="L134" i="2"/>
  <c r="K134" i="2"/>
  <c r="J134" i="2"/>
  <c r="I134" i="2"/>
  <c r="H134" i="2"/>
  <c r="A134" i="2"/>
  <c r="M133" i="2"/>
  <c r="L133" i="2"/>
  <c r="K133" i="2"/>
  <c r="J133" i="2"/>
  <c r="I133" i="2"/>
  <c r="H133" i="2"/>
  <c r="A133" i="2"/>
  <c r="M132" i="2"/>
  <c r="L132" i="2"/>
  <c r="K132" i="2"/>
  <c r="J132" i="2"/>
  <c r="I132" i="2"/>
  <c r="H132" i="2"/>
  <c r="A132" i="2"/>
  <c r="M131" i="2"/>
  <c r="L131" i="2"/>
  <c r="K131" i="2"/>
  <c r="J131" i="2"/>
  <c r="I131" i="2"/>
  <c r="H131" i="2"/>
  <c r="A131" i="2"/>
  <c r="M130" i="2"/>
  <c r="L130" i="2"/>
  <c r="K130" i="2"/>
  <c r="J130" i="2"/>
  <c r="I130" i="2"/>
  <c r="H130" i="2"/>
  <c r="M129" i="2"/>
  <c r="L129" i="2"/>
  <c r="K129" i="2"/>
  <c r="J129" i="2"/>
  <c r="I129" i="2"/>
  <c r="H129" i="2"/>
  <c r="A129" i="2"/>
  <c r="M128" i="2"/>
  <c r="L128" i="2"/>
  <c r="K128" i="2"/>
  <c r="J128" i="2"/>
  <c r="I128" i="2"/>
  <c r="H128" i="2"/>
  <c r="A128" i="2"/>
  <c r="M127" i="2"/>
  <c r="L127" i="2"/>
  <c r="K127" i="2"/>
  <c r="J127" i="2"/>
  <c r="I127" i="2"/>
  <c r="H127" i="2"/>
  <c r="M126" i="2"/>
  <c r="L126" i="2"/>
  <c r="K126" i="2"/>
  <c r="J126" i="2"/>
  <c r="I126" i="2"/>
  <c r="H126" i="2"/>
  <c r="A126" i="2"/>
  <c r="M125" i="2"/>
  <c r="L125" i="2"/>
  <c r="K125" i="2"/>
  <c r="J125" i="2"/>
  <c r="I125" i="2"/>
  <c r="H125" i="2"/>
  <c r="M124" i="2"/>
  <c r="L124" i="2"/>
  <c r="K124" i="2"/>
  <c r="J124" i="2"/>
  <c r="I124" i="2"/>
  <c r="H124" i="2"/>
  <c r="A124" i="2"/>
  <c r="M123" i="2"/>
  <c r="L123" i="2"/>
  <c r="K123" i="2"/>
  <c r="J123" i="2"/>
  <c r="I123" i="2"/>
  <c r="H123" i="2"/>
  <c r="A123" i="2"/>
  <c r="M122" i="2"/>
  <c r="L122" i="2"/>
  <c r="K122" i="2"/>
  <c r="J122" i="2"/>
  <c r="I122" i="2"/>
  <c r="H122" i="2"/>
  <c r="A122" i="2"/>
  <c r="M121" i="2"/>
  <c r="L121" i="2"/>
  <c r="K121" i="2"/>
  <c r="J121" i="2"/>
  <c r="I121" i="2"/>
  <c r="H121" i="2"/>
  <c r="A121" i="2"/>
  <c r="M120" i="2"/>
  <c r="L120" i="2"/>
  <c r="K120" i="2"/>
  <c r="J120" i="2"/>
  <c r="I120" i="2"/>
  <c r="H120" i="2"/>
  <c r="A120" i="2"/>
  <c r="M119" i="2"/>
  <c r="L119" i="2"/>
  <c r="K119" i="2"/>
  <c r="J119" i="2"/>
  <c r="I119" i="2"/>
  <c r="H119" i="2"/>
  <c r="A119" i="2"/>
  <c r="M118" i="2"/>
  <c r="L118" i="2"/>
  <c r="K118" i="2"/>
  <c r="J118" i="2"/>
  <c r="I118" i="2"/>
  <c r="H118" i="2"/>
  <c r="A118" i="2"/>
  <c r="M117" i="2"/>
  <c r="L117" i="2"/>
  <c r="K117" i="2"/>
  <c r="J117" i="2"/>
  <c r="I117" i="2"/>
  <c r="H117" i="2"/>
  <c r="A117" i="2"/>
  <c r="M116" i="2"/>
  <c r="L116" i="2"/>
  <c r="K116" i="2"/>
  <c r="J116" i="2"/>
  <c r="I116" i="2"/>
  <c r="H116" i="2"/>
  <c r="A116" i="2"/>
  <c r="M115" i="2"/>
  <c r="L115" i="2"/>
  <c r="K115" i="2"/>
  <c r="J115" i="2"/>
  <c r="I115" i="2"/>
  <c r="H115" i="2"/>
  <c r="A115" i="2"/>
  <c r="M114" i="2"/>
  <c r="L114" i="2"/>
  <c r="K114" i="2"/>
  <c r="J114" i="2"/>
  <c r="I114" i="2"/>
  <c r="H114" i="2"/>
  <c r="A114" i="2"/>
  <c r="M113" i="2"/>
  <c r="L113" i="2"/>
  <c r="K113" i="2"/>
  <c r="J113" i="2"/>
  <c r="I113" i="2"/>
  <c r="H113" i="2"/>
  <c r="A113" i="2"/>
  <c r="M112" i="2"/>
  <c r="L112" i="2"/>
  <c r="K112" i="2"/>
  <c r="J112" i="2"/>
  <c r="I112" i="2"/>
  <c r="H112" i="2"/>
  <c r="A112" i="2"/>
  <c r="M111" i="2"/>
  <c r="L111" i="2"/>
  <c r="K111" i="2"/>
  <c r="J111" i="2"/>
  <c r="I111" i="2"/>
  <c r="H111" i="2"/>
  <c r="A111" i="2"/>
  <c r="M110" i="2"/>
  <c r="L110" i="2"/>
  <c r="K110" i="2"/>
  <c r="J110" i="2"/>
  <c r="I110" i="2"/>
  <c r="H110" i="2"/>
  <c r="A110" i="2"/>
  <c r="M109" i="2"/>
  <c r="L109" i="2"/>
  <c r="K109" i="2"/>
  <c r="J109" i="2"/>
  <c r="I109" i="2"/>
  <c r="H109" i="2"/>
  <c r="M108" i="2"/>
  <c r="L108" i="2"/>
  <c r="K108" i="2"/>
  <c r="J108" i="2"/>
  <c r="I108" i="2"/>
  <c r="H108" i="2"/>
  <c r="A108" i="2"/>
  <c r="M107" i="2"/>
  <c r="L107" i="2"/>
  <c r="K107" i="2"/>
  <c r="J107" i="2"/>
  <c r="I107" i="2"/>
  <c r="H107" i="2"/>
  <c r="M106" i="2"/>
  <c r="L106" i="2"/>
  <c r="K106" i="2"/>
  <c r="J106" i="2"/>
  <c r="I106" i="2"/>
  <c r="H106" i="2"/>
  <c r="A106" i="2"/>
  <c r="M105" i="2"/>
  <c r="L105" i="2"/>
  <c r="K105" i="2"/>
  <c r="J105" i="2"/>
  <c r="I105" i="2"/>
  <c r="H105" i="2"/>
  <c r="A105" i="2"/>
  <c r="M104" i="2"/>
  <c r="L104" i="2"/>
  <c r="K104" i="2"/>
  <c r="J104" i="2"/>
  <c r="I104" i="2"/>
  <c r="H104" i="2"/>
  <c r="A104" i="2"/>
  <c r="M103" i="2"/>
  <c r="L103" i="2"/>
  <c r="K103" i="2"/>
  <c r="J103" i="2"/>
  <c r="I103" i="2"/>
  <c r="H103" i="2"/>
  <c r="A103" i="2"/>
  <c r="M102" i="2"/>
  <c r="L102" i="2"/>
  <c r="K102" i="2"/>
  <c r="J102" i="2"/>
  <c r="I102" i="2"/>
  <c r="H102" i="2"/>
  <c r="M101" i="2"/>
  <c r="L101" i="2"/>
  <c r="K101" i="2"/>
  <c r="J101" i="2"/>
  <c r="I101" i="2"/>
  <c r="H101" i="2"/>
  <c r="A101" i="2"/>
  <c r="M100" i="2"/>
  <c r="L100" i="2"/>
  <c r="K100" i="2"/>
  <c r="J100" i="2"/>
  <c r="I100" i="2"/>
  <c r="H100" i="2"/>
  <c r="M99" i="2"/>
  <c r="L99" i="2"/>
  <c r="K99" i="2"/>
  <c r="J99" i="2"/>
  <c r="I99" i="2"/>
  <c r="H99" i="2"/>
  <c r="A99" i="2"/>
  <c r="M98" i="2"/>
  <c r="L98" i="2"/>
  <c r="K98" i="2"/>
  <c r="J98" i="2"/>
  <c r="I98" i="2"/>
  <c r="H98" i="2"/>
  <c r="M97" i="2"/>
  <c r="L97" i="2"/>
  <c r="K97" i="2"/>
  <c r="J97" i="2"/>
  <c r="I97" i="2"/>
  <c r="H97" i="2"/>
  <c r="A97" i="2"/>
  <c r="M96" i="2"/>
  <c r="L96" i="2"/>
  <c r="K96" i="2"/>
  <c r="J96" i="2"/>
  <c r="I96" i="2"/>
  <c r="H96" i="2"/>
  <c r="M95" i="2"/>
  <c r="L95" i="2"/>
  <c r="K95" i="2"/>
  <c r="J95" i="2"/>
  <c r="I95" i="2"/>
  <c r="H95" i="2"/>
  <c r="A95" i="2"/>
  <c r="M94" i="2"/>
  <c r="L94" i="2"/>
  <c r="K94" i="2"/>
  <c r="J94" i="2"/>
  <c r="I94" i="2"/>
  <c r="H94" i="2"/>
  <c r="A94" i="2"/>
  <c r="M93" i="2"/>
  <c r="L93" i="2"/>
  <c r="K93" i="2"/>
  <c r="J93" i="2"/>
  <c r="I93" i="2"/>
  <c r="H93" i="2"/>
  <c r="A93" i="2"/>
  <c r="M92" i="2"/>
  <c r="L92" i="2"/>
  <c r="K92" i="2"/>
  <c r="J92" i="2"/>
  <c r="I92" i="2"/>
  <c r="H92" i="2"/>
  <c r="A92" i="2"/>
  <c r="M91" i="2"/>
  <c r="L91" i="2"/>
  <c r="K91" i="2"/>
  <c r="J91" i="2"/>
  <c r="I91" i="2"/>
  <c r="H91" i="2"/>
  <c r="A91" i="2"/>
  <c r="M90" i="2"/>
  <c r="L90" i="2"/>
  <c r="K90" i="2"/>
  <c r="J90" i="2"/>
  <c r="I90" i="2"/>
  <c r="H90" i="2"/>
  <c r="A90" i="2"/>
  <c r="M89" i="2"/>
  <c r="L89" i="2"/>
  <c r="K89" i="2"/>
  <c r="J89" i="2"/>
  <c r="I89" i="2"/>
  <c r="H89" i="2"/>
  <c r="A89" i="2"/>
  <c r="M88" i="2"/>
  <c r="L88" i="2"/>
  <c r="K88" i="2"/>
  <c r="J88" i="2"/>
  <c r="I88" i="2"/>
  <c r="H88" i="2"/>
  <c r="M87" i="2"/>
  <c r="L87" i="2"/>
  <c r="K87" i="2"/>
  <c r="J87" i="2"/>
  <c r="I87" i="2"/>
  <c r="H87" i="2"/>
  <c r="A87" i="2"/>
  <c r="M86" i="2"/>
  <c r="L86" i="2"/>
  <c r="K86" i="2"/>
  <c r="J86" i="2"/>
  <c r="I86" i="2"/>
  <c r="H86" i="2"/>
  <c r="M85" i="2"/>
  <c r="L85" i="2"/>
  <c r="K85" i="2"/>
  <c r="J85" i="2"/>
  <c r="I85" i="2"/>
  <c r="H85" i="2"/>
  <c r="A85" i="2"/>
  <c r="M84" i="2"/>
  <c r="L84" i="2"/>
  <c r="K84" i="2"/>
  <c r="J84" i="2"/>
  <c r="I84" i="2"/>
  <c r="H84" i="2"/>
  <c r="M83" i="2"/>
  <c r="L83" i="2"/>
  <c r="K83" i="2"/>
  <c r="J83" i="2"/>
  <c r="I83" i="2"/>
  <c r="H83" i="2"/>
  <c r="A83" i="2"/>
  <c r="M82" i="2"/>
  <c r="L82" i="2"/>
  <c r="K82" i="2"/>
  <c r="J82" i="2"/>
  <c r="I82" i="2"/>
  <c r="H82" i="2"/>
  <c r="M81" i="2"/>
  <c r="L81" i="2"/>
  <c r="K81" i="2"/>
  <c r="J81" i="2"/>
  <c r="I81" i="2"/>
  <c r="H81" i="2"/>
  <c r="A81" i="2"/>
  <c r="M80" i="2"/>
  <c r="L80" i="2"/>
  <c r="K80" i="2"/>
  <c r="J80" i="2"/>
  <c r="I80" i="2"/>
  <c r="H80" i="2"/>
  <c r="M79" i="2"/>
  <c r="L79" i="2"/>
  <c r="K79" i="2"/>
  <c r="J79" i="2"/>
  <c r="I79" i="2"/>
  <c r="H79" i="2"/>
  <c r="A79" i="2"/>
  <c r="M78" i="2"/>
  <c r="L78" i="2"/>
  <c r="K78" i="2"/>
  <c r="J78" i="2"/>
  <c r="I78" i="2"/>
  <c r="H78" i="2"/>
  <c r="A78" i="2"/>
  <c r="M77" i="2"/>
  <c r="L77" i="2"/>
  <c r="K77" i="2"/>
  <c r="J77" i="2"/>
  <c r="I77" i="2"/>
  <c r="H77" i="2"/>
  <c r="A77" i="2"/>
  <c r="M76" i="2"/>
  <c r="L76" i="2"/>
  <c r="K76" i="2"/>
  <c r="J76" i="2"/>
  <c r="I76" i="2"/>
  <c r="H76" i="2"/>
  <c r="M75" i="2"/>
  <c r="L75" i="2"/>
  <c r="K75" i="2"/>
  <c r="J75" i="2"/>
  <c r="I75" i="2"/>
  <c r="H75" i="2"/>
  <c r="A75" i="2"/>
  <c r="M74" i="2"/>
  <c r="L74" i="2"/>
  <c r="K74" i="2"/>
  <c r="J74" i="2"/>
  <c r="I74" i="2"/>
  <c r="H74" i="2"/>
  <c r="A74" i="2"/>
  <c r="M73" i="2"/>
  <c r="L73" i="2"/>
  <c r="K73" i="2"/>
  <c r="J73" i="2"/>
  <c r="I73" i="2"/>
  <c r="H73" i="2"/>
  <c r="A73" i="2"/>
  <c r="M72" i="2"/>
  <c r="L72" i="2"/>
  <c r="K72" i="2"/>
  <c r="J72" i="2"/>
  <c r="I72" i="2"/>
  <c r="H72" i="2"/>
  <c r="M71" i="2"/>
  <c r="L71" i="2"/>
  <c r="K71" i="2"/>
  <c r="J71" i="2"/>
  <c r="I71" i="2"/>
  <c r="H71" i="2"/>
  <c r="A71" i="2"/>
  <c r="M70" i="2"/>
  <c r="L70" i="2"/>
  <c r="K70" i="2"/>
  <c r="J70" i="2"/>
  <c r="I70" i="2"/>
  <c r="H70" i="2"/>
  <c r="A70" i="2"/>
  <c r="M69" i="2"/>
  <c r="L69" i="2"/>
  <c r="K69" i="2"/>
  <c r="J69" i="2"/>
  <c r="I69" i="2"/>
  <c r="H69" i="2"/>
  <c r="A69" i="2"/>
  <c r="M68" i="2"/>
  <c r="L68" i="2"/>
  <c r="K68" i="2"/>
  <c r="J68" i="2"/>
  <c r="I68" i="2"/>
  <c r="H68" i="2"/>
  <c r="A68" i="2"/>
  <c r="M67" i="2"/>
  <c r="L67" i="2"/>
  <c r="K67" i="2"/>
  <c r="J67" i="2"/>
  <c r="I67" i="2"/>
  <c r="H67" i="2"/>
  <c r="M66" i="2"/>
  <c r="L66" i="2"/>
  <c r="K66" i="2"/>
  <c r="J66" i="2"/>
  <c r="I66" i="2"/>
  <c r="H66" i="2"/>
  <c r="A66" i="2"/>
  <c r="M65" i="2"/>
  <c r="L65" i="2"/>
  <c r="K65" i="2"/>
  <c r="J65" i="2"/>
  <c r="I65" i="2"/>
  <c r="H65" i="2"/>
  <c r="A65" i="2"/>
  <c r="M64" i="2"/>
  <c r="L64" i="2"/>
  <c r="K64" i="2"/>
  <c r="J64" i="2"/>
  <c r="I64" i="2"/>
  <c r="H64" i="2"/>
  <c r="M63" i="2"/>
  <c r="L63" i="2"/>
  <c r="K63" i="2"/>
  <c r="J63" i="2"/>
  <c r="I63" i="2"/>
  <c r="H63" i="2"/>
  <c r="A63" i="2"/>
  <c r="M62" i="2"/>
  <c r="L62" i="2"/>
  <c r="K62" i="2"/>
  <c r="J62" i="2"/>
  <c r="I62" i="2"/>
  <c r="H62" i="2"/>
  <c r="A62" i="2"/>
  <c r="M61" i="2"/>
  <c r="L61" i="2"/>
  <c r="K61" i="2"/>
  <c r="J61" i="2"/>
  <c r="I61" i="2"/>
  <c r="H61" i="2"/>
  <c r="F61" i="2"/>
  <c r="C61" i="2"/>
  <c r="M60" i="2"/>
  <c r="L60" i="2"/>
  <c r="K60" i="2"/>
  <c r="J60" i="2"/>
  <c r="I60" i="2"/>
  <c r="H60" i="2"/>
  <c r="A60" i="2"/>
  <c r="M59" i="2"/>
  <c r="L59" i="2"/>
  <c r="K59" i="2"/>
  <c r="J59" i="2"/>
  <c r="I59" i="2"/>
  <c r="H59" i="2"/>
  <c r="A59" i="2"/>
  <c r="M58" i="2"/>
  <c r="L58" i="2"/>
  <c r="K58" i="2"/>
  <c r="J58" i="2"/>
  <c r="I58" i="2"/>
  <c r="H58" i="2"/>
  <c r="A58" i="2"/>
  <c r="M57" i="2"/>
  <c r="L57" i="2"/>
  <c r="K57" i="2"/>
  <c r="J57" i="2"/>
  <c r="I57" i="2"/>
  <c r="H57" i="2"/>
  <c r="A57" i="2"/>
  <c r="M56" i="2"/>
  <c r="L56" i="2"/>
  <c r="K56" i="2"/>
  <c r="J56" i="2"/>
  <c r="I56" i="2"/>
  <c r="H56" i="2"/>
  <c r="A56" i="2"/>
  <c r="M55" i="2"/>
  <c r="L55" i="2"/>
  <c r="K55" i="2"/>
  <c r="J55" i="2"/>
  <c r="I55" i="2"/>
  <c r="H55" i="2"/>
  <c r="A55" i="2"/>
  <c r="M54" i="2"/>
  <c r="L54" i="2"/>
  <c r="K54" i="2"/>
  <c r="J54" i="2"/>
  <c r="I54" i="2"/>
  <c r="H54" i="2"/>
  <c r="M53" i="2"/>
  <c r="L53" i="2"/>
  <c r="K53" i="2"/>
  <c r="J53" i="2"/>
  <c r="I53" i="2"/>
  <c r="H53" i="2"/>
  <c r="A53" i="2"/>
  <c r="M52" i="2"/>
  <c r="L52" i="2"/>
  <c r="K52" i="2"/>
  <c r="J52" i="2"/>
  <c r="I52" i="2"/>
  <c r="H52" i="2"/>
  <c r="A52" i="2"/>
  <c r="M51" i="2"/>
  <c r="L51" i="2"/>
  <c r="K51" i="2"/>
  <c r="J51" i="2"/>
  <c r="I51" i="2"/>
  <c r="H51" i="2"/>
  <c r="A51" i="2"/>
  <c r="M50" i="2"/>
  <c r="H50" i="2"/>
  <c r="A50" i="2"/>
  <c r="L49" i="2"/>
  <c r="J49" i="2"/>
  <c r="I49" i="2"/>
  <c r="H49" i="2"/>
  <c r="G49" i="2"/>
  <c r="A49" i="2"/>
  <c r="M48" i="2"/>
  <c r="L48" i="2"/>
  <c r="K48" i="2"/>
  <c r="J48" i="2"/>
  <c r="I48" i="2"/>
  <c r="H48" i="2"/>
  <c r="A48" i="2"/>
  <c r="M47" i="2"/>
  <c r="L47" i="2"/>
  <c r="K47" i="2"/>
  <c r="J47" i="2"/>
  <c r="I47" i="2"/>
  <c r="H47" i="2"/>
  <c r="A47" i="2"/>
  <c r="M46" i="2"/>
  <c r="L46" i="2"/>
  <c r="K46" i="2"/>
  <c r="J46" i="2"/>
  <c r="I46" i="2"/>
  <c r="H46" i="2"/>
  <c r="A46" i="2"/>
  <c r="M45" i="2"/>
  <c r="L45" i="2"/>
  <c r="K45" i="2"/>
  <c r="J45" i="2"/>
  <c r="I45" i="2"/>
  <c r="H45" i="2"/>
  <c r="A45" i="2"/>
  <c r="M44" i="2"/>
  <c r="L44" i="2"/>
  <c r="K44" i="2"/>
  <c r="J44" i="2"/>
  <c r="I44" i="2"/>
  <c r="H44" i="2"/>
  <c r="A44" i="2"/>
  <c r="M43" i="2"/>
  <c r="L43" i="2"/>
  <c r="K43" i="2"/>
  <c r="J43" i="2"/>
  <c r="I43" i="2"/>
  <c r="H43" i="2"/>
  <c r="M42" i="2"/>
  <c r="L42" i="2"/>
  <c r="K42" i="2"/>
  <c r="J42" i="2"/>
  <c r="I42" i="2"/>
  <c r="H42" i="2"/>
  <c r="A42" i="2"/>
  <c r="M41" i="2"/>
  <c r="L41" i="2"/>
  <c r="K41" i="2"/>
  <c r="J41" i="2"/>
  <c r="I41" i="2"/>
  <c r="H41" i="2"/>
  <c r="G41" i="2"/>
  <c r="A41" i="2"/>
  <c r="M40" i="2"/>
  <c r="L40" i="2"/>
  <c r="K40" i="2"/>
  <c r="J40" i="2"/>
  <c r="I40" i="2"/>
  <c r="H40" i="2"/>
  <c r="A40" i="2"/>
  <c r="M39" i="2"/>
  <c r="L39" i="2"/>
  <c r="K39" i="2"/>
  <c r="J39" i="2"/>
  <c r="I39" i="2"/>
  <c r="H39" i="2"/>
  <c r="M38" i="2"/>
  <c r="L38" i="2"/>
  <c r="K38" i="2"/>
  <c r="J38" i="2"/>
  <c r="I38" i="2"/>
  <c r="H38" i="2"/>
  <c r="A38" i="2"/>
  <c r="M37" i="2"/>
  <c r="L37" i="2"/>
  <c r="K37" i="2"/>
  <c r="J37" i="2"/>
  <c r="I37" i="2"/>
  <c r="H37" i="2"/>
  <c r="A37" i="2"/>
  <c r="M36" i="2"/>
  <c r="L36" i="2"/>
  <c r="K36" i="2"/>
  <c r="J36" i="2"/>
  <c r="I36" i="2"/>
  <c r="H36" i="2"/>
  <c r="A36" i="2"/>
  <c r="M35" i="2"/>
  <c r="L35" i="2"/>
  <c r="K35" i="2"/>
  <c r="J35" i="2"/>
  <c r="I35" i="2"/>
  <c r="H35" i="2"/>
  <c r="A35" i="2"/>
  <c r="M34" i="2"/>
  <c r="L34" i="2"/>
  <c r="K34" i="2"/>
  <c r="J34" i="2"/>
  <c r="I34" i="2"/>
  <c r="H34" i="2"/>
  <c r="A34" i="2"/>
  <c r="M33" i="2"/>
  <c r="L33" i="2"/>
  <c r="K33" i="2"/>
  <c r="J33" i="2"/>
  <c r="I33" i="2"/>
  <c r="H33" i="2"/>
  <c r="A33" i="2"/>
  <c r="M32" i="2"/>
  <c r="L32" i="2"/>
  <c r="K32" i="2"/>
  <c r="J32" i="2"/>
  <c r="I32" i="2"/>
  <c r="H32" i="2"/>
  <c r="A32" i="2"/>
  <c r="M31" i="2"/>
  <c r="L31" i="2"/>
  <c r="K31" i="2"/>
  <c r="J31" i="2"/>
  <c r="I31" i="2"/>
  <c r="H31" i="2"/>
  <c r="A31" i="2"/>
  <c r="M30" i="2"/>
  <c r="L30" i="2"/>
  <c r="K30" i="2"/>
  <c r="J30" i="2"/>
  <c r="I30" i="2"/>
  <c r="H30" i="2"/>
  <c r="A30" i="2"/>
  <c r="M29" i="2"/>
  <c r="L29" i="2"/>
  <c r="I29" i="2"/>
  <c r="H29" i="2"/>
  <c r="A29" i="2"/>
  <c r="M28" i="2"/>
  <c r="L28" i="2"/>
  <c r="I28" i="2"/>
  <c r="H28" i="2"/>
  <c r="A28" i="2"/>
  <c r="M27" i="2"/>
  <c r="H27" i="2"/>
  <c r="A27" i="2"/>
  <c r="M26" i="2"/>
  <c r="L26" i="2"/>
  <c r="K26" i="2"/>
  <c r="J26" i="2"/>
  <c r="I26" i="2"/>
  <c r="H26" i="2"/>
  <c r="M25" i="2"/>
  <c r="L25" i="2"/>
  <c r="K25" i="2"/>
  <c r="J25" i="2"/>
  <c r="I25" i="2"/>
  <c r="H25" i="2"/>
  <c r="A25" i="2"/>
  <c r="M24" i="2"/>
  <c r="L24" i="2"/>
  <c r="K24" i="2"/>
  <c r="J24" i="2"/>
  <c r="I24" i="2"/>
  <c r="H24" i="2"/>
  <c r="M23" i="2"/>
  <c r="L23" i="2"/>
  <c r="K23" i="2"/>
  <c r="J23" i="2"/>
  <c r="I23" i="2"/>
  <c r="H23" i="2"/>
  <c r="A23" i="2"/>
  <c r="M22" i="2"/>
  <c r="L22" i="2"/>
  <c r="K22" i="2"/>
  <c r="J22" i="2"/>
  <c r="I22" i="2"/>
  <c r="H22" i="2"/>
  <c r="M21" i="2"/>
  <c r="L21" i="2"/>
  <c r="K21" i="2"/>
  <c r="J21" i="2"/>
  <c r="I21" i="2"/>
  <c r="H21" i="2"/>
  <c r="A21" i="2"/>
  <c r="M20" i="2"/>
  <c r="L20" i="2"/>
  <c r="K20" i="2"/>
  <c r="J20" i="2"/>
  <c r="I20" i="2"/>
  <c r="H20" i="2"/>
  <c r="M19" i="2"/>
  <c r="L19" i="2"/>
  <c r="K19" i="2"/>
  <c r="J19" i="2"/>
  <c r="I19" i="2"/>
  <c r="H19" i="2"/>
  <c r="A19" i="2"/>
  <c r="M18" i="2"/>
  <c r="L18" i="2"/>
  <c r="K18" i="2"/>
  <c r="J18" i="2"/>
  <c r="I18" i="2"/>
  <c r="H18" i="2"/>
  <c r="A18" i="2"/>
  <c r="M17" i="2"/>
  <c r="L17" i="2"/>
  <c r="K17" i="2"/>
  <c r="J17" i="2"/>
  <c r="I17" i="2"/>
  <c r="H17" i="2"/>
  <c r="A17" i="2"/>
  <c r="M16" i="2"/>
  <c r="L16" i="2"/>
  <c r="K16" i="2"/>
  <c r="J16" i="2"/>
  <c r="I16" i="2"/>
  <c r="H16" i="2"/>
  <c r="A16" i="2"/>
  <c r="M15" i="2"/>
  <c r="L15" i="2"/>
  <c r="K15" i="2"/>
  <c r="J15" i="2"/>
  <c r="I15" i="2"/>
  <c r="H15" i="2"/>
  <c r="A15" i="2"/>
  <c r="M14" i="2"/>
  <c r="L14" i="2"/>
  <c r="K14" i="2"/>
  <c r="J14" i="2"/>
  <c r="I14" i="2"/>
  <c r="H14" i="2"/>
  <c r="M13" i="2"/>
  <c r="L13" i="2"/>
  <c r="K13" i="2"/>
  <c r="J13" i="2"/>
  <c r="I13" i="2"/>
  <c r="H13" i="2"/>
  <c r="A13" i="2"/>
  <c r="M12" i="2"/>
  <c r="L12" i="2"/>
  <c r="K12" i="2"/>
  <c r="J12" i="2"/>
  <c r="I12" i="2"/>
  <c r="H12" i="2"/>
  <c r="M11" i="2"/>
  <c r="L11" i="2"/>
  <c r="K11" i="2"/>
  <c r="J11" i="2"/>
  <c r="I11" i="2"/>
  <c r="H11" i="2"/>
  <c r="A11" i="2"/>
  <c r="M10" i="2"/>
  <c r="L10" i="2"/>
  <c r="K10" i="2"/>
  <c r="J10" i="2"/>
  <c r="I10" i="2"/>
  <c r="H10" i="2"/>
  <c r="M9" i="2"/>
  <c r="L9" i="2"/>
  <c r="K9" i="2"/>
  <c r="J9" i="2"/>
  <c r="I9" i="2"/>
  <c r="H9" i="2"/>
  <c r="A9" i="2"/>
  <c r="M8" i="2"/>
  <c r="L8" i="2"/>
  <c r="K8" i="2"/>
  <c r="J8" i="2"/>
  <c r="I8" i="2"/>
  <c r="H8" i="2"/>
  <c r="M7" i="2"/>
  <c r="L7" i="2"/>
  <c r="K7" i="2"/>
  <c r="J7" i="2"/>
  <c r="I7" i="2"/>
  <c r="H7" i="2"/>
  <c r="A7" i="2"/>
  <c r="M6" i="2"/>
  <c r="L6" i="2"/>
  <c r="K6" i="2"/>
  <c r="J6" i="2"/>
  <c r="I6" i="2"/>
  <c r="H6" i="2"/>
  <c r="M5" i="2"/>
  <c r="L5" i="2"/>
  <c r="K5" i="2"/>
  <c r="J5" i="2"/>
  <c r="I5" i="2"/>
  <c r="H5" i="2"/>
  <c r="A5" i="2"/>
  <c r="M4" i="2"/>
  <c r="L4" i="2"/>
  <c r="K4" i="2"/>
  <c r="J4" i="2"/>
  <c r="I4" i="2"/>
  <c r="H4" i="2"/>
  <c r="M3" i="2"/>
  <c r="L3" i="2"/>
  <c r="K3" i="2"/>
  <c r="J3" i="2"/>
  <c r="I3" i="2"/>
  <c r="H3" i="2"/>
  <c r="A3" i="2"/>
  <c r="M2" i="2"/>
  <c r="L2" i="2"/>
  <c r="K2" i="2"/>
  <c r="J2" i="2"/>
  <c r="I2" i="2"/>
  <c r="H2" i="2"/>
  <c r="A2" i="2"/>
  <c r="Q95" i="1"/>
  <c r="O95" i="1"/>
  <c r="N95" i="1"/>
  <c r="M95" i="1"/>
  <c r="L95" i="1"/>
  <c r="K95" i="1"/>
  <c r="J95" i="1"/>
  <c r="I95" i="1"/>
  <c r="H95" i="1"/>
  <c r="F95" i="1"/>
  <c r="C95" i="1"/>
  <c r="Q94" i="1"/>
  <c r="O94" i="1"/>
  <c r="N94" i="1"/>
  <c r="M94" i="1"/>
  <c r="L94" i="1"/>
  <c r="K94" i="1"/>
  <c r="J94" i="1"/>
  <c r="I94" i="1"/>
  <c r="H94" i="1"/>
  <c r="F94" i="1"/>
  <c r="C94" i="1"/>
  <c r="Q93" i="1"/>
  <c r="L93" i="1"/>
  <c r="K93" i="1"/>
  <c r="J93" i="1"/>
  <c r="I93" i="1"/>
  <c r="H93" i="1"/>
  <c r="Q92" i="1"/>
  <c r="M92" i="1"/>
  <c r="L92" i="1"/>
  <c r="K92" i="1"/>
  <c r="J92" i="1"/>
  <c r="I92" i="1"/>
  <c r="H92" i="1"/>
  <c r="Q91" i="1"/>
  <c r="M91" i="1"/>
  <c r="L91" i="1"/>
  <c r="K91" i="1"/>
  <c r="J91" i="1"/>
  <c r="I91" i="1"/>
  <c r="H91" i="1"/>
  <c r="Q90" i="1"/>
  <c r="M90" i="1"/>
  <c r="L90" i="1"/>
  <c r="K90" i="1"/>
  <c r="J90" i="1"/>
  <c r="I90" i="1"/>
  <c r="H90" i="1"/>
  <c r="Q89" i="1"/>
  <c r="M89" i="1"/>
  <c r="L89" i="1"/>
  <c r="K89" i="1"/>
  <c r="J89" i="1"/>
  <c r="I89" i="1"/>
  <c r="H89" i="1"/>
  <c r="Q88" i="1"/>
  <c r="M88" i="1"/>
  <c r="L88" i="1"/>
  <c r="K88" i="1"/>
  <c r="J88" i="1"/>
  <c r="I88" i="1"/>
  <c r="H88" i="1"/>
  <c r="Q87" i="1"/>
  <c r="M87" i="1"/>
  <c r="L87" i="1"/>
  <c r="K87" i="1"/>
  <c r="J87" i="1"/>
  <c r="I87" i="1"/>
  <c r="H87" i="1"/>
  <c r="Q86" i="1"/>
  <c r="M86" i="1"/>
  <c r="L86" i="1"/>
  <c r="K86" i="1"/>
  <c r="J86" i="1"/>
  <c r="I86" i="1"/>
  <c r="H86" i="1"/>
  <c r="Q85" i="1"/>
  <c r="M85" i="1"/>
  <c r="L85" i="1"/>
  <c r="J85" i="1"/>
  <c r="I85" i="1"/>
  <c r="H85" i="1"/>
  <c r="Q84" i="1"/>
  <c r="M84" i="1"/>
  <c r="L84" i="1"/>
  <c r="K84" i="1"/>
  <c r="J84" i="1"/>
  <c r="I84" i="1"/>
  <c r="H84" i="1"/>
  <c r="Q83" i="1"/>
  <c r="M83" i="1"/>
  <c r="L83" i="1"/>
  <c r="K83" i="1"/>
  <c r="J83" i="1"/>
  <c r="I83" i="1"/>
  <c r="H83" i="1"/>
  <c r="Q82" i="1"/>
  <c r="M82" i="1"/>
  <c r="L82" i="1"/>
  <c r="K82" i="1"/>
  <c r="J82" i="1"/>
  <c r="I82" i="1"/>
  <c r="H82" i="1"/>
  <c r="Q81" i="1"/>
  <c r="M81" i="1"/>
  <c r="L81" i="1"/>
  <c r="K81" i="1"/>
  <c r="J81" i="1"/>
  <c r="I81" i="1"/>
  <c r="H81" i="1"/>
  <c r="Q80" i="1"/>
  <c r="O80" i="1"/>
  <c r="N80" i="1"/>
  <c r="M80" i="1"/>
  <c r="L80" i="1"/>
  <c r="K80" i="1"/>
  <c r="J80" i="1"/>
  <c r="I80" i="1"/>
  <c r="H80" i="1"/>
  <c r="F80" i="1"/>
  <c r="C80" i="1"/>
  <c r="L79" i="1"/>
  <c r="H79" i="1"/>
  <c r="L78" i="1"/>
  <c r="H78" i="1"/>
  <c r="L77" i="1"/>
  <c r="H77" i="1"/>
  <c r="L76" i="1"/>
  <c r="H76" i="1"/>
  <c r="L75" i="1"/>
  <c r="H75" i="1"/>
  <c r="Q74" i="1"/>
  <c r="M74" i="1"/>
  <c r="L74" i="1"/>
  <c r="J74" i="1"/>
  <c r="I74" i="1"/>
  <c r="H74" i="1"/>
  <c r="G74" i="1"/>
  <c r="Q73" i="1"/>
  <c r="M73" i="1"/>
  <c r="L73" i="1"/>
  <c r="K73" i="1"/>
  <c r="J73" i="1"/>
  <c r="I73" i="1"/>
  <c r="H73" i="1"/>
  <c r="Q72" i="1"/>
  <c r="M72" i="1"/>
  <c r="L72" i="1"/>
  <c r="K72" i="1"/>
  <c r="J72" i="1"/>
  <c r="I72" i="1"/>
  <c r="H72" i="1"/>
  <c r="Q71" i="1"/>
  <c r="M71" i="1"/>
  <c r="L71" i="1"/>
  <c r="K71" i="1"/>
  <c r="J71" i="1"/>
  <c r="I71" i="1"/>
  <c r="H71" i="1"/>
  <c r="Q70" i="1"/>
  <c r="M70" i="1"/>
  <c r="L70" i="1"/>
  <c r="K70" i="1"/>
  <c r="J70" i="1"/>
  <c r="I70" i="1"/>
  <c r="H70" i="1"/>
  <c r="Q69" i="1"/>
  <c r="M69" i="1"/>
  <c r="L69" i="1"/>
  <c r="K69" i="1"/>
  <c r="J69" i="1"/>
  <c r="I69" i="1"/>
  <c r="H69" i="1"/>
  <c r="Q68" i="1"/>
  <c r="M68" i="1"/>
  <c r="L68" i="1"/>
  <c r="K68" i="1"/>
  <c r="J68" i="1"/>
  <c r="I68" i="1"/>
  <c r="H68" i="1"/>
  <c r="Q67" i="1"/>
  <c r="M67" i="1"/>
  <c r="L67" i="1"/>
  <c r="K67" i="1"/>
  <c r="J67" i="1"/>
  <c r="I67" i="1"/>
  <c r="H67" i="1"/>
  <c r="Q66" i="1"/>
  <c r="M66" i="1"/>
  <c r="L66" i="1"/>
  <c r="K66" i="1"/>
  <c r="J66" i="1"/>
  <c r="I66" i="1"/>
  <c r="H66" i="1"/>
  <c r="Q65" i="1"/>
  <c r="M65" i="1"/>
  <c r="L65" i="1"/>
  <c r="K65" i="1"/>
  <c r="J65" i="1"/>
  <c r="I65" i="1"/>
  <c r="H65" i="1"/>
  <c r="H64" i="1"/>
  <c r="Q63" i="1"/>
  <c r="M63" i="1"/>
  <c r="L63" i="1"/>
  <c r="J63" i="1"/>
  <c r="I63" i="1"/>
  <c r="H63" i="1"/>
  <c r="Q62" i="1"/>
  <c r="M62" i="1"/>
  <c r="L62" i="1"/>
  <c r="K62" i="1"/>
  <c r="J62" i="1"/>
  <c r="I62" i="1"/>
  <c r="H62" i="1"/>
  <c r="Q61" i="1"/>
  <c r="L61" i="1"/>
  <c r="K61" i="1"/>
  <c r="J61" i="1"/>
  <c r="I61" i="1"/>
  <c r="H61" i="1"/>
  <c r="Q60" i="1"/>
  <c r="L60" i="1"/>
  <c r="J60" i="1"/>
  <c r="I60" i="1"/>
  <c r="H60" i="1"/>
  <c r="Q59" i="1"/>
  <c r="L59" i="1"/>
  <c r="K59" i="1"/>
  <c r="J59" i="1"/>
  <c r="I59" i="1"/>
  <c r="H59" i="1"/>
  <c r="L58" i="1"/>
  <c r="H58" i="1"/>
  <c r="L57" i="1"/>
  <c r="H57" i="1"/>
  <c r="Q56" i="1"/>
  <c r="M56" i="1"/>
  <c r="L56" i="1"/>
  <c r="K56" i="1"/>
  <c r="J56" i="1"/>
  <c r="I56" i="1"/>
  <c r="H56" i="1"/>
  <c r="Q55" i="1"/>
  <c r="M55" i="1"/>
  <c r="L55" i="1"/>
  <c r="K55" i="1"/>
  <c r="J55" i="1"/>
  <c r="I55" i="1"/>
  <c r="H55" i="1"/>
  <c r="Q54" i="1"/>
  <c r="M54" i="1"/>
  <c r="L54" i="1"/>
  <c r="K54" i="1"/>
  <c r="J54" i="1"/>
  <c r="I54" i="1"/>
  <c r="H54" i="1"/>
  <c r="Q53" i="1"/>
  <c r="L53" i="1"/>
  <c r="K53" i="1"/>
  <c r="Q52" i="1"/>
  <c r="M52" i="1"/>
  <c r="L52" i="1"/>
  <c r="K52" i="1"/>
  <c r="J52" i="1"/>
  <c r="I52" i="1"/>
  <c r="H52" i="1"/>
  <c r="Q51" i="1"/>
  <c r="M51" i="1"/>
  <c r="L51" i="1"/>
  <c r="K51" i="1"/>
  <c r="J51" i="1"/>
  <c r="I51" i="1"/>
  <c r="H51" i="1"/>
  <c r="Q50" i="1"/>
  <c r="O50" i="1"/>
  <c r="N50" i="1"/>
  <c r="M50" i="1"/>
  <c r="L50" i="1"/>
  <c r="K50" i="1"/>
  <c r="J50" i="1"/>
  <c r="I50" i="1"/>
  <c r="H50" i="1"/>
  <c r="G50" i="1"/>
  <c r="F50" i="1"/>
  <c r="C50" i="1"/>
  <c r="Q49" i="1"/>
  <c r="M49" i="1"/>
  <c r="L49" i="1"/>
  <c r="K49" i="1"/>
  <c r="J49" i="1"/>
  <c r="I49" i="1"/>
  <c r="H49" i="1"/>
  <c r="Q48" i="1"/>
  <c r="M48" i="1"/>
  <c r="L48" i="1"/>
  <c r="K48" i="1"/>
  <c r="J48" i="1"/>
  <c r="I48" i="1"/>
  <c r="H48" i="1"/>
  <c r="Q47" i="1"/>
  <c r="M47" i="1"/>
  <c r="L47" i="1"/>
  <c r="K47" i="1"/>
  <c r="J47" i="1"/>
  <c r="I47" i="1"/>
  <c r="H47" i="1"/>
  <c r="Q46" i="1"/>
  <c r="M46" i="1"/>
  <c r="L46" i="1"/>
  <c r="K46" i="1"/>
  <c r="J46" i="1"/>
  <c r="I46" i="1"/>
  <c r="H46" i="1"/>
  <c r="Q45" i="1"/>
  <c r="M45" i="1"/>
  <c r="L45" i="1"/>
  <c r="K45" i="1"/>
  <c r="J45" i="1"/>
  <c r="I45" i="1"/>
  <c r="H45" i="1"/>
  <c r="Q44" i="1"/>
  <c r="M44" i="1"/>
  <c r="L44" i="1"/>
  <c r="K44" i="1"/>
  <c r="J44" i="1"/>
  <c r="I44" i="1"/>
  <c r="H44" i="1"/>
  <c r="Q43" i="1"/>
  <c r="M43" i="1"/>
  <c r="L43" i="1"/>
  <c r="K43" i="1"/>
  <c r="J43" i="1"/>
  <c r="I43" i="1"/>
  <c r="H43" i="1"/>
  <c r="Q42" i="1"/>
  <c r="M42" i="1"/>
  <c r="L42" i="1"/>
  <c r="K42" i="1"/>
  <c r="J42" i="1"/>
  <c r="I42" i="1"/>
  <c r="H42" i="1"/>
  <c r="Q41" i="1"/>
  <c r="M41" i="1"/>
  <c r="L41" i="1"/>
  <c r="K41" i="1"/>
  <c r="J41" i="1"/>
  <c r="I41" i="1"/>
  <c r="H41" i="1"/>
  <c r="M40" i="1"/>
  <c r="L40" i="1"/>
  <c r="J40" i="1"/>
  <c r="I40" i="1"/>
  <c r="H40" i="1"/>
  <c r="M39" i="1"/>
  <c r="L39" i="1"/>
  <c r="L38" i="1"/>
  <c r="L37" i="1"/>
  <c r="J37" i="1"/>
  <c r="I37" i="1"/>
  <c r="H37" i="1"/>
  <c r="L36" i="1"/>
  <c r="J36" i="1"/>
  <c r="I36" i="1"/>
  <c r="H36" i="1"/>
  <c r="Q35" i="1"/>
  <c r="M35" i="1"/>
  <c r="L35" i="1"/>
  <c r="K35" i="1"/>
  <c r="J35" i="1"/>
  <c r="I35" i="1"/>
  <c r="H35" i="1"/>
  <c r="Q34" i="1"/>
  <c r="M34" i="1"/>
  <c r="L34" i="1"/>
  <c r="K34" i="1"/>
  <c r="J34" i="1"/>
  <c r="I34" i="1"/>
  <c r="H34" i="1"/>
  <c r="Q33" i="1"/>
  <c r="M33" i="1"/>
  <c r="L33" i="1"/>
  <c r="K33" i="1"/>
  <c r="J33" i="1"/>
  <c r="I33" i="1"/>
  <c r="H33" i="1"/>
  <c r="Q32" i="1"/>
  <c r="M32" i="1"/>
  <c r="L32" i="1"/>
  <c r="K32" i="1"/>
  <c r="J32" i="1"/>
  <c r="I32" i="1"/>
  <c r="H32" i="1"/>
  <c r="Q31" i="1"/>
  <c r="M31" i="1"/>
  <c r="L31" i="1"/>
  <c r="K31" i="1"/>
  <c r="J31" i="1"/>
  <c r="I31" i="1"/>
  <c r="H31" i="1"/>
  <c r="Q30" i="1"/>
  <c r="M30" i="1"/>
  <c r="L30" i="1"/>
  <c r="K30" i="1"/>
  <c r="J30" i="1"/>
  <c r="I30" i="1"/>
  <c r="H30" i="1"/>
  <c r="Q29" i="1"/>
  <c r="M29" i="1"/>
  <c r="L29" i="1"/>
  <c r="K29" i="1"/>
  <c r="J29" i="1"/>
  <c r="I29" i="1"/>
  <c r="H29" i="1"/>
  <c r="Q28" i="1"/>
  <c r="M28" i="1"/>
  <c r="L28" i="1"/>
  <c r="K28" i="1"/>
  <c r="J28" i="1"/>
  <c r="I28" i="1"/>
  <c r="H28" i="1"/>
  <c r="Q27" i="1"/>
  <c r="M27" i="1"/>
  <c r="L27" i="1"/>
  <c r="K27" i="1"/>
  <c r="J27" i="1"/>
  <c r="I27" i="1"/>
  <c r="H27" i="1"/>
  <c r="Q26" i="1"/>
  <c r="M26" i="1"/>
  <c r="L26" i="1"/>
  <c r="K26" i="1"/>
  <c r="J26" i="1"/>
  <c r="I26" i="1"/>
  <c r="H26" i="1"/>
  <c r="M25" i="1"/>
  <c r="L25" i="1"/>
  <c r="J25" i="1"/>
  <c r="I25" i="1"/>
  <c r="H25" i="1"/>
  <c r="Q24" i="1"/>
  <c r="M24" i="1"/>
  <c r="L24" i="1"/>
  <c r="K24" i="1"/>
  <c r="J24" i="1"/>
  <c r="I24" i="1"/>
  <c r="H24" i="1"/>
  <c r="Q23" i="1"/>
  <c r="M23" i="1"/>
  <c r="L23" i="1"/>
  <c r="K23" i="1"/>
  <c r="J23" i="1"/>
  <c r="I23" i="1"/>
  <c r="H23" i="1"/>
  <c r="Q22" i="1"/>
  <c r="O22" i="1"/>
  <c r="N22" i="1"/>
  <c r="M22" i="1"/>
  <c r="L22" i="1"/>
  <c r="K22" i="1"/>
  <c r="J22" i="1"/>
  <c r="I22" i="1"/>
  <c r="H22" i="1"/>
  <c r="G22" i="1"/>
  <c r="F22" i="1"/>
  <c r="C22" i="1"/>
  <c r="Q21" i="1"/>
  <c r="M21" i="1"/>
  <c r="L21" i="1"/>
  <c r="K21" i="1"/>
  <c r="J21" i="1"/>
  <c r="I21" i="1"/>
  <c r="H21" i="1"/>
  <c r="Q20" i="1"/>
  <c r="M20" i="1"/>
  <c r="L20" i="1"/>
  <c r="K20" i="1"/>
  <c r="J20" i="1"/>
  <c r="I20" i="1"/>
  <c r="H20" i="1"/>
  <c r="Q19" i="1"/>
  <c r="M19" i="1"/>
  <c r="L19" i="1"/>
  <c r="K19" i="1"/>
  <c r="J19" i="1"/>
  <c r="I19" i="1"/>
  <c r="H19" i="1"/>
  <c r="Q18" i="1"/>
  <c r="M18" i="1"/>
  <c r="L18" i="1"/>
  <c r="K18" i="1"/>
  <c r="J18" i="1"/>
  <c r="I18" i="1"/>
  <c r="H18" i="1"/>
  <c r="Q17" i="1"/>
  <c r="M17" i="1"/>
  <c r="L17" i="1"/>
  <c r="K17" i="1"/>
  <c r="J17" i="1"/>
  <c r="I17" i="1"/>
  <c r="H17" i="1"/>
  <c r="Q16" i="1"/>
  <c r="M16" i="1"/>
  <c r="L16" i="1"/>
  <c r="K16" i="1"/>
  <c r="J16" i="1"/>
  <c r="I16" i="1"/>
  <c r="H16" i="1"/>
  <c r="Q15" i="1"/>
  <c r="M15" i="1"/>
  <c r="L15" i="1"/>
  <c r="K15" i="1"/>
  <c r="J15" i="1"/>
  <c r="I15" i="1"/>
  <c r="H15" i="1"/>
  <c r="Q14" i="1"/>
  <c r="L14" i="1"/>
  <c r="K14" i="1"/>
  <c r="J14" i="1"/>
  <c r="I14" i="1"/>
  <c r="H14" i="1"/>
  <c r="Q13" i="1"/>
  <c r="M13" i="1"/>
  <c r="L13" i="1"/>
  <c r="K13" i="1"/>
  <c r="J13" i="1"/>
  <c r="I13" i="1"/>
  <c r="H13" i="1"/>
  <c r="Q12" i="1"/>
  <c r="M12" i="1"/>
  <c r="L12" i="1"/>
  <c r="K12" i="1"/>
  <c r="J12" i="1"/>
  <c r="I12" i="1"/>
  <c r="H12" i="1"/>
  <c r="Q11" i="1"/>
  <c r="L11" i="1"/>
  <c r="J11" i="1"/>
  <c r="I11" i="1"/>
  <c r="H11" i="1"/>
  <c r="Q10" i="1"/>
  <c r="M10" i="1"/>
  <c r="L10" i="1"/>
  <c r="K10" i="1"/>
  <c r="J10" i="1"/>
  <c r="I10" i="1"/>
  <c r="H10" i="1"/>
  <c r="Q9" i="1"/>
  <c r="M9" i="1"/>
  <c r="L9" i="1"/>
  <c r="K9" i="1"/>
  <c r="J9" i="1"/>
  <c r="I9" i="1"/>
  <c r="H9" i="1"/>
  <c r="Q8" i="1"/>
  <c r="M8" i="1"/>
  <c r="L8" i="1"/>
  <c r="K8" i="1"/>
  <c r="J8" i="1"/>
  <c r="I8" i="1"/>
  <c r="H8" i="1"/>
  <c r="Q5" i="1"/>
  <c r="M5" i="1"/>
  <c r="L5" i="1"/>
  <c r="K5" i="1"/>
  <c r="J5" i="1"/>
  <c r="I5" i="1"/>
  <c r="H5" i="1"/>
  <c r="Q4" i="1"/>
  <c r="M4" i="1"/>
  <c r="L4" i="1"/>
  <c r="K4" i="1"/>
  <c r="J4" i="1"/>
  <c r="I4" i="1"/>
  <c r="H4" i="1"/>
  <c r="Q3" i="1"/>
  <c r="M3" i="1"/>
  <c r="L3" i="1"/>
  <c r="K3" i="1"/>
  <c r="J3" i="1"/>
  <c r="I3" i="1"/>
  <c r="H3" i="1"/>
  <c r="Q2" i="1"/>
  <c r="M2" i="1"/>
  <c r="L2" i="1"/>
  <c r="K2" i="1"/>
  <c r="J2" i="1"/>
  <c r="I2" i="1"/>
  <c r="H2" i="1"/>
</calcChain>
</file>

<file path=xl/sharedStrings.xml><?xml version="1.0" encoding="utf-8"?>
<sst xmlns="http://schemas.openxmlformats.org/spreadsheetml/2006/main" count="2118" uniqueCount="1047">
  <si>
    <t>序号</t>
  </si>
  <si>
    <t>道路名称</t>
  </si>
  <si>
    <t>道路起点</t>
  </si>
  <si>
    <t>道路止点</t>
  </si>
  <si>
    <t>保洁级别</t>
  </si>
  <si>
    <t>道路全长（m）</t>
  </si>
  <si>
    <t>道路幅宽（m）</t>
  </si>
  <si>
    <t>道路  面积  (万㎡)</t>
  </si>
  <si>
    <t>车行道面积   (万㎡)</t>
  </si>
  <si>
    <t>人行道面积(万㎡)</t>
  </si>
  <si>
    <t>路外保洁面积(万㎡)</t>
  </si>
  <si>
    <t>道路保洁面积(万㎡)</t>
  </si>
  <si>
    <t>分隔带绿岛面积   (万㎡)</t>
  </si>
  <si>
    <t>人行天桥个数</t>
  </si>
  <si>
    <t>垃圾箱个数</t>
  </si>
  <si>
    <t>是否晚间保洁</t>
  </si>
  <si>
    <t>车行道含桥梁面积   (万㎡)</t>
  </si>
  <si>
    <t>大桥南路</t>
  </si>
  <si>
    <t>上大桥处</t>
  </si>
  <si>
    <t>盐仓桥广场</t>
  </si>
  <si>
    <t>一级</t>
  </si>
  <si>
    <t>是</t>
  </si>
  <si>
    <t>立交桥</t>
  </si>
  <si>
    <t>匝道（城河南路旁-大桥南路高架下桥口）</t>
  </si>
  <si>
    <t>建宁路</t>
  </si>
  <si>
    <t>城河南路</t>
  </si>
  <si>
    <t>中央门立交</t>
  </si>
  <si>
    <t>江边路</t>
  </si>
  <si>
    <t>中央路</t>
  </si>
  <si>
    <t>黑龙江路（鼓楼广场）</t>
  </si>
  <si>
    <t>中央门立交桥底</t>
  </si>
  <si>
    <t>中央门立交桥</t>
  </si>
  <si>
    <t>金贸大街（芦席营北延）</t>
  </si>
  <si>
    <t>外金川河桥中央</t>
  </si>
  <si>
    <t>米兰假日酒店停车场</t>
  </si>
  <si>
    <t>三汊河大桥（三汊河大桥路[N]）</t>
  </si>
  <si>
    <t>热河南路12路公交底站（热河南路）</t>
  </si>
  <si>
    <t>江东北路</t>
  </si>
  <si>
    <t>龙江路</t>
  </si>
  <si>
    <t>热河路</t>
  </si>
  <si>
    <t>热河南路</t>
  </si>
  <si>
    <t>热河路广场</t>
  </si>
  <si>
    <t>淮滨路</t>
  </si>
  <si>
    <t>中山北路</t>
  </si>
  <si>
    <t>下关码头（盐仓桥广场（鼓楼广场））</t>
  </si>
  <si>
    <t>盐仓桥广场（下关码头）</t>
  </si>
  <si>
    <t>郑和北路（热河路广场）</t>
  </si>
  <si>
    <t>热河路广场（郑和北路）</t>
  </si>
  <si>
    <t>交通广场</t>
  </si>
  <si>
    <t>江东北路1</t>
  </si>
  <si>
    <t>三汊河大桥南头</t>
  </si>
  <si>
    <t>定淮门大街（汉中门大街南侧）</t>
  </si>
  <si>
    <t>和燕路</t>
  </si>
  <si>
    <t>中央北路</t>
  </si>
  <si>
    <t>交警七大队门口（七大队)</t>
  </si>
  <si>
    <t>十字街(燕子矶）</t>
  </si>
  <si>
    <t>小    计</t>
  </si>
  <si>
    <t>城河路</t>
  </si>
  <si>
    <t>城河南路（城河北路）</t>
  </si>
  <si>
    <t>城河北路（城河南路）</t>
  </si>
  <si>
    <t>二级</t>
  </si>
  <si>
    <t>黄家圩</t>
  </si>
  <si>
    <t>沪宁铁路顶推箱涵北侧黄线</t>
  </si>
  <si>
    <t>幕府西路（幕府西路-LM）</t>
  </si>
  <si>
    <t>城河北路路口（方家营）</t>
  </si>
  <si>
    <t>幕府西路118号仁康医院</t>
  </si>
  <si>
    <t>中央北路(五塘广场)</t>
  </si>
  <si>
    <t>铁北路跨线桥</t>
  </si>
  <si>
    <t>幕府西路</t>
  </si>
  <si>
    <t>长江大桥接路高架</t>
  </si>
  <si>
    <t>城河北路</t>
  </si>
  <si>
    <t>幕府西路方家营路口（城河路）</t>
  </si>
  <si>
    <t>城河路（方家营）</t>
  </si>
  <si>
    <t>燕江路（中央门立交）</t>
  </si>
  <si>
    <t>中央门立交（燕江路）</t>
  </si>
  <si>
    <t>钟阜路(下关)</t>
  </si>
  <si>
    <t>爱民桥</t>
  </si>
  <si>
    <t>四平路</t>
  </si>
  <si>
    <t>新民路</t>
  </si>
  <si>
    <t>多伦路（鲁明路）</t>
  </si>
  <si>
    <t>鲁民路（多伦路）</t>
  </si>
  <si>
    <t>江边路
一期</t>
  </si>
  <si>
    <t>中山码头前斑马线</t>
  </si>
  <si>
    <t>江边路与建宁路交叉口（南侧斑马线）</t>
  </si>
  <si>
    <t>江边路与建宁路交叉口
（南侧斑马线）</t>
  </si>
  <si>
    <t>江边路与建宁路交叉口（北侧古树树池）</t>
  </si>
  <si>
    <t>江边路与建宁路交叉口（加油站旁）</t>
  </si>
  <si>
    <t>江边路与建宁路交叉口（北侧）</t>
  </si>
  <si>
    <t>龙江路路口（北侧斑马线）</t>
  </si>
  <si>
    <t>郑和北路</t>
  </si>
  <si>
    <t>城河路高架下桥口(城河路高架西侧)</t>
  </si>
  <si>
    <t>热河路口（热河路西侧）</t>
  </si>
  <si>
    <t>盐仓桥路</t>
  </si>
  <si>
    <t>盐仓桥东街</t>
  </si>
  <si>
    <t>北祖师庵</t>
  </si>
  <si>
    <t>下关大桥         （下关大桥南延）</t>
  </si>
  <si>
    <t>下关大桥</t>
  </si>
  <si>
    <t>扬子江大道</t>
  </si>
  <si>
    <t>郑和南路</t>
  </si>
  <si>
    <t>郑和南路三汊河91里91路公交底站（下关大桥地面路）</t>
  </si>
  <si>
    <t>定淮门大街</t>
  </si>
  <si>
    <t>郑和中路</t>
  </si>
  <si>
    <t>热河路口西站旁（热河路西侧）</t>
  </si>
  <si>
    <t>观江路（惠民河泵站）（淮滨路与郑和中路）</t>
  </si>
  <si>
    <t>江东北路2</t>
  </si>
  <si>
    <t>下关大桥上桥口（三汊河桥下底层）</t>
  </si>
  <si>
    <t>三汊河大桥南头（三汊河桥下底层）</t>
  </si>
  <si>
    <t>幕府南路          （郭家山南半幅）</t>
  </si>
  <si>
    <t>三级</t>
  </si>
  <si>
    <t>永济大道（幕燕路）</t>
  </si>
  <si>
    <t>草鞋峡大屠杀纪念碑</t>
  </si>
  <si>
    <t>五马渡广场南京交通标志牌</t>
  </si>
  <si>
    <t>否</t>
  </si>
  <si>
    <t>五马渡广场</t>
  </si>
  <si>
    <t>郑和北路（城河路）</t>
  </si>
  <si>
    <t>安怀村路</t>
  </si>
  <si>
    <t>安怀东路与安怀村路红绿灯处（安怀村356号）</t>
  </si>
  <si>
    <t>孙家洼路（金碧路）</t>
  </si>
  <si>
    <t>幕府南路（郭家山南半幅路）</t>
  </si>
  <si>
    <t>张王庙路口金碧小区（金碧小区）</t>
  </si>
  <si>
    <t>金碧路2</t>
  </si>
  <si>
    <t>幕府南路</t>
  </si>
  <si>
    <t>北祥路</t>
  </si>
  <si>
    <t>南京机电职业技术学院</t>
  </si>
  <si>
    <t>翠亭路（加油站旁）</t>
  </si>
  <si>
    <t>恒盛佳园小区（幕府西路）</t>
  </si>
  <si>
    <t>戎军路（拥军路）</t>
  </si>
  <si>
    <t>中央北路97号</t>
  </si>
  <si>
    <t>翠平路（金域中央二期与三期中间路）</t>
  </si>
  <si>
    <t>拥军路</t>
  </si>
  <si>
    <t>宝燕南路</t>
  </si>
  <si>
    <t>金燕路</t>
  </si>
  <si>
    <t>燕归园9号滨江幼儿园门前（燕归园9号）</t>
  </si>
  <si>
    <t>燕归园9号滨江幼儿园</t>
  </si>
  <si>
    <t>铁院路</t>
  </si>
  <si>
    <t>建宁路（铁运校旁）</t>
  </si>
  <si>
    <t>护城河北路（金川河北路）</t>
  </si>
  <si>
    <t>金川门外</t>
  </si>
  <si>
    <t>铁路北街18号金川花苑小区旁小桥（铁路北街）</t>
  </si>
  <si>
    <t>中储生资市场</t>
  </si>
  <si>
    <t>姜圩路</t>
  </si>
  <si>
    <t>热河南路（姜家园）</t>
  </si>
  <si>
    <t>姜家园（热河南路）</t>
  </si>
  <si>
    <t>白云亭</t>
  </si>
  <si>
    <t>扬子江大道（下关）（扬子江大道北延）</t>
  </si>
  <si>
    <t>扬子江大道桥爪（下关大桥桥爪）</t>
  </si>
  <si>
    <t>扬子江大道桥爪</t>
  </si>
  <si>
    <t>察哈尔路（下关）</t>
  </si>
  <si>
    <t>华严岗城门（城墙边）</t>
  </si>
  <si>
    <t>姜家园路</t>
  </si>
  <si>
    <t>南医二附院（12中大门）</t>
  </si>
  <si>
    <t>姜家圩</t>
  </si>
  <si>
    <t>南医二附院（市十二中大门）</t>
  </si>
  <si>
    <t>白云亭东延</t>
  </si>
  <si>
    <t>惠悦巷</t>
  </si>
  <si>
    <t>正丰街</t>
  </si>
  <si>
    <t>九家圩</t>
  </si>
  <si>
    <t>唐山路</t>
  </si>
  <si>
    <t>江边南路</t>
  </si>
  <si>
    <t>南通路</t>
  </si>
  <si>
    <t>红山南路西</t>
  </si>
  <si>
    <t>黄家圩路</t>
  </si>
  <si>
    <t>小市街</t>
  </si>
  <si>
    <t>旭日景城西（旭日景城西[N]）</t>
  </si>
  <si>
    <t>幕府东路55-4苏蔬种业公司（幕府东路-LM）</t>
  </si>
  <si>
    <t>旭日景城小区（旭日景城）</t>
  </si>
  <si>
    <t>四级</t>
  </si>
  <si>
    <t>燕江路</t>
  </si>
  <si>
    <t>象山路</t>
  </si>
  <si>
    <t>宝塔桥西街</t>
  </si>
  <si>
    <t>宝塔桥东街（宝塔桥）</t>
  </si>
  <si>
    <t>方家营路口水上派出所门前（方家营）</t>
  </si>
  <si>
    <t>双燕路</t>
  </si>
  <si>
    <t>宝燕南路滨江幼儿园对面（象山路）</t>
  </si>
  <si>
    <t>象山路（宝燕南路）</t>
  </si>
  <si>
    <t>北崮山路</t>
  </si>
  <si>
    <t>安怀村450号（安怀村460号）</t>
  </si>
  <si>
    <t>安怀东路与安怀村路交叉处红绿灯（安怀路）</t>
  </si>
  <si>
    <t>安怀村450号（安怀村452号）</t>
  </si>
  <si>
    <t>宝塔桥东街</t>
  </si>
  <si>
    <t>象山</t>
  </si>
  <si>
    <t>象山路大桥公园门前（公交67路总站）</t>
  </si>
  <si>
    <t>清苑路（清苑路-LM）</t>
  </si>
  <si>
    <t>江东北路南京市地方海事局（三汊河桥下匝道）</t>
  </si>
  <si>
    <t>定淮门大桥桥洞下（定淮门大桥）</t>
  </si>
  <si>
    <t>观江路</t>
  </si>
  <si>
    <t>护城河桥</t>
  </si>
  <si>
    <t>钟阜路</t>
  </si>
  <si>
    <t>合    计</t>
  </si>
  <si>
    <t>街巷名称</t>
  </si>
  <si>
    <t>起点</t>
  </si>
  <si>
    <t>止点</t>
  </si>
  <si>
    <t>全长（m）</t>
  </si>
  <si>
    <t>幅宽（m）</t>
  </si>
  <si>
    <r>
      <rPr>
        <b/>
        <sz val="8"/>
        <rFont val="方正仿宋简体"/>
        <charset val="134"/>
      </rPr>
      <t>面积(万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</si>
  <si>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r>
      <rPr>
        <b/>
        <sz val="8"/>
        <rFont val="方正仿宋简体"/>
        <charset val="134"/>
      </rPr>
      <t>车行道面积   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</si>
  <si>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r>
      <rPr>
        <b/>
        <sz val="8"/>
        <rFont val="方正仿宋简体"/>
        <charset val="134"/>
      </rPr>
      <t>人行道面积(万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</si>
  <si>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r>
      <rPr>
        <b/>
        <sz val="8"/>
        <rFont val="方正仿宋简体"/>
        <charset val="134"/>
      </rPr>
      <t>路外保洁面积(万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</si>
  <si>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r>
      <rPr>
        <b/>
        <sz val="8"/>
        <rFont val="方正仿宋简体"/>
        <charset val="134"/>
      </rPr>
      <t>保洁面积(万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</si>
  <si>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r>
      <rPr>
        <b/>
        <sz val="8"/>
        <rFont val="方正仿宋简体"/>
        <charset val="134"/>
      </rPr>
      <t>分隔带绿岛面积(万</t>
    </r>
    <r>
      <rPr>
        <b/>
        <sz val="8"/>
        <rFont val="宋体"/>
        <family val="3"/>
        <charset val="134"/>
      </rPr>
      <t>㎡</t>
    </r>
    <r>
      <rPr>
        <b/>
        <sz val="8"/>
        <rFont val="方正仿宋简体"/>
        <charset val="134"/>
      </rPr>
      <t>)</t>
    </r>
  </si>
  <si>
    <t>小市新村路（城管局楼后）</t>
  </si>
  <si>
    <t>郭家山48号</t>
  </si>
  <si>
    <t>郭家山35号</t>
  </si>
  <si>
    <t>繁华</t>
  </si>
  <si>
    <t>小市新村路（城管局楼后路延伸）</t>
  </si>
  <si>
    <t>巷18条</t>
  </si>
  <si>
    <t>中储南京分库路（北祥路东段）</t>
  </si>
  <si>
    <t>中央北路13号旁中储股份有限公司门前（中央北路）</t>
  </si>
  <si>
    <t>南京仓储公司大门口</t>
  </si>
  <si>
    <t>巷8条</t>
  </si>
  <si>
    <t>和燕园门口路</t>
  </si>
  <si>
    <t>和燕园小区大门口</t>
  </si>
  <si>
    <t>巷1条</t>
  </si>
  <si>
    <t>燕亭路（紫金大道）</t>
  </si>
  <si>
    <t>和燕路193号武警医院对面（和燕路193号）</t>
  </si>
  <si>
    <t>734厂门口（南京有线电厂西大门口）</t>
  </si>
  <si>
    <t>巷14条</t>
  </si>
  <si>
    <t>迈皋桥十字街</t>
  </si>
  <si>
    <t>和燕路武警医院对面燕亭路734厂对面右侧巷（南京有线电厂正大门）</t>
  </si>
  <si>
    <t>和燕路260号（南京有线电厂正大门口）</t>
  </si>
  <si>
    <t>巷2条</t>
  </si>
  <si>
    <t>小市街路（小市街东侧平行路）</t>
  </si>
  <si>
    <t>和燕路旁小市街路53号（培训中心）——小市街278号——铁路口</t>
  </si>
  <si>
    <t>巷4条</t>
  </si>
  <si>
    <t>小市街路（幕新巷南段）</t>
  </si>
  <si>
    <t>中央北路15路公交车中央北路站旁天桥（小市天桥）</t>
  </si>
  <si>
    <t>东北美食园小市新村18号</t>
  </si>
  <si>
    <t>小市街路（幕新巷南段右侧入小市新村路）</t>
  </si>
  <si>
    <t>小市新村33#</t>
  </si>
  <si>
    <t>小市新村42#</t>
  </si>
  <si>
    <t>江光厂自备路1（百林街延伸）</t>
  </si>
  <si>
    <t>和燕路旁小市街与百灵街交叉口（百灵街）</t>
  </si>
  <si>
    <t>和燕路旁小市街92号对面小市中转站门前（江光厂自备路1）</t>
  </si>
  <si>
    <t>江光厂自备路2（百林街延伸）</t>
  </si>
  <si>
    <t>和燕路旁小市街92号对面小市中转站门前（小市中转站）</t>
  </si>
  <si>
    <t>江光厂（江光厂自备路2）</t>
  </si>
  <si>
    <t>鲁民路</t>
  </si>
  <si>
    <t>建宁路159号</t>
  </si>
  <si>
    <t>新民路五所村小区门前（五所村大门口）</t>
  </si>
  <si>
    <t>街巷及小区大门7条</t>
  </si>
  <si>
    <t>江沿路</t>
  </si>
  <si>
    <t>新民路31号-3</t>
  </si>
  <si>
    <t>大桥南路40号</t>
  </si>
  <si>
    <t>街巷7条</t>
  </si>
  <si>
    <t>五佰村路（伍佰村路）</t>
  </si>
  <si>
    <t>伍佰村路五佰村27幢2#</t>
  </si>
  <si>
    <t>巷32条</t>
  </si>
  <si>
    <t>金碧路</t>
  </si>
  <si>
    <t>中央北路93#</t>
  </si>
  <si>
    <t>张王庙38#</t>
  </si>
  <si>
    <t>巷9条</t>
  </si>
  <si>
    <t>慕燕路</t>
  </si>
  <si>
    <t>象山居委会</t>
  </si>
  <si>
    <t>建材巷</t>
  </si>
  <si>
    <t>建材宿舍门口</t>
  </si>
  <si>
    <t>金达路</t>
  </si>
  <si>
    <t>滨江环卫</t>
  </si>
  <si>
    <t>恒盛嘉园小区（房改办住宅楼路[N]）</t>
  </si>
  <si>
    <t>美景雅苑路（美景雅苑北[N]）</t>
  </si>
  <si>
    <t>中央北路140号美景雅苑小区北侧（中央北路）</t>
  </si>
  <si>
    <t>幕府一村</t>
  </si>
  <si>
    <t>小市街57号</t>
  </si>
  <si>
    <t>东门街</t>
  </si>
  <si>
    <t>和燕路栖霞供电局（中央北路）</t>
  </si>
  <si>
    <t>东门街130号天桥旁（和燕路）</t>
  </si>
  <si>
    <t>百灵街</t>
  </si>
  <si>
    <t>东门前街</t>
  </si>
  <si>
    <t>金基翠城西路（金基翠城西[N]）</t>
  </si>
  <si>
    <t>小市街东侧</t>
  </si>
  <si>
    <t>小市街102号</t>
  </si>
  <si>
    <t>中山北路（中山路621#）</t>
  </si>
  <si>
    <t>南通路（唐山路249#）</t>
  </si>
  <si>
    <t>大马路</t>
  </si>
  <si>
    <t>江边路20#</t>
  </si>
  <si>
    <t>建宁路与郑和中路交叉路口大马路23号（大马路23#）</t>
  </si>
  <si>
    <t>关爱路</t>
  </si>
  <si>
    <t>二板桥485#旁</t>
  </si>
  <si>
    <t>热河南路108#</t>
  </si>
  <si>
    <t>南惠路</t>
  </si>
  <si>
    <t>下关法院</t>
  </si>
  <si>
    <t>热河南路46号幼儿园（热河南路幼儿园）</t>
  </si>
  <si>
    <t>二板桥路</t>
  </si>
  <si>
    <t>北起中山北路（复兴大厦）</t>
  </si>
  <si>
    <t>南至淮滨路（二板桥派出所）</t>
  </si>
  <si>
    <t>淮滨西路</t>
  </si>
  <si>
    <t>白云亭路南二板桥路566号江海联运公司旁（二板桥566#）</t>
  </si>
  <si>
    <t>热河南路三汊河桥上桥口西侧巷内100米旁三汊河桥下（三汊河桥下）</t>
  </si>
  <si>
    <t>淮滨东路</t>
  </si>
  <si>
    <t>热河南路三汊河桥上桥口东侧巷内100米旁三汊河桥下（三汊河桥下）</t>
  </si>
  <si>
    <t>淮滨路晏公庙1#（晏公庙1#）</t>
  </si>
  <si>
    <t>姜家巷路</t>
  </si>
  <si>
    <t>热河南路59号（姜圩路63#）</t>
  </si>
  <si>
    <t>姜家园路南侧姜家圩路（热河南路59#）</t>
  </si>
  <si>
    <t>市酱品厂门前路（三岔河桥左侧引桥岔路）</t>
  </si>
  <si>
    <t>热河南路三汊河大桥上桥口西侧（三汊河桥口）</t>
  </si>
  <si>
    <t>淮滨西路（三汊河桥口）</t>
  </si>
  <si>
    <t>市果品市场门前路（三岔河桥右侧引桥岔路）</t>
  </si>
  <si>
    <t>热河南路三汊河大桥上桥口东侧（三汊河桥口）</t>
  </si>
  <si>
    <t>淮滨东路（三汊河桥口）</t>
  </si>
  <si>
    <t>高鼓村路</t>
  </si>
  <si>
    <t>南起渡江路</t>
  </si>
  <si>
    <t>北至秦淮路堤</t>
  </si>
  <si>
    <t>梅家塘路</t>
  </si>
  <si>
    <t>东起二板桥路（旧变电站）</t>
  </si>
  <si>
    <t>西至郑和中路（惠纺园）</t>
  </si>
  <si>
    <t>有恒路2（有恒路西侧）</t>
  </si>
  <si>
    <t>东起新河二村177号</t>
  </si>
  <si>
    <t>西至扬子江大道</t>
  </si>
  <si>
    <t>花家桥</t>
  </si>
  <si>
    <t>盐仓桥</t>
  </si>
  <si>
    <t>多伦路</t>
  </si>
  <si>
    <t>建宁路（花家桥）</t>
  </si>
  <si>
    <t>花家桥(建宁路)</t>
  </si>
  <si>
    <t>盐仓桥（盐大街）</t>
  </si>
  <si>
    <t>民佳园路（民佳园北路[N]）</t>
  </si>
  <si>
    <t>郑和南路与渡江纪念馆门前路交叉口旁郑淮路向北30米沿左侧支路20米右转直行至江边（三汊河闸）</t>
  </si>
  <si>
    <t>定淮门桥旁（三汊河东街）</t>
  </si>
  <si>
    <t>有恒路（有恒路东侧）</t>
  </si>
  <si>
    <t>江东北路下关城建开发公司旁（滨江工业园）</t>
  </si>
  <si>
    <t>三汊河桥下综合市场旁（二板桥）</t>
  </si>
  <si>
    <t>机务段（机务段路[N]）</t>
  </si>
  <si>
    <t>南京机务段</t>
  </si>
  <si>
    <t>旭日景城东（旭日景城东[N]）（慕旭东路）</t>
  </si>
  <si>
    <t>幕府东路幕府东路55-57号汽车美容店（幕府东路-LM）</t>
  </si>
  <si>
    <t>旭日景城小区（旭日景城东[N]）</t>
  </si>
  <si>
    <t>小计</t>
  </si>
  <si>
    <t>安怀东路</t>
  </si>
  <si>
    <t>和燕路旁安怀村路313号（安怀村313号）</t>
  </si>
  <si>
    <t>安怀村361号</t>
  </si>
  <si>
    <t>普通</t>
  </si>
  <si>
    <t>军犬路</t>
  </si>
  <si>
    <t>中央北路旁北崮山路下安怀村450号（安怀村450号）</t>
  </si>
  <si>
    <t>7424修理厂</t>
  </si>
  <si>
    <t>图库路（经纬巷）</t>
  </si>
  <si>
    <t>图库大门口</t>
  </si>
  <si>
    <t>农贸市场公厕向南</t>
  </si>
  <si>
    <t>东门后街及巷（东门前街）</t>
  </si>
  <si>
    <t>东门前街81#</t>
  </si>
  <si>
    <t>有线电厂自备路（东井亭路）</t>
  </si>
  <si>
    <t>有线电厂西大门</t>
  </si>
  <si>
    <t>红山动物园北门广场</t>
  </si>
  <si>
    <t>一二九巷</t>
  </si>
  <si>
    <t>建宁路135号</t>
  </si>
  <si>
    <t>五所村小区后门至大门</t>
  </si>
  <si>
    <t>街巷及小区大门8条</t>
  </si>
  <si>
    <t>金川河四条埂</t>
  </si>
  <si>
    <t>建宁路长平桥（铁路边）</t>
  </si>
  <si>
    <t>金川河泵站（鼓楼界区）</t>
  </si>
  <si>
    <t>三十一巷</t>
  </si>
  <si>
    <t>建宁路31号-8</t>
  </si>
  <si>
    <t>金川河边</t>
  </si>
  <si>
    <t>二十五巷</t>
  </si>
  <si>
    <t>建宁路6号</t>
  </si>
  <si>
    <t>建宁路8号</t>
  </si>
  <si>
    <t>街巷5条</t>
  </si>
  <si>
    <t>工人新村路</t>
  </si>
  <si>
    <t>建宁路66号——工人新村132号——工人新村319号</t>
  </si>
  <si>
    <t>工人新村319号</t>
  </si>
  <si>
    <t>金川河大埂</t>
  </si>
  <si>
    <t>港口学校门前路（义民路）</t>
  </si>
  <si>
    <t>四平路四平二路78号（四平二路78号）</t>
  </si>
  <si>
    <t>建宁路136号-2</t>
  </si>
  <si>
    <t>街巷15条</t>
  </si>
  <si>
    <t>义民新村35号</t>
  </si>
  <si>
    <t>街巷10条</t>
  </si>
  <si>
    <t>老晓街路（四平中路）</t>
  </si>
  <si>
    <t>滨江东苑小区门前（滨江东院东门口）</t>
  </si>
  <si>
    <t>建宁路旁四平路78号（四平路78号）</t>
  </si>
  <si>
    <t>滨江东苑小区门前铁道（铁道边）</t>
  </si>
  <si>
    <t>四平路旁城河路高架下（跨线桥）</t>
  </si>
  <si>
    <t>街巷8条</t>
  </si>
  <si>
    <t>挹江公司自备路（金桥装饰城西侧）</t>
  </si>
  <si>
    <t>建宁路44号</t>
  </si>
  <si>
    <t>挹江开发公司</t>
  </si>
  <si>
    <t>证券公司平台（四平路西侧平行路）</t>
  </si>
  <si>
    <t>长江大桥公路桥口</t>
  </si>
  <si>
    <t>护城河北路</t>
  </si>
  <si>
    <t>铁路北街1号</t>
  </si>
  <si>
    <t>下关十二中大门（铁一中学大门）</t>
  </si>
  <si>
    <t>鑫桥市场广场</t>
  </si>
  <si>
    <t>鑫桥市场</t>
  </si>
  <si>
    <t>建宁路85号-3</t>
  </si>
  <si>
    <t>建宁路87号（87号）</t>
  </si>
  <si>
    <t>安乐村</t>
  </si>
  <si>
    <t>建宁路117号-3</t>
  </si>
  <si>
    <t>建宁路102</t>
  </si>
  <si>
    <t>中央门综合办路（中央门立交辅路）</t>
  </si>
  <si>
    <t>建宁路1号金盛百货旁（中央北路）</t>
  </si>
  <si>
    <t>建宁路6号花溪宾馆旁（综合办）</t>
  </si>
  <si>
    <t>五佰村支路1（伍佰村支路1)（幕盛路北段）</t>
  </si>
  <si>
    <t>五佰村11#</t>
  </si>
  <si>
    <t>幕府东路56#</t>
  </si>
  <si>
    <t>五佰村路支路2（伍佰村支路2）（五塘新村二段小区内部路）</t>
  </si>
  <si>
    <t>五佰村菜场南侧</t>
  </si>
  <si>
    <t>五塘中学</t>
  </si>
  <si>
    <t>巷19条</t>
  </si>
  <si>
    <t>五佰村路支路3（伍佰村支路3）（幕盛路南段）</t>
  </si>
  <si>
    <t>中央北路旁伍佰村90号（五佰村90#）</t>
  </si>
  <si>
    <t>五塘新村1#</t>
  </si>
  <si>
    <t>巷10条</t>
  </si>
  <si>
    <t>郭家山路</t>
  </si>
  <si>
    <t>中央北路83#</t>
  </si>
  <si>
    <t>金碧花园小区门前（郭家山菜场27#）</t>
  </si>
  <si>
    <t>巷17条</t>
  </si>
  <si>
    <t>幕府新村路1（五塘东街、南街）</t>
  </si>
  <si>
    <t>中央北路盛景园4#右转</t>
  </si>
  <si>
    <t>103#大院</t>
  </si>
  <si>
    <t>幕府新村路2（金碧路北侧平行路）</t>
  </si>
  <si>
    <t>张王庙路</t>
  </si>
  <si>
    <t>张王庙67#</t>
  </si>
  <si>
    <t>张王庙16#</t>
  </si>
  <si>
    <t>军犬自备路</t>
  </si>
  <si>
    <t>幕府东路104#</t>
  </si>
  <si>
    <t>安凯混凝土公司（安凯）</t>
  </si>
  <si>
    <t>门前三个小巷</t>
  </si>
  <si>
    <t>幕府山加油站旁路（鼓楼区禁毒办公室门前路）</t>
  </si>
  <si>
    <t>加油站</t>
  </si>
  <si>
    <t>下关拘留所大门口</t>
  </si>
  <si>
    <t>雷达库路</t>
  </si>
  <si>
    <t>中央北路85号云燕园小区门前（中山北路）</t>
  </si>
  <si>
    <t>73908部队</t>
  </si>
  <si>
    <t>云燕里</t>
  </si>
  <si>
    <t>中央北路85号（中山北路85#）</t>
  </si>
  <si>
    <t>中央北路85号云燕园小区门前（云燕园小区大门口）</t>
  </si>
  <si>
    <t>晓庄变电站自备路</t>
  </si>
  <si>
    <t>幕府东路102#</t>
  </si>
  <si>
    <t>长客驾校</t>
  </si>
  <si>
    <t>劳山路</t>
  </si>
  <si>
    <t>幕府东路</t>
  </si>
  <si>
    <t>老山水库</t>
  </si>
  <si>
    <t>272测绘大队</t>
  </si>
  <si>
    <t>幕府东路48#——272测绘大队——武警部队</t>
  </si>
  <si>
    <t>五塘路</t>
  </si>
  <si>
    <t>五佰村路五塘二段社区后门（五塘二段后门）</t>
  </si>
  <si>
    <t>五塘一段居委会</t>
  </si>
  <si>
    <t>五塘一段路</t>
  </si>
  <si>
    <t>五佰村路伍佰村菜场旁巷（五塘一段）</t>
  </si>
  <si>
    <t>五塘公安所</t>
  </si>
  <si>
    <t>五塘一段支路1（五塘新村小区内部路）</t>
  </si>
  <si>
    <t>五塘一段社区11栋</t>
  </si>
  <si>
    <t>五塘一段社区36栋</t>
  </si>
  <si>
    <t>五塘一段支路2（五塘新村小区内部路）</t>
  </si>
  <si>
    <t>五塘一段社区卫生所</t>
  </si>
  <si>
    <t>五塘小学路</t>
  </si>
  <si>
    <t>幕府东路旁幕盛路（五塘小学）</t>
  </si>
  <si>
    <t>伍佰村62号（伍佰村）</t>
  </si>
  <si>
    <t>部队自备路（五佰巷）</t>
  </si>
  <si>
    <t>伍佰村5#</t>
  </si>
  <si>
    <t>部队宿舍</t>
  </si>
  <si>
    <t>绿苑小区西侧路</t>
  </si>
  <si>
    <t>绿苑小区大门</t>
  </si>
  <si>
    <t>回龙桥路（南引桥支巷）</t>
  </si>
  <si>
    <t>大桥公园南大门对面</t>
  </si>
  <si>
    <t>长江大桥公路桥</t>
  </si>
  <si>
    <t>老水关桥路</t>
  </si>
  <si>
    <t>幕府西路与城河北路交叉路口18路公交水关桥站后（水关桥70#）—水关桥125#—幕府西路117#</t>
  </si>
  <si>
    <t xml:space="preserve"> 打靶场路（燕康里）</t>
  </si>
  <si>
    <t>金燕路金陵村40#</t>
  </si>
  <si>
    <t>金陵船厂宿舍大门</t>
  </si>
  <si>
    <t>巷：14条</t>
  </si>
  <si>
    <t>油运公司车队路（金宝街）</t>
  </si>
  <si>
    <t>金燕路金陵村72号（金陵村72#）</t>
  </si>
  <si>
    <t>金陵船厂宿舍南大门</t>
  </si>
  <si>
    <t>巷：9条</t>
  </si>
  <si>
    <t>青年路1</t>
  </si>
  <si>
    <t>污水厂后门</t>
  </si>
  <si>
    <t>市果品公司路（金川新寓门前路）</t>
  </si>
  <si>
    <t>幕府西路水关桥13#（水关桥13#）</t>
  </si>
  <si>
    <t>市果品公司冷库大门口</t>
  </si>
  <si>
    <t>巷：3条</t>
  </si>
  <si>
    <t>金埂路</t>
  </si>
  <si>
    <t>幕府西路水关桥323#（水关桥323#）</t>
  </si>
  <si>
    <t>金陵一村南大门</t>
  </si>
  <si>
    <t>公寓路（宝燕北路）</t>
  </si>
  <si>
    <t>公寓楼西侧</t>
  </si>
  <si>
    <t>水上路</t>
  </si>
  <si>
    <t>中央北路上元门信号灯（上元门信号灯）</t>
  </si>
  <si>
    <t>草鞋峡南京大屠杀纪念碑（港机厂）</t>
  </si>
  <si>
    <t>宝塔桥办事处自备路</t>
  </si>
  <si>
    <t>燕江路54号（滨江大道）</t>
  </si>
  <si>
    <t>办事处门口</t>
  </si>
  <si>
    <t>永佳路</t>
  </si>
  <si>
    <t>幕府西路2号老虎山仓库旁（老山化工公司门口）</t>
  </si>
  <si>
    <t>幕府佳园17栋旁（幕府西路）</t>
  </si>
  <si>
    <t>调速电机厂</t>
  </si>
  <si>
    <t>幕府西路100号（环卫车队自备路）</t>
  </si>
  <si>
    <t>恒茂家园（幕府西路）</t>
  </si>
  <si>
    <t>宝塔桥派出所门口</t>
  </si>
  <si>
    <t>燕归园东门</t>
  </si>
  <si>
    <t>幕府西路铁路桥下东侧侧</t>
  </si>
  <si>
    <t>张王庙1#</t>
  </si>
  <si>
    <t>巷：27条</t>
  </si>
  <si>
    <t>翠亭路（恒盛嘉园路）</t>
  </si>
  <si>
    <t>恒盛嘉园</t>
  </si>
  <si>
    <t>金象路</t>
  </si>
  <si>
    <t>宝燕中路</t>
  </si>
  <si>
    <t>老道口巷</t>
  </si>
  <si>
    <t>建行街</t>
  </si>
  <si>
    <t>建宁中学门口</t>
  </si>
  <si>
    <t>支巷</t>
  </si>
  <si>
    <t>复昌路（安怀东路东段）</t>
  </si>
  <si>
    <t>燕亭路</t>
  </si>
  <si>
    <t>复昌中路</t>
  </si>
  <si>
    <t>安怀东路一段（安怀东路西段）</t>
  </si>
  <si>
    <t>复昌路</t>
  </si>
  <si>
    <t>安怀东路--老路口</t>
  </si>
  <si>
    <t>玉苑路</t>
  </si>
  <si>
    <t>幕云路</t>
  </si>
  <si>
    <t>幕旭西路</t>
  </si>
  <si>
    <t>幕旭东路</t>
  </si>
  <si>
    <t>幕府山南麓</t>
  </si>
  <si>
    <t>云武巷</t>
  </si>
  <si>
    <t>奇美路（阳光老年公寓内部路）</t>
  </si>
  <si>
    <t>奇美旅馆</t>
  </si>
  <si>
    <t>挹江门公厕路（挹江门城墙登门口）</t>
  </si>
  <si>
    <t>挹江门公厕（黄土山）</t>
  </si>
  <si>
    <t>中山北路挹江门城楼边（中山北路）</t>
  </si>
  <si>
    <t>盐大街北路口路（盐西街）</t>
  </si>
  <si>
    <t>盐大街</t>
  </si>
  <si>
    <t>驴子巷</t>
  </si>
  <si>
    <t>天妃宫东侧路</t>
  </si>
  <si>
    <t>建宁西路</t>
  </si>
  <si>
    <t>静海寺</t>
  </si>
  <si>
    <t>天妃宫门前广场</t>
  </si>
  <si>
    <t>建宁路仪凤门城楼旁天妃宫门前（天妃宫南门前）</t>
  </si>
  <si>
    <t>黄土山路</t>
  </si>
  <si>
    <t>北祖师庵45#</t>
  </si>
  <si>
    <t>中山北路348#</t>
  </si>
  <si>
    <t>巷5条</t>
  </si>
  <si>
    <t>毛纺厂中转站</t>
  </si>
  <si>
    <t>建宁路中转站旁毛纺小区（建宁路公厕口）</t>
  </si>
  <si>
    <t>华夏公司——黄土山——驴子巷</t>
  </si>
  <si>
    <t>巷7条</t>
  </si>
  <si>
    <t>于家巷1</t>
  </si>
  <si>
    <t>北祖师庵4#</t>
  </si>
  <si>
    <t>北祖师庵68#</t>
  </si>
  <si>
    <t>巷11条</t>
  </si>
  <si>
    <t>于家巷2</t>
  </si>
  <si>
    <t>北祖师庵12#</t>
  </si>
  <si>
    <t>机务段路</t>
  </si>
  <si>
    <t>城河北路(城河路)</t>
  </si>
  <si>
    <t>机务段</t>
  </si>
  <si>
    <t>江海巷路</t>
  </si>
  <si>
    <t>郑和中路与白云亭路交叉口向南200米二板桥504号白云亭市场后（二板桥504#）</t>
  </si>
  <si>
    <t>二板桥路（南闸）</t>
  </si>
  <si>
    <t>江海巷路街巷</t>
  </si>
  <si>
    <t>江海巷504-6号</t>
  </si>
  <si>
    <t>江海巷504-3号</t>
  </si>
  <si>
    <t>江海巷570号</t>
  </si>
  <si>
    <t>三汊河南街路（定淮门18号小区北侧道路）</t>
  </si>
  <si>
    <t>江东北路（好运行）</t>
  </si>
  <si>
    <t>郑和南路（三汊河南街）</t>
  </si>
  <si>
    <t>房产局路</t>
  </si>
  <si>
    <t>环保局</t>
  </si>
  <si>
    <t>姜家园8号旁下关房产局（房产局）</t>
  </si>
  <si>
    <t>姜家园后街4号巷（热河南路）（中山北路小区门前路）</t>
  </si>
  <si>
    <t>热河路广场旁公厕旁巷内（热河南路公厕旁巷内——油运公司大楼旁——交通银行</t>
  </si>
  <si>
    <t>交警六大队路</t>
  </si>
  <si>
    <t>六大队路门口</t>
  </si>
  <si>
    <t>热河南路308号（热河南路）</t>
  </si>
  <si>
    <t>灯泡厂路</t>
  </si>
  <si>
    <t>灯泡厂</t>
  </si>
  <si>
    <t>郑和南路郑和南路菜市场对面（三汊河南街）</t>
  </si>
  <si>
    <t>郑淮路1（河口公园河堤路）</t>
  </si>
  <si>
    <t>江东北路下关大桥上桥处三汊河桥下郑淮路9号清江花苑居委会对面（三汊河桥墩）</t>
  </si>
  <si>
    <t>定淮门桥桥下三汊河桥下039号灯杆（天平法律服务所）</t>
  </si>
  <si>
    <t>清江花苑河堤</t>
  </si>
  <si>
    <t>郑和南路与渡江纪念馆门前路交叉口旁郑淮路向北30米沿左侧支路20米右转直行至江边（三汊河桥墩）</t>
  </si>
  <si>
    <t>定淮门桥旁（定淮门大堤）</t>
  </si>
  <si>
    <t>郑淮路2（清江花苑河堤园路）（渡江胜利纪念馆北侧江边路）</t>
  </si>
  <si>
    <t>郑和南路与渡江纪念馆门前路交叉口旁（三汊河大堤）</t>
  </si>
  <si>
    <t>三汊河桥下下关大桥上桥口（定淮门河堤）</t>
  </si>
  <si>
    <t>渡江路（鸡鸭加工厂）</t>
  </si>
  <si>
    <t>渡江纪念馆</t>
  </si>
  <si>
    <t>新兴路（梅家塘路）</t>
  </si>
  <si>
    <t>树人路</t>
  </si>
  <si>
    <t>渡江路</t>
  </si>
  <si>
    <t>金川河外小街-1</t>
  </si>
  <si>
    <t>金川河外小街</t>
  </si>
  <si>
    <t>金川门外街</t>
  </si>
  <si>
    <t>合计</t>
  </si>
  <si>
    <t>总序号</t>
  </si>
  <si>
    <t>公厕编号</t>
  </si>
  <si>
    <t>名称</t>
  </si>
  <si>
    <t>分类划档</t>
  </si>
  <si>
    <t>基础设施</t>
  </si>
  <si>
    <t>服务设施</t>
  </si>
  <si>
    <t>信息化设施</t>
  </si>
  <si>
    <t>设施量(蹲位数)</t>
  </si>
  <si>
    <t>详细地址</t>
  </si>
  <si>
    <t>所在
街道</t>
  </si>
  <si>
    <t>建筑形式</t>
  </si>
  <si>
    <t>建筑面积(㎡)</t>
  </si>
  <si>
    <t>建厕时间</t>
  </si>
  <si>
    <t>最新建成时间</t>
  </si>
  <si>
    <r>
      <rPr>
        <b/>
        <sz val="8"/>
        <rFont val="宋体"/>
        <family val="3"/>
        <charset val="134"/>
        <scheme val="minor"/>
      </rPr>
      <t>管理室(M</t>
    </r>
    <r>
      <rPr>
        <b/>
        <vertAlign val="superscript"/>
        <sz val="8"/>
        <rFont val="宋体"/>
        <family val="3"/>
        <charset val="134"/>
        <scheme val="minor"/>
      </rPr>
      <t>2</t>
    </r>
    <r>
      <rPr>
        <b/>
        <sz val="8"/>
        <rFont val="宋体"/>
        <family val="3"/>
        <charset val="134"/>
        <scheme val="minor"/>
      </rPr>
      <t>)</t>
    </r>
  </si>
  <si>
    <r>
      <rPr>
        <b/>
        <sz val="8"/>
        <rFont val="宋体"/>
        <family val="3"/>
        <charset val="134"/>
        <scheme val="minor"/>
      </rPr>
      <t>工具室(M</t>
    </r>
    <r>
      <rPr>
        <b/>
        <vertAlign val="superscript"/>
        <sz val="8"/>
        <rFont val="宋体"/>
        <family val="3"/>
        <charset val="134"/>
        <scheme val="minor"/>
      </rPr>
      <t>2</t>
    </r>
    <r>
      <rPr>
        <b/>
        <sz val="8"/>
        <rFont val="宋体"/>
        <family val="3"/>
        <charset val="134"/>
        <scheme val="minor"/>
      </rPr>
      <t>)</t>
    </r>
  </si>
  <si>
    <r>
      <rPr>
        <b/>
        <sz val="8"/>
        <rFont val="宋体"/>
        <family val="3"/>
        <charset val="134"/>
        <scheme val="minor"/>
      </rPr>
      <t>第三卫生间(M</t>
    </r>
    <r>
      <rPr>
        <b/>
        <vertAlign val="superscript"/>
        <sz val="8"/>
        <rFont val="宋体"/>
        <family val="3"/>
        <charset val="134"/>
        <scheme val="minor"/>
      </rPr>
      <t>2</t>
    </r>
    <r>
      <rPr>
        <b/>
        <sz val="8"/>
        <rFont val="宋体"/>
        <family val="3"/>
        <charset val="134"/>
        <scheme val="minor"/>
      </rPr>
      <t>)</t>
    </r>
  </si>
  <si>
    <r>
      <rPr>
        <b/>
        <sz val="8"/>
        <rFont val="宋体"/>
        <family val="3"/>
        <charset val="134"/>
        <scheme val="minor"/>
      </rPr>
      <t>残障 人卫生间(M</t>
    </r>
    <r>
      <rPr>
        <b/>
        <vertAlign val="superscript"/>
        <sz val="8"/>
        <rFont val="宋体"/>
        <family val="3"/>
        <charset val="134"/>
        <scheme val="minor"/>
      </rPr>
      <t>2</t>
    </r>
    <r>
      <rPr>
        <b/>
        <sz val="8"/>
        <rFont val="宋体"/>
        <family val="3"/>
        <charset val="134"/>
        <scheme val="minor"/>
      </rPr>
      <t>)</t>
    </r>
  </si>
  <si>
    <t>化粪池</t>
  </si>
  <si>
    <t>容积(M³)</t>
  </si>
  <si>
    <t>层数</t>
  </si>
  <si>
    <t>上水</t>
  </si>
  <si>
    <t>下水</t>
  </si>
  <si>
    <t>照明(盏)</t>
  </si>
  <si>
    <t>冲水设备（感应、脚踏、手动、按压）</t>
  </si>
  <si>
    <t>污水处理（进入污水管网/外运/生物降解/真空）</t>
  </si>
  <si>
    <t>导向指示牌(块)</t>
  </si>
  <si>
    <t>二次导向牌(块)</t>
  </si>
  <si>
    <t>管理标识牌(套)</t>
  </si>
  <si>
    <t>公共厕所LED灯牌</t>
  </si>
  <si>
    <t>挂物钩(个)</t>
  </si>
  <si>
    <t>镜子(块)</t>
  </si>
  <si>
    <t>空调（台）</t>
  </si>
  <si>
    <t>电扇(个)</t>
  </si>
  <si>
    <t>烘手机(台)</t>
  </si>
  <si>
    <t>尿布台(个)</t>
  </si>
  <si>
    <t>洗手液(个)</t>
  </si>
  <si>
    <t>儿童安全座椅(个)</t>
  </si>
  <si>
    <t>植物(盆)</t>
  </si>
  <si>
    <t>绿化(M2)</t>
  </si>
  <si>
    <t>厕纸盒(个)</t>
  </si>
  <si>
    <t>休息桌椅(个)</t>
  </si>
  <si>
    <t>自助</t>
  </si>
  <si>
    <t>摄像头(个)</t>
  </si>
  <si>
    <t>人流量计数</t>
  </si>
  <si>
    <t>满意度评价</t>
  </si>
  <si>
    <t>厕位占用情况可视</t>
  </si>
  <si>
    <t>异味报警</t>
  </si>
  <si>
    <t>wifi</t>
  </si>
  <si>
    <t>男(个)</t>
  </si>
  <si>
    <t>女(个)</t>
  </si>
  <si>
    <t>第三/残疾人卫生间(个)</t>
  </si>
  <si>
    <t>洗手池(个)</t>
  </si>
  <si>
    <t>清洁池</t>
  </si>
  <si>
    <t>倒粪口(个)</t>
  </si>
  <si>
    <t>总蹲位</t>
  </si>
  <si>
    <t>取纸机(台)</t>
  </si>
  <si>
    <t>贩卖机(台)</t>
  </si>
  <si>
    <t>其它</t>
  </si>
  <si>
    <t>成人小便斗</t>
  </si>
  <si>
    <t>儿童小便斗</t>
  </si>
  <si>
    <t>蹲便器</t>
  </si>
  <si>
    <t>坐便器</t>
  </si>
  <si>
    <t>成人</t>
  </si>
  <si>
    <t>儿童</t>
  </si>
  <si>
    <t>6-115</t>
  </si>
  <si>
    <t>三汊河桥下</t>
  </si>
  <si>
    <t>一类C</t>
  </si>
  <si>
    <t>三汊河南大桥下应急保障基地斜对面</t>
  </si>
  <si>
    <t>热南</t>
  </si>
  <si>
    <t>独立式</t>
  </si>
  <si>
    <t>三格</t>
  </si>
  <si>
    <t>一</t>
  </si>
  <si>
    <t>√</t>
  </si>
  <si>
    <t>感应</t>
  </si>
  <si>
    <t>污水管网</t>
  </si>
  <si>
    <t>6-086</t>
  </si>
  <si>
    <t>幕府东路98号旁幕府东路垃圾中转站旁</t>
  </si>
  <si>
    <t>宝塔桥</t>
  </si>
  <si>
    <t>02年</t>
  </si>
  <si>
    <t>6-116</t>
  </si>
  <si>
    <t>下关滨江岸线试验段</t>
  </si>
  <si>
    <t>江边路30－12</t>
  </si>
  <si>
    <t>下关</t>
  </si>
  <si>
    <t>入污水管网</t>
  </si>
  <si>
    <t>6-042</t>
  </si>
  <si>
    <t>绣球公园前</t>
  </si>
  <si>
    <t>中山北路挹江门城门旁绣球公园内</t>
  </si>
  <si>
    <t>05年</t>
  </si>
  <si>
    <t>手动</t>
  </si>
  <si>
    <t>6-057</t>
  </si>
  <si>
    <t>三汊河花园</t>
  </si>
  <si>
    <t>郑和南路三叉河幼儿园对面</t>
  </si>
  <si>
    <t>01年</t>
  </si>
  <si>
    <t>6-061</t>
  </si>
  <si>
    <t>小桃园前</t>
  </si>
  <si>
    <t>中山北路小桃园公园内200米（中山北路小桃园内）</t>
  </si>
  <si>
    <t>03年</t>
  </si>
  <si>
    <t>水箱</t>
  </si>
  <si>
    <t>6-073</t>
  </si>
  <si>
    <t>大桥公园</t>
  </si>
  <si>
    <t>二类B</t>
  </si>
  <si>
    <t>宝象路西段与宝塔桥东街大桥公园对面</t>
  </si>
  <si>
    <t>88年</t>
  </si>
  <si>
    <t>未进</t>
  </si>
  <si>
    <t>6-080</t>
  </si>
  <si>
    <t>幕府西路120号旁 幕府南路与幕府西路交接口</t>
  </si>
  <si>
    <t>04年</t>
  </si>
  <si>
    <t>6-043</t>
  </si>
  <si>
    <t>二类C</t>
  </si>
  <si>
    <t>热河南路二板桥502-4号对面蓝天菜场旁</t>
  </si>
  <si>
    <t>附属式</t>
  </si>
  <si>
    <t>90年</t>
  </si>
  <si>
    <t>脚踏</t>
  </si>
  <si>
    <t>6-079</t>
  </si>
  <si>
    <t>马家山</t>
  </si>
  <si>
    <t>幕府西路长江大桥公路桥下张蔡村1-8号旁（苏商回收站往里走50米）</t>
  </si>
  <si>
    <t>6-040</t>
  </si>
  <si>
    <t>毛纺商场</t>
  </si>
  <si>
    <t>建宁路狮子山公园南门斜对面建宁中转站前</t>
  </si>
  <si>
    <t>85年</t>
  </si>
  <si>
    <t>6-099</t>
  </si>
  <si>
    <t>和燕路旁黄家圩路黄家圩小区50幢巷内100米处（黄家圩路黄家圩小区11幢旁）</t>
  </si>
  <si>
    <t>小市</t>
  </si>
  <si>
    <t>89年</t>
  </si>
  <si>
    <t>6-104</t>
  </si>
  <si>
    <t>头所村</t>
  </si>
  <si>
    <t>新民路四所村派出所旁146号巷内</t>
  </si>
  <si>
    <t>建宁</t>
  </si>
  <si>
    <t>79年</t>
  </si>
  <si>
    <t>6-108</t>
  </si>
  <si>
    <t>建宁路25号</t>
  </si>
  <si>
    <t>建宁路25号加油站旁巷内100米</t>
  </si>
  <si>
    <t>6-110</t>
  </si>
  <si>
    <t>民生街</t>
  </si>
  <si>
    <t>建宁路菜场旁</t>
  </si>
  <si>
    <t>80年</t>
  </si>
  <si>
    <t>6-113</t>
  </si>
  <si>
    <t>三所村</t>
  </si>
  <si>
    <t>四平路晓街菜场旁小区内</t>
  </si>
  <si>
    <t>87年</t>
  </si>
  <si>
    <t>6-062</t>
  </si>
  <si>
    <t>小桃园后</t>
  </si>
  <si>
    <t>中山北路小桃园公园内700米（中山北路小桃园内）</t>
  </si>
  <si>
    <t>6-093</t>
  </si>
  <si>
    <t>老道口</t>
  </si>
  <si>
    <t>红山南路公铁桥底部警务实战训练基地旁</t>
  </si>
  <si>
    <t>93年</t>
  </si>
  <si>
    <t>6-092</t>
  </si>
  <si>
    <t>小市中转站</t>
  </si>
  <si>
    <t>和燕路小市街88号旁小市中转站后面</t>
  </si>
  <si>
    <t>6-102</t>
  </si>
  <si>
    <t>新民路口</t>
  </si>
  <si>
    <t>大桥南路与新民路交叉口新民路5号旁（大桥南路20号旁）</t>
  </si>
  <si>
    <t>84年</t>
  </si>
  <si>
    <t>6-112</t>
  </si>
  <si>
    <t>义民新村大</t>
  </si>
  <si>
    <t>晓街39号交警六大队旁</t>
  </si>
  <si>
    <t>6-107</t>
  </si>
  <si>
    <t>三角界</t>
  </si>
  <si>
    <t>建宁路35号茶叶城旁</t>
  </si>
  <si>
    <t>6-117</t>
  </si>
  <si>
    <t>和燕路与安怀村交叉口公厕</t>
  </si>
  <si>
    <t>和燕路与安怀村交叉口</t>
  </si>
  <si>
    <t>装配式</t>
  </si>
  <si>
    <t>6-118</t>
  </si>
  <si>
    <t>玉桥东公厕</t>
  </si>
  <si>
    <t>玉桥广场东游园内</t>
  </si>
  <si>
    <t>6-119</t>
  </si>
  <si>
    <t>红山南路公厕</t>
  </si>
  <si>
    <t>黄家圩与红山南较交叉路口</t>
  </si>
  <si>
    <t>6-120</t>
  </si>
  <si>
    <t>金陵新五村公厕</t>
  </si>
  <si>
    <t>初晴菜场旁</t>
  </si>
  <si>
    <t>6-036</t>
  </si>
  <si>
    <t>建宁路静海寺正门大观天地旁</t>
  </si>
  <si>
    <t>6-032</t>
  </si>
  <si>
    <t>绣球公园后</t>
  </si>
  <si>
    <t>建宁路仪凤门小桃园公园内200米右转后50米</t>
  </si>
  <si>
    <t>2016年移交翻新</t>
  </si>
  <si>
    <t>6-105</t>
  </si>
  <si>
    <t>五所村</t>
  </si>
  <si>
    <t>新民路五所村小区内五所村幼儿园旁</t>
  </si>
  <si>
    <t>6-067</t>
  </si>
  <si>
    <t>纬一路</t>
  </si>
  <si>
    <t>方家营70号小区旁（水关桥西公交站台旁边）</t>
  </si>
  <si>
    <t>99年</t>
  </si>
  <si>
    <t>6-046</t>
  </si>
  <si>
    <t>东河边</t>
  </si>
  <si>
    <t>三类</t>
  </si>
  <si>
    <t>热河南路二板桥418号苏北草鸡蛋批发中心旁</t>
  </si>
  <si>
    <t>6-121</t>
  </si>
  <si>
    <t>幕府一村院内公厕</t>
  </si>
  <si>
    <t>幕府一村12栋旁</t>
  </si>
  <si>
    <t>幕府山</t>
  </si>
  <si>
    <t>不详</t>
  </si>
  <si>
    <t>按压</t>
  </si>
  <si>
    <t>进入污水管网</t>
  </si>
  <si>
    <t>6-063</t>
  </si>
  <si>
    <t>新河二村</t>
  </si>
  <si>
    <t>郑和南路新和园社区居委会对面巷内150米新河二村168号东侧</t>
  </si>
  <si>
    <t>2009年</t>
  </si>
  <si>
    <t>6-076</t>
  </si>
  <si>
    <t>金陵小区南</t>
  </si>
  <si>
    <t>金象路长江大桥铁路桥下金陵小区一村门口</t>
  </si>
  <si>
    <t>86年</t>
  </si>
  <si>
    <t>6-031</t>
  </si>
  <si>
    <t>兴安路</t>
  </si>
  <si>
    <t>兴安路77号上海宝治集团旁</t>
  </si>
  <si>
    <t>83年</t>
  </si>
  <si>
    <t>雨污混合</t>
  </si>
  <si>
    <t>6-022</t>
  </si>
  <si>
    <t>龙江路与江边路交汇处</t>
  </si>
  <si>
    <t>二</t>
  </si>
  <si>
    <t>6-077</t>
  </si>
  <si>
    <t>打靶场</t>
  </si>
  <si>
    <t>金燕路金陵村55-11号旁</t>
  </si>
  <si>
    <t>98年</t>
  </si>
  <si>
    <t>6-041</t>
  </si>
  <si>
    <t>挹江门</t>
  </si>
  <si>
    <t>中山北路挹江门城楼旁</t>
  </si>
  <si>
    <t>6-039</t>
  </si>
  <si>
    <t>盐东街2号豫宁粮油店旁</t>
  </si>
  <si>
    <t>6-037</t>
  </si>
  <si>
    <t>北祖师庵路内阅江楼派出所旁</t>
  </si>
  <si>
    <t>70年</t>
  </si>
  <si>
    <t>6-106</t>
  </si>
  <si>
    <t>建宁路安乐村232号旁</t>
  </si>
  <si>
    <t>95年</t>
  </si>
  <si>
    <t>6-052</t>
  </si>
  <si>
    <t>热南中转站</t>
  </si>
  <si>
    <t>热河南路与新兴路交叉口大陈龙虾旁</t>
  </si>
  <si>
    <t>6-053</t>
  </si>
  <si>
    <t>姜圩路姜家园100-18号秀丝发屋旁</t>
  </si>
  <si>
    <t>6-056</t>
  </si>
  <si>
    <t>三汊河中转站</t>
  </si>
  <si>
    <t>郑和南路新河一村6号三汊河中转站旁</t>
  </si>
  <si>
    <t>6-068</t>
  </si>
  <si>
    <t>水关桥</t>
  </si>
  <si>
    <t>水关桥73号旁（水关桥加油站往里走60米）</t>
  </si>
  <si>
    <t>6-082</t>
  </si>
  <si>
    <t>张王庙</t>
  </si>
  <si>
    <t>郭家山20号旁（郭家山路好又多超市对面巷内60米）</t>
  </si>
  <si>
    <t>幕府</t>
  </si>
  <si>
    <t>06年</t>
  </si>
  <si>
    <t>6-083</t>
  </si>
  <si>
    <t>五佰村口</t>
  </si>
  <si>
    <t>中央北路五佰村路96号（佳得图文广告旁）</t>
  </si>
  <si>
    <t>6-089</t>
  </si>
  <si>
    <t>汽轮厂</t>
  </si>
  <si>
    <t>中央北路汽轮电机厂对面汽轮四村小区内23幢旁</t>
  </si>
  <si>
    <t>6-038</t>
  </si>
  <si>
    <t>黄土山</t>
  </si>
  <si>
    <t>中山北路黄土山6-1号京东星配旁</t>
  </si>
  <si>
    <t>82年</t>
  </si>
  <si>
    <t>6-044</t>
  </si>
  <si>
    <t>二板桥587号</t>
  </si>
  <si>
    <t>热河南路二板桥518号猪肉店对面</t>
  </si>
  <si>
    <t>6-095</t>
  </si>
  <si>
    <t>农行</t>
  </si>
  <si>
    <t>红山南路旁东门前街49号左侧巷内（和燕路旁东门前街55号旁）</t>
  </si>
  <si>
    <t>68年</t>
  </si>
  <si>
    <t>6-101</t>
  </si>
  <si>
    <t>小市新村</t>
  </si>
  <si>
    <t>中央北路小市新村巷子内老张蔬菜店旁</t>
  </si>
  <si>
    <t>6-098</t>
  </si>
  <si>
    <t>联合村100号</t>
  </si>
  <si>
    <t>中央北路与和燕路路口旁交通银行旁巷内联合村100号</t>
  </si>
  <si>
    <t>14年</t>
  </si>
  <si>
    <t>6-075</t>
  </si>
  <si>
    <t>金陵小区北</t>
  </si>
  <si>
    <t>金陵小区中转站内</t>
  </si>
  <si>
    <t>6-100</t>
  </si>
  <si>
    <t>小市村</t>
  </si>
  <si>
    <t>和燕路小市村小内14幢4单元旁</t>
  </si>
  <si>
    <t>6-111</t>
  </si>
  <si>
    <t>义民新村小</t>
  </si>
  <si>
    <t>晓街菜场对面义民路内200米左拐</t>
  </si>
  <si>
    <t>81年</t>
  </si>
  <si>
    <t>5-107</t>
  </si>
  <si>
    <t>小市公厕</t>
  </si>
  <si>
    <t>东井一村简27、28号东侧</t>
  </si>
  <si>
    <t>2015</t>
  </si>
  <si>
    <t>6-122</t>
  </si>
  <si>
    <t>中山码头</t>
  </si>
  <si>
    <t>移动A</t>
  </si>
  <si>
    <t>中山北路645号盛全商贸名烟名酒批发旁</t>
  </si>
  <si>
    <t>6-091</t>
  </si>
  <si>
    <t>安怀村幼儿园</t>
  </si>
  <si>
    <t>移动B</t>
  </si>
  <si>
    <t>安怀东路安怀村小区内安怀村幼儿园旁</t>
  </si>
  <si>
    <t>6-045</t>
  </si>
  <si>
    <t>玻璃钢二厂</t>
  </si>
  <si>
    <t>热河南路二板桥556号南京市长荣粮油禽蛋商行对面</t>
  </si>
  <si>
    <t>街巷起点</t>
  </si>
  <si>
    <t>街巷止点</t>
  </si>
  <si>
    <t>道路面积(万㎡)</t>
  </si>
  <si>
    <t>车行道面积(万㎡)</t>
  </si>
  <si>
    <t>保洁面积(万㎡)</t>
  </si>
  <si>
    <t>分隔带绿岛面积(万㎡)</t>
  </si>
  <si>
    <t>煤炭港路（复兴北路一期）</t>
  </si>
  <si>
    <t>东炮台街</t>
  </si>
  <si>
    <t>大洪池路（洪池路）</t>
  </si>
  <si>
    <t>老江口路
（江边路东延）</t>
  </si>
  <si>
    <t>老江口路</t>
  </si>
  <si>
    <t>洪池路</t>
  </si>
  <si>
    <t>惠民河西路建设工程（惠民河西路）</t>
  </si>
  <si>
    <t>龙头房路（天祥里）</t>
  </si>
  <si>
    <t>下关大街</t>
  </si>
  <si>
    <t>龙头房路</t>
  </si>
  <si>
    <t>小区断头路</t>
  </si>
  <si>
    <t>下关大街（下关大街一期）</t>
  </si>
  <si>
    <t>庆康里</t>
  </si>
  <si>
    <t>君兰路</t>
  </si>
  <si>
    <t>君竹路</t>
  </si>
  <si>
    <t>线路新村15幢</t>
  </si>
  <si>
    <t>编号</t>
  </si>
  <si>
    <t>街巷全长（m）</t>
  </si>
  <si>
    <t>街巷幅宽（m）</t>
  </si>
  <si>
    <t>街巷面积(万㎡)</t>
  </si>
  <si>
    <t>姜家园120巷</t>
  </si>
  <si>
    <t>热河南路37巷</t>
  </si>
  <si>
    <t>姜家园120巷14号</t>
  </si>
  <si>
    <t>惠悦巷东西巷</t>
  </si>
  <si>
    <t>郑淮路</t>
  </si>
  <si>
    <t>磅站(健身器材)</t>
  </si>
  <si>
    <t>惠民河东侧岸坡</t>
  </si>
  <si>
    <t>江海巷旁</t>
  </si>
  <si>
    <t>定淮门28号门前路</t>
  </si>
  <si>
    <t>定淮门大街28号</t>
  </si>
  <si>
    <t>兴安西路</t>
  </si>
  <si>
    <t>老江口</t>
  </si>
  <si>
    <t>商埠街33号门前路</t>
  </si>
  <si>
    <t>公共路</t>
  </si>
  <si>
    <t>门前路</t>
  </si>
  <si>
    <t>建宁新村滨河步道</t>
  </si>
  <si>
    <t>新民门路</t>
  </si>
  <si>
    <t>承德路</t>
  </si>
  <si>
    <t>绣球公园西门口</t>
  </si>
  <si>
    <t>石桥路</t>
  </si>
  <si>
    <t>邮局后巷</t>
  </si>
  <si>
    <t>政务中心后门</t>
  </si>
  <si>
    <t>阅江楼分局</t>
  </si>
  <si>
    <t>中国电信下关分局门口</t>
  </si>
  <si>
    <t>百合华府东侧无名道路</t>
  </si>
  <si>
    <t>百合华府</t>
  </si>
  <si>
    <t>百合华府西侧无名道路</t>
  </si>
  <si>
    <t>张家圩132号门口</t>
  </si>
  <si>
    <t>恒盛嘉园后面门面房门口</t>
  </si>
  <si>
    <t>恒盛嘉园后面门面房门口(靠近幕府南路)</t>
  </si>
  <si>
    <t>方家营80号便道</t>
  </si>
  <si>
    <t>方家营80-82号门口</t>
  </si>
  <si>
    <t>燕归里</t>
  </si>
  <si>
    <t>金陵村小区门口</t>
  </si>
  <si>
    <t>燕康里</t>
  </si>
  <si>
    <t>华瑞医疗路</t>
  </si>
  <si>
    <t>华瑞医疗门口</t>
  </si>
  <si>
    <t>热河南路37</t>
  </si>
  <si>
    <t>南医二附院</t>
  </si>
  <si>
    <t>老兴安路(现无名道路)</t>
  </si>
  <si>
    <t>兴安路6号公寓门口</t>
  </si>
  <si>
    <t>惠民河东路（老路）</t>
  </si>
  <si>
    <t>国铁公司大门</t>
  </si>
  <si>
    <t>东炮台街140号</t>
  </si>
  <si>
    <t>东炮台街19-1门店</t>
  </si>
  <si>
    <t>煤厂</t>
  </si>
  <si>
    <t>天秀巷</t>
  </si>
  <si>
    <t>阅绣巷</t>
  </si>
  <si>
    <t>颐和扬子饭店东侧无名支巷</t>
  </si>
  <si>
    <t>颐和扬子饭店东侧后门</t>
  </si>
  <si>
    <t>江边路民国首都电厂旧址公园对面支巷(原恒大售楼处旁道路)</t>
  </si>
  <si>
    <t>崇德里断头路</t>
  </si>
  <si>
    <t>恒大二期</t>
  </si>
  <si>
    <t>无名道路</t>
  </si>
  <si>
    <t>兴安路第二转弯口</t>
  </si>
  <si>
    <t>惠民河东路</t>
  </si>
  <si>
    <t>金铁巷</t>
  </si>
  <si>
    <t>动车运用所</t>
  </si>
  <si>
    <t>无名路(金达幼儿园)</t>
  </si>
  <si>
    <t>金达花园西门</t>
  </si>
  <si>
    <t>老油运小区路</t>
  </si>
  <si>
    <t>铁路服装厂路</t>
  </si>
  <si>
    <t>水关桥(桥景苑后面)</t>
  </si>
  <si>
    <t>桥景苑后门门面房</t>
  </si>
  <si>
    <t>桥洞路(两边绿地)</t>
  </si>
  <si>
    <t>幕府西路(包含甜水湾门前绿化）</t>
  </si>
  <si>
    <t>桥景苑门口</t>
  </si>
  <si>
    <t>青年路绿地</t>
  </si>
  <si>
    <t>青年路</t>
  </si>
  <si>
    <t>方家营南路</t>
  </si>
  <si>
    <t>宝燕中路大平台</t>
  </si>
  <si>
    <t>金陵新七村</t>
  </si>
  <si>
    <t>金象路-宝燕中路</t>
  </si>
  <si>
    <t>宝燕路苏果超市大平台</t>
  </si>
  <si>
    <t>宝燕南路与双燕路交叉路口绿岛</t>
  </si>
  <si>
    <t>永佳路旁部队路</t>
  </si>
  <si>
    <t>永佳路部队入口</t>
  </si>
  <si>
    <t>金久前门龙虾广场</t>
  </si>
  <si>
    <t>燕江园中院门前</t>
  </si>
  <si>
    <t>益丰大药房门前</t>
  </si>
  <si>
    <t>五村菜场周边路</t>
  </si>
  <si>
    <t>燕江园前院门口</t>
  </si>
  <si>
    <t>污水处理厂旁边无名路(含两边绿地）</t>
  </si>
  <si>
    <t>宝塔桥西街宝塔桥</t>
  </si>
  <si>
    <t>回龙桥</t>
  </si>
  <si>
    <t>公交底站路(含两边绿化)</t>
  </si>
  <si>
    <t>宝塔桥东街宝塔桥</t>
  </si>
  <si>
    <t>张蔡村沿铁道</t>
  </si>
  <si>
    <t>象山部队</t>
  </si>
  <si>
    <t>南引桥支巷两边绿地</t>
  </si>
  <si>
    <t>南引桥</t>
  </si>
  <si>
    <t>上南堡新寓、煤炭港60号绿地</t>
  </si>
  <si>
    <t>南堡新寓大门口</t>
  </si>
  <si>
    <t>煤炭港大门口</t>
  </si>
  <si>
    <t>象山仓库</t>
  </si>
  <si>
    <t>金域中央三期地铁出口步道</t>
  </si>
  <si>
    <t>翠平路</t>
  </si>
  <si>
    <t>星河广场</t>
  </si>
  <si>
    <t>江边武警部队门前路</t>
  </si>
  <si>
    <t>江边武警部队</t>
  </si>
  <si>
    <t>夹心地路</t>
  </si>
  <si>
    <t>红山南路</t>
  </si>
  <si>
    <t>铁路桥</t>
  </si>
  <si>
    <t>黄家圩铁路桥</t>
  </si>
  <si>
    <t>建基开平厂路</t>
  </si>
  <si>
    <t>上铁公司门口</t>
  </si>
  <si>
    <t>五塘和园</t>
  </si>
  <si>
    <t>五塘和园南侧围挡</t>
  </si>
  <si>
    <t>军印巷</t>
  </si>
  <si>
    <t>润丰大市场门口</t>
  </si>
  <si>
    <t>公厕等级</t>
  </si>
  <si>
    <r>
      <rPr>
        <sz val="12"/>
        <color theme="1"/>
        <rFont val="方正仿宋_GBK"/>
        <charset val="134"/>
      </rPr>
      <t>火车主题园</t>
    </r>
    <r>
      <rPr>
        <sz val="12"/>
        <color theme="1"/>
        <rFont val="Times New Roman"/>
        <family val="1"/>
      </rPr>
      <t>B</t>
    </r>
    <r>
      <rPr>
        <sz val="12"/>
        <color theme="1"/>
        <rFont val="方正仿宋_GBK"/>
        <charset val="134"/>
      </rPr>
      <t>座</t>
    </r>
  </si>
  <si>
    <r>
      <rPr>
        <sz val="12"/>
        <color theme="1"/>
        <rFont val="方正仿宋_GBK"/>
        <charset val="134"/>
      </rPr>
      <t>二类</t>
    </r>
    <r>
      <rPr>
        <sz val="12"/>
        <color theme="1"/>
        <rFont val="Times New Roman"/>
        <family val="1"/>
      </rPr>
      <t>C</t>
    </r>
  </si>
  <si>
    <r>
      <rPr>
        <sz val="12"/>
        <color theme="1"/>
        <rFont val="方正仿宋_GBK"/>
        <charset val="134"/>
      </rPr>
      <t>火车主题园</t>
    </r>
    <r>
      <rPr>
        <sz val="12"/>
        <color theme="1"/>
        <rFont val="Times New Roman"/>
        <family val="1"/>
      </rPr>
      <t>D</t>
    </r>
    <r>
      <rPr>
        <sz val="12"/>
        <color theme="1"/>
        <rFont val="方正仿宋_GBK"/>
        <charset val="134"/>
      </rPr>
      <t>座</t>
    </r>
  </si>
  <si>
    <t>下关滨江沿线二期</t>
  </si>
  <si>
    <r>
      <rPr>
        <sz val="12"/>
        <color theme="1"/>
        <rFont val="方正仿宋_GBK"/>
        <charset val="134"/>
      </rPr>
      <t>二类</t>
    </r>
    <r>
      <rPr>
        <sz val="12"/>
        <color theme="1"/>
        <rFont val="Times New Roman"/>
        <family val="1"/>
      </rPr>
      <t>B</t>
    </r>
  </si>
  <si>
    <t>小桃园二期</t>
  </si>
  <si>
    <r>
      <rPr>
        <sz val="12"/>
        <color theme="1"/>
        <rFont val="方正仿宋_GBK"/>
        <charset val="134"/>
      </rPr>
      <t>下关滨江岸线</t>
    </r>
    <r>
      <rPr>
        <sz val="12"/>
        <color theme="1"/>
        <rFont val="Times New Roman"/>
        <family val="1"/>
      </rPr>
      <t>AB</t>
    </r>
    <r>
      <rPr>
        <sz val="12"/>
        <color theme="1"/>
        <rFont val="方正仿宋_GBK"/>
        <charset val="134"/>
      </rPr>
      <t>段</t>
    </r>
  </si>
  <si>
    <t>海军医院南楼</t>
  </si>
  <si>
    <t>锦绣江山花园西苑</t>
  </si>
  <si>
    <t>商埠街</t>
  </si>
  <si>
    <t>金大加油站</t>
  </si>
  <si>
    <t>水吉路</t>
  </si>
  <si>
    <t>下关滨江沿线泵站</t>
  </si>
  <si>
    <t>金燕路与燕江路路口</t>
  </si>
  <si>
    <r>
      <rPr>
        <sz val="12"/>
        <color theme="1"/>
        <rFont val="方正仿宋_GBK"/>
        <charset val="134"/>
      </rPr>
      <t>移动</t>
    </r>
    <r>
      <rPr>
        <sz val="12"/>
        <color theme="1"/>
        <rFont val="Times New Roman"/>
        <family val="1"/>
      </rPr>
      <t>B</t>
    </r>
  </si>
  <si>
    <t>金燕路中段</t>
  </si>
  <si>
    <r>
      <rPr>
        <sz val="12"/>
        <color theme="1"/>
        <rFont val="方正仿宋_GBK"/>
        <charset val="134"/>
      </rPr>
      <t>永济大道西端</t>
    </r>
  </si>
  <si>
    <r>
      <rPr>
        <sz val="12"/>
        <color theme="1"/>
        <rFont val="方正仿宋_GBK"/>
        <charset val="134"/>
      </rPr>
      <t>一类</t>
    </r>
    <r>
      <rPr>
        <sz val="12"/>
        <color theme="1"/>
        <rFont val="Times New Roman"/>
        <family val="1"/>
      </rPr>
      <t>B</t>
    </r>
  </si>
  <si>
    <r>
      <rPr>
        <sz val="12"/>
        <color theme="1"/>
        <rFont val="方正仿宋_GBK"/>
        <charset val="134"/>
      </rPr>
      <t>永济大道中段</t>
    </r>
  </si>
  <si>
    <r>
      <rPr>
        <sz val="12"/>
        <color theme="1"/>
        <rFont val="方正仿宋_GBK"/>
        <charset val="134"/>
      </rPr>
      <t>金达路</t>
    </r>
  </si>
  <si>
    <r>
      <rPr>
        <sz val="12"/>
        <color theme="1"/>
        <rFont val="方正仿宋_GBK"/>
        <charset val="134"/>
      </rPr>
      <t>北祥路</t>
    </r>
  </si>
  <si>
    <r>
      <rPr>
        <b/>
        <sz val="12"/>
        <color theme="1"/>
        <rFont val="方正仿宋_GBK"/>
        <charset val="134"/>
      </rPr>
      <t>小计</t>
    </r>
  </si>
  <si>
    <r>
      <rPr>
        <sz val="12"/>
        <color theme="1"/>
        <rFont val="方正仿宋_GBK"/>
        <charset val="134"/>
      </rPr>
      <t>江海大院</t>
    </r>
  </si>
  <si>
    <r>
      <rPr>
        <sz val="12"/>
        <color theme="1"/>
        <rFont val="方正仿宋_GBK"/>
        <charset val="134"/>
      </rPr>
      <t>东炮台街</t>
    </r>
    <r>
      <rPr>
        <sz val="12"/>
        <color theme="1"/>
        <rFont val="Times New Roman"/>
        <family val="1"/>
      </rPr>
      <t>38</t>
    </r>
    <r>
      <rPr>
        <sz val="12"/>
        <color theme="1"/>
        <rFont val="方正仿宋_GBK"/>
        <charset val="134"/>
      </rPr>
      <t>巷公厕</t>
    </r>
  </si>
  <si>
    <r>
      <rPr>
        <sz val="12"/>
        <color theme="1"/>
        <rFont val="方正仿宋_GBK"/>
        <charset val="134"/>
      </rPr>
      <t>滨江西园公厕</t>
    </r>
  </si>
  <si>
    <r>
      <rPr>
        <sz val="12"/>
        <color theme="1"/>
        <rFont val="方正仿宋_GBK"/>
        <charset val="134"/>
      </rPr>
      <t>建宁路</t>
    </r>
    <r>
      <rPr>
        <sz val="12"/>
        <color theme="1"/>
        <rFont val="Times New Roman"/>
        <family val="1"/>
      </rPr>
      <t>18</t>
    </r>
    <r>
      <rPr>
        <sz val="12"/>
        <color theme="1"/>
        <rFont val="方正仿宋_GBK"/>
        <charset val="134"/>
      </rPr>
      <t>号小区公厕</t>
    </r>
  </si>
  <si>
    <r>
      <rPr>
        <sz val="12"/>
        <color theme="1"/>
        <rFont val="方正仿宋_GBK"/>
        <charset val="134"/>
      </rPr>
      <t>宝塔桥东街</t>
    </r>
    <r>
      <rPr>
        <sz val="12"/>
        <color theme="1"/>
        <rFont val="Times New Roman"/>
        <family val="1"/>
      </rPr>
      <t>20</t>
    </r>
    <r>
      <rPr>
        <sz val="12"/>
        <color theme="1"/>
        <rFont val="方正仿宋_GBK"/>
        <charset val="134"/>
      </rPr>
      <t>号小区公厕</t>
    </r>
  </si>
  <si>
    <r>
      <rPr>
        <sz val="12"/>
        <color theme="1"/>
        <rFont val="方正仿宋_GBK"/>
        <charset val="134"/>
      </rPr>
      <t>金陵村副业队小区公厕</t>
    </r>
  </si>
  <si>
    <r>
      <rPr>
        <sz val="12"/>
        <color theme="1"/>
        <rFont val="方正仿宋_GBK"/>
        <charset val="134"/>
      </rPr>
      <t>大桥新村小区公厕</t>
    </r>
  </si>
  <si>
    <r>
      <rPr>
        <sz val="12"/>
        <color theme="1"/>
        <rFont val="方正仿宋_GBK"/>
        <charset val="134"/>
      </rPr>
      <t>上元里</t>
    </r>
    <r>
      <rPr>
        <sz val="12"/>
        <color theme="1"/>
        <rFont val="Times New Roman"/>
        <family val="1"/>
      </rPr>
      <t>6</t>
    </r>
    <r>
      <rPr>
        <sz val="12"/>
        <color theme="1"/>
        <rFont val="方正仿宋_GBK"/>
        <charset val="134"/>
      </rPr>
      <t>号公厕</t>
    </r>
  </si>
  <si>
    <t>小市村82号大院公厕（暂定名）</t>
  </si>
  <si>
    <r>
      <rPr>
        <sz val="12"/>
        <color theme="1"/>
        <rFont val="方正仿宋_GBK"/>
        <charset val="134"/>
      </rPr>
      <t>窑一队公厕</t>
    </r>
  </si>
  <si>
    <r>
      <rPr>
        <sz val="12"/>
        <color theme="1"/>
        <rFont val="方正仿宋_GBK"/>
        <charset val="134"/>
      </rPr>
      <t>崂山路公厕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</si>
  <si>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方正仿宋_GBK"/>
        <charset val="134"/>
      </rPr>
      <t>崂山路公厕</t>
    </r>
    <r>
      <rPr>
        <sz val="12"/>
        <color theme="1"/>
        <rFont val="Times New Roman"/>
        <family val="1"/>
      </rPr>
      <t>2</t>
    </r>
  </si>
  <si>
    <r>
      <rPr>
        <b/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</si>
</sst>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8" formatCode="0_);[Red]\(0\)"/>
    <numFmt numFmtId="179" formatCode="0.0_);[Red]\(0.0\)"/>
    <numFmt numFmtId="180" formatCode="0.00_ "/>
    <numFmt numFmtId="181" formatCode="0.0_ "/>
    <numFmt numFmtId="182" formatCode="0.00_);\(0.00\)"/>
    <numFmt numFmtId="183" formatCode="0.000_);\(0.000\)"/>
    <numFmt numFmtId="184" formatCode="0.000_);[Red]\(0.000\)"/>
    <numFmt numFmtId="185" formatCode="0.00_);[Red]\(0.00\)"/>
    <numFmt numFmtId="186" formatCode="#,##0_);\-#,##0"/>
    <numFmt numFmtId="187" formatCode="#,##0.00_);\-#,##0.00"/>
    <numFmt numFmtId="188" formatCode="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8"/>
      <name val="方正仿宋简体"/>
      <charset val="134"/>
    </font>
    <font>
      <sz val="12"/>
      <name val="宋体"/>
      <family val="3"/>
      <charset val="134"/>
      <scheme val="minor"/>
    </font>
    <font>
      <sz val="8"/>
      <name val="方正仿宋简体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2"/>
      <color theme="1"/>
      <name val="方正仿宋_GBK"/>
      <charset val="134"/>
    </font>
    <font>
      <b/>
      <vertAlign val="superscript"/>
      <sz val="8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7">
    <xf numFmtId="0" fontId="0" fillId="0" borderId="0">
      <alignment vertical="center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6" fillId="0" borderId="0"/>
    <xf numFmtId="0" fontId="16" fillId="0" borderId="0"/>
    <xf numFmtId="0" fontId="7" fillId="0" borderId="0"/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16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6" fillId="0" borderId="0"/>
  </cellStyleXfs>
  <cellXfs count="342">
    <xf numFmtId="0" fontId="0" fillId="0" borderId="0" xfId="0">
      <alignment vertical="center"/>
    </xf>
    <xf numFmtId="0" fontId="1" fillId="2" borderId="1" xfId="41" applyFont="1" applyFill="1" applyBorder="1" applyAlignment="1">
      <alignment horizontal="center" vertical="center" wrapText="1"/>
    </xf>
    <xf numFmtId="178" fontId="2" fillId="2" borderId="1" xfId="42" applyNumberFormat="1" applyFont="1" applyFill="1" applyBorder="1" applyAlignment="1">
      <alignment horizontal="center" vertical="center" wrapText="1"/>
    </xf>
    <xf numFmtId="178" fontId="3" fillId="2" borderId="1" xfId="42" applyNumberFormat="1" applyFont="1" applyFill="1" applyBorder="1" applyAlignment="1">
      <alignment horizontal="center" vertical="center" wrapText="1"/>
    </xf>
    <xf numFmtId="178" fontId="4" fillId="2" borderId="1" xfId="42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8" fontId="5" fillId="2" borderId="1" xfId="42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24" applyFont="1" applyBorder="1" applyAlignment="1" applyProtection="1">
      <alignment horizontal="center" vertical="center" wrapText="1"/>
      <protection locked="0"/>
    </xf>
    <xf numFmtId="179" fontId="9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180" fontId="9" fillId="2" borderId="1" xfId="24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24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82" fontId="8" fillId="2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0" fontId="9" fillId="0" borderId="1" xfId="24" applyNumberFormat="1" applyFont="1" applyBorder="1" applyAlignment="1" applyProtection="1">
      <alignment horizontal="center" vertical="center" wrapText="1"/>
      <protection locked="0"/>
    </xf>
    <xf numFmtId="180" fontId="9" fillId="2" borderId="1" xfId="0" applyNumberFormat="1" applyFont="1" applyFill="1" applyBorder="1" applyAlignment="1">
      <alignment horizontal="center" vertical="center"/>
    </xf>
    <xf numFmtId="183" fontId="8" fillId="2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/>
    </xf>
    <xf numFmtId="179" fontId="9" fillId="2" borderId="1" xfId="24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24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178" fontId="9" fillId="2" borderId="3" xfId="0" applyNumberFormat="1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80" fontId="9" fillId="2" borderId="5" xfId="24" applyNumberFormat="1" applyFont="1" applyFill="1" applyBorder="1" applyAlignment="1" applyProtection="1">
      <alignment horizontal="center" vertical="center" wrapText="1"/>
      <protection locked="0"/>
    </xf>
    <xf numFmtId="183" fontId="8" fillId="2" borderId="5" xfId="0" applyNumberFormat="1" applyFont="1" applyFill="1" applyBorder="1" applyAlignment="1">
      <alignment horizontal="center" vertical="center" wrapText="1"/>
    </xf>
    <xf numFmtId="178" fontId="10" fillId="2" borderId="0" xfId="5" applyNumberFormat="1" applyFont="1" applyFill="1" applyAlignment="1">
      <alignment horizontal="center" vertical="center" wrapText="1"/>
    </xf>
    <xf numFmtId="0" fontId="10" fillId="2" borderId="0" xfId="23" applyFont="1" applyFill="1" applyAlignment="1">
      <alignment horizontal="center" vertical="center" wrapText="1"/>
    </xf>
    <xf numFmtId="178" fontId="11" fillId="2" borderId="0" xfId="23" applyNumberFormat="1" applyFont="1" applyFill="1" applyAlignment="1">
      <alignment horizontal="center" vertical="center" wrapText="1"/>
    </xf>
    <xf numFmtId="178" fontId="10" fillId="2" borderId="0" xfId="23" applyNumberFormat="1" applyFont="1" applyFill="1" applyAlignment="1">
      <alignment vertical="center" wrapText="1"/>
    </xf>
    <xf numFmtId="178" fontId="12" fillId="2" borderId="0" xfId="15" applyNumberFormat="1" applyFont="1" applyFill="1" applyAlignment="1">
      <alignment horizontal="center" vertical="center" wrapText="1"/>
    </xf>
    <xf numFmtId="0" fontId="10" fillId="2" borderId="0" xfId="22" applyFont="1" applyFill="1" applyAlignment="1">
      <alignment vertical="center" wrapText="1"/>
    </xf>
    <xf numFmtId="178" fontId="10" fillId="2" borderId="0" xfId="23" applyNumberFormat="1" applyFont="1" applyFill="1" applyAlignment="1">
      <alignment horizontal="center" vertical="center" wrapText="1"/>
    </xf>
    <xf numFmtId="184" fontId="10" fillId="2" borderId="0" xfId="23" applyNumberFormat="1" applyFont="1" applyFill="1" applyAlignment="1">
      <alignment horizontal="center" vertical="center" wrapText="1"/>
    </xf>
    <xf numFmtId="178" fontId="11" fillId="2" borderId="3" xfId="41" applyNumberFormat="1" applyFont="1" applyFill="1" applyBorder="1" applyAlignment="1">
      <alignment horizontal="center" vertical="center" wrapText="1"/>
    </xf>
    <xf numFmtId="178" fontId="10" fillId="2" borderId="1" xfId="42" applyNumberFormat="1" applyFont="1" applyFill="1" applyBorder="1" applyAlignment="1">
      <alignment horizontal="center" vertical="center" wrapText="1"/>
    </xf>
    <xf numFmtId="178" fontId="10" fillId="2" borderId="1" xfId="5" applyNumberFormat="1" applyFont="1" applyFill="1" applyBorder="1" applyAlignment="1">
      <alignment horizontal="center" vertical="center" wrapText="1"/>
    </xf>
    <xf numFmtId="49" fontId="10" fillId="2" borderId="1" xfId="42" applyNumberFormat="1" applyFont="1" applyFill="1" applyBorder="1" applyAlignment="1">
      <alignment horizontal="center" vertical="center" wrapText="1"/>
    </xf>
    <xf numFmtId="178" fontId="11" fillId="2" borderId="1" xfId="42" applyNumberFormat="1" applyFont="1" applyFill="1" applyBorder="1" applyAlignment="1">
      <alignment horizontal="center" vertical="center" wrapText="1"/>
    </xf>
    <xf numFmtId="178" fontId="11" fillId="2" borderId="1" xfId="5" applyNumberFormat="1" applyFont="1" applyFill="1" applyBorder="1" applyAlignment="1">
      <alignment horizontal="center" vertical="center" wrapText="1"/>
    </xf>
    <xf numFmtId="178" fontId="10" fillId="2" borderId="1" xfId="40" applyNumberFormat="1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178" fontId="11" fillId="2" borderId="6" xfId="42" applyNumberFormat="1" applyFont="1" applyFill="1" applyBorder="1" applyAlignment="1">
      <alignment horizontal="center" vertical="center" wrapText="1"/>
    </xf>
    <xf numFmtId="178" fontId="11" fillId="2" borderId="5" xfId="42" applyNumberFormat="1" applyFont="1" applyFill="1" applyBorder="1" applyAlignment="1">
      <alignment horizontal="center" vertical="center" wrapText="1"/>
    </xf>
    <xf numFmtId="178" fontId="10" fillId="2" borderId="1" xfId="45" applyNumberFormat="1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78" fontId="11" fillId="2" borderId="1" xfId="40" applyNumberFormat="1" applyFont="1" applyFill="1" applyBorder="1" applyAlignment="1">
      <alignment horizontal="center" vertical="center" wrapText="1"/>
    </xf>
    <xf numFmtId="184" fontId="10" fillId="2" borderId="1" xfId="5" applyNumberFormat="1" applyFont="1" applyFill="1" applyBorder="1" applyAlignment="1">
      <alignment horizontal="center" vertical="center" wrapText="1"/>
    </xf>
    <xf numFmtId="0" fontId="10" fillId="2" borderId="1" xfId="23" applyFont="1" applyFill="1" applyBorder="1" applyAlignment="1">
      <alignment horizontal="center" vertical="center" wrapText="1"/>
    </xf>
    <xf numFmtId="184" fontId="11" fillId="2" borderId="1" xfId="5" applyNumberFormat="1" applyFont="1" applyFill="1" applyBorder="1" applyAlignment="1">
      <alignment horizontal="center" vertical="center" wrapText="1"/>
    </xf>
    <xf numFmtId="178" fontId="10" fillId="2" borderId="1" xfId="9" applyNumberFormat="1" applyFont="1" applyFill="1" applyBorder="1" applyAlignment="1">
      <alignment horizontal="center" vertical="center" wrapText="1"/>
    </xf>
    <xf numFmtId="184" fontId="10" fillId="2" borderId="1" xfId="42" applyNumberFormat="1" applyFont="1" applyFill="1" applyBorder="1" applyAlignment="1">
      <alignment horizontal="center" vertical="center" wrapText="1"/>
    </xf>
    <xf numFmtId="184" fontId="10" fillId="2" borderId="1" xfId="9" applyNumberFormat="1" applyFont="1" applyFill="1" applyBorder="1" applyAlignment="1">
      <alignment horizontal="center" vertical="center" wrapText="1"/>
    </xf>
    <xf numFmtId="0" fontId="10" fillId="2" borderId="1" xfId="42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178" fontId="11" fillId="2" borderId="1" xfId="9" applyNumberFormat="1" applyFont="1" applyFill="1" applyBorder="1" applyAlignment="1">
      <alignment horizontal="center" vertical="center" wrapText="1"/>
    </xf>
    <xf numFmtId="184" fontId="11" fillId="2" borderId="1" xfId="42" applyNumberFormat="1" applyFont="1" applyFill="1" applyBorder="1" applyAlignment="1">
      <alignment horizontal="center" vertical="center" wrapText="1"/>
    </xf>
    <xf numFmtId="184" fontId="11" fillId="2" borderId="1" xfId="9" applyNumberFormat="1" applyFont="1" applyFill="1" applyBorder="1" applyAlignment="1">
      <alignment horizontal="center" vertical="center" wrapText="1"/>
    </xf>
    <xf numFmtId="178" fontId="11" fillId="2" borderId="1" xfId="41" applyNumberFormat="1" applyFont="1" applyFill="1" applyBorder="1" applyAlignment="1">
      <alignment horizontal="center" vertical="center" wrapText="1"/>
    </xf>
    <xf numFmtId="178" fontId="10" fillId="2" borderId="0" xfId="9" applyNumberFormat="1" applyFont="1" applyFill="1" applyAlignment="1">
      <alignment vertical="center" wrapText="1"/>
    </xf>
    <xf numFmtId="0" fontId="10" fillId="2" borderId="0" xfId="9" applyFont="1" applyFill="1" applyAlignment="1">
      <alignment vertical="center"/>
    </xf>
    <xf numFmtId="178" fontId="11" fillId="2" borderId="0" xfId="9" applyNumberFormat="1" applyFont="1" applyFill="1" applyAlignment="1">
      <alignment vertical="center" wrapText="1"/>
    </xf>
    <xf numFmtId="178" fontId="11" fillId="2" borderId="5" xfId="42" applyNumberFormat="1" applyFont="1" applyFill="1" applyBorder="1" applyAlignment="1">
      <alignment vertical="center" wrapText="1"/>
    </xf>
    <xf numFmtId="178" fontId="10" fillId="2" borderId="0" xfId="42" applyNumberFormat="1" applyFont="1" applyFill="1" applyAlignment="1">
      <alignment horizontal="center" vertical="center" wrapText="1"/>
    </xf>
    <xf numFmtId="0" fontId="15" fillId="0" borderId="0" xfId="21" applyFont="1">
      <alignment vertical="center"/>
    </xf>
    <xf numFmtId="0" fontId="15" fillId="0" borderId="0" xfId="10" applyFont="1" applyAlignment="1">
      <alignment horizontal="center" vertical="center"/>
    </xf>
    <xf numFmtId="0" fontId="15" fillId="0" borderId="0" xfId="7" applyFont="1"/>
    <xf numFmtId="0" fontId="15" fillId="0" borderId="0" xfId="7" applyFont="1" applyAlignment="1">
      <alignment vertical="center"/>
    </xf>
    <xf numFmtId="0" fontId="13" fillId="0" borderId="0" xfId="21" applyFont="1">
      <alignment vertical="center"/>
    </xf>
    <xf numFmtId="0" fontId="16" fillId="0" borderId="0" xfId="0" applyFont="1" applyAlignment="1"/>
    <xf numFmtId="0" fontId="15" fillId="0" borderId="0" xfId="21" applyFont="1" applyAlignment="1">
      <alignment horizontal="center" vertical="center"/>
    </xf>
    <xf numFmtId="0" fontId="15" fillId="0" borderId="0" xfId="21" applyFont="1" applyAlignment="1">
      <alignment horizontal="center" vertical="center" wrapText="1"/>
    </xf>
    <xf numFmtId="185" fontId="15" fillId="0" borderId="0" xfId="21" applyNumberFormat="1" applyFont="1" applyAlignment="1">
      <alignment horizontal="center" vertical="center"/>
    </xf>
    <xf numFmtId="0" fontId="13" fillId="0" borderId="1" xfId="39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178" fontId="13" fillId="0" borderId="1" xfId="39" applyNumberFormat="1" applyFont="1" applyBorder="1" applyAlignment="1">
      <alignment horizontal="center" vertical="center" wrapText="1"/>
    </xf>
    <xf numFmtId="185" fontId="13" fillId="0" borderId="1" xfId="39" applyNumberFormat="1" applyFont="1" applyBorder="1" applyAlignment="1">
      <alignment horizontal="center" vertical="center" wrapText="1"/>
    </xf>
    <xf numFmtId="0" fontId="15" fillId="0" borderId="1" xfId="44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44" applyFont="1" applyBorder="1" applyAlignment="1">
      <alignment horizontal="center" vertical="center" wrapText="1"/>
    </xf>
    <xf numFmtId="0" fontId="15" fillId="0" borderId="5" xfId="21" applyFont="1" applyBorder="1" applyAlignment="1">
      <alignment horizontal="center" vertical="center" wrapText="1"/>
    </xf>
    <xf numFmtId="0" fontId="15" fillId="0" borderId="1" xfId="21" applyFont="1" applyBorder="1" applyAlignment="1">
      <alignment horizontal="center" vertical="center" wrapText="1"/>
    </xf>
    <xf numFmtId="185" fontId="15" fillId="0" borderId="1" xfId="21" applyNumberFormat="1" applyFont="1" applyBorder="1" applyAlignment="1">
      <alignment horizontal="center" vertical="center"/>
    </xf>
    <xf numFmtId="0" fontId="15" fillId="0" borderId="5" xfId="44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85" fontId="15" fillId="0" borderId="1" xfId="44" applyNumberFormat="1" applyFont="1" applyBorder="1" applyAlignment="1">
      <alignment horizontal="center" vertical="center"/>
    </xf>
    <xf numFmtId="0" fontId="15" fillId="0" borderId="5" xfId="21" applyFont="1" applyBorder="1" applyAlignment="1">
      <alignment horizontal="center" vertical="center" wrapText="1" shrinkToFit="1"/>
    </xf>
    <xf numFmtId="185" fontId="15" fillId="0" borderId="1" xfId="21" applyNumberFormat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185" fontId="15" fillId="0" borderId="1" xfId="7" applyNumberFormat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185" fontId="15" fillId="0" borderId="2" xfId="24" applyNumberFormat="1" applyFont="1" applyBorder="1" applyAlignment="1" applyProtection="1">
      <alignment vertical="center" wrapText="1"/>
      <protection locked="0"/>
    </xf>
    <xf numFmtId="49" fontId="15" fillId="0" borderId="1" xfId="10" applyNumberFormat="1" applyFont="1" applyBorder="1" applyAlignment="1">
      <alignment horizontal="center" vertical="center" wrapText="1"/>
    </xf>
    <xf numFmtId="49" fontId="15" fillId="0" borderId="5" xfId="10" applyNumberFormat="1" applyFont="1" applyBorder="1" applyAlignment="1">
      <alignment horizontal="center" vertical="center" wrapText="1"/>
    </xf>
    <xf numFmtId="180" fontId="15" fillId="0" borderId="1" xfId="10" applyNumberFormat="1" applyFont="1" applyBorder="1" applyAlignment="1">
      <alignment horizontal="center" vertical="center" wrapText="1"/>
    </xf>
    <xf numFmtId="185" fontId="15" fillId="0" borderId="1" xfId="10" applyNumberFormat="1" applyFont="1" applyBorder="1" applyAlignment="1">
      <alignment horizontal="center" vertical="center" wrapText="1"/>
    </xf>
    <xf numFmtId="0" fontId="15" fillId="0" borderId="1" xfId="20" applyFont="1" applyBorder="1" applyAlignment="1">
      <alignment horizontal="center" vertical="center" wrapText="1" shrinkToFit="1"/>
    </xf>
    <xf numFmtId="0" fontId="15" fillId="0" borderId="5" xfId="20" applyFont="1" applyBorder="1" applyAlignment="1">
      <alignment horizontal="center" vertical="center" wrapText="1" shrinkToFit="1"/>
    </xf>
    <xf numFmtId="185" fontId="15" fillId="0" borderId="1" xfId="20" applyNumberFormat="1" applyFont="1" applyBorder="1" applyAlignment="1">
      <alignment horizontal="center" vertical="center" wrapText="1" shrinkToFit="1"/>
    </xf>
    <xf numFmtId="49" fontId="15" fillId="0" borderId="1" xfId="11" applyNumberFormat="1" applyFont="1" applyBorder="1" applyAlignment="1">
      <alignment horizontal="center" vertical="center" wrapText="1"/>
    </xf>
    <xf numFmtId="49" fontId="15" fillId="0" borderId="5" xfId="11" applyNumberFormat="1" applyFont="1" applyBorder="1" applyAlignment="1">
      <alignment horizontal="center" vertical="center" wrapText="1"/>
    </xf>
    <xf numFmtId="185" fontId="15" fillId="0" borderId="1" xfId="11" applyNumberFormat="1" applyFont="1" applyBorder="1" applyAlignment="1">
      <alignment horizontal="center" vertical="center" wrapText="1"/>
    </xf>
    <xf numFmtId="0" fontId="15" fillId="0" borderId="5" xfId="1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178" fontId="13" fillId="0" borderId="1" xfId="10" applyNumberFormat="1" applyFont="1" applyBorder="1" applyAlignment="1">
      <alignment horizontal="center" vertical="center" wrapText="1"/>
    </xf>
    <xf numFmtId="178" fontId="13" fillId="0" borderId="5" xfId="10" applyNumberFormat="1" applyFont="1" applyBorder="1" applyAlignment="1">
      <alignment horizontal="center" vertical="center" wrapText="1"/>
    </xf>
    <xf numFmtId="185" fontId="13" fillId="0" borderId="1" xfId="10" applyNumberFormat="1" applyFont="1" applyBorder="1" applyAlignment="1">
      <alignment horizontal="center" vertical="center" wrapText="1"/>
    </xf>
    <xf numFmtId="0" fontId="15" fillId="0" borderId="1" xfId="46" applyFont="1" applyBorder="1" applyAlignment="1">
      <alignment horizontal="center" vertical="center" wrapText="1"/>
    </xf>
    <xf numFmtId="185" fontId="15" fillId="0" borderId="1" xfId="44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1" xfId="21" applyFont="1" applyBorder="1" applyAlignment="1">
      <alignment horizontal="center" vertical="center" wrapText="1" shrinkToFit="1"/>
    </xf>
    <xf numFmtId="0" fontId="15" fillId="0" borderId="1" xfId="16" applyFont="1" applyBorder="1" applyAlignment="1">
      <alignment horizontal="center" vertical="center" wrapText="1"/>
    </xf>
    <xf numFmtId="0" fontId="15" fillId="0" borderId="5" xfId="16" applyFont="1" applyBorder="1" applyAlignment="1">
      <alignment horizontal="center" vertical="center" wrapText="1"/>
    </xf>
    <xf numFmtId="180" fontId="15" fillId="0" borderId="1" xfId="16" applyNumberFormat="1" applyFont="1" applyBorder="1" applyAlignment="1">
      <alignment horizontal="center" vertical="center" wrapText="1"/>
    </xf>
    <xf numFmtId="0" fontId="15" fillId="0" borderId="2" xfId="43" applyFont="1" applyBorder="1" applyAlignment="1">
      <alignment horizontal="center" vertical="center" wrapText="1"/>
    </xf>
    <xf numFmtId="0" fontId="15" fillId="0" borderId="1" xfId="43" applyFont="1" applyBorder="1" applyAlignment="1">
      <alignment horizontal="center" vertical="center" wrapText="1"/>
    </xf>
    <xf numFmtId="0" fontId="15" fillId="0" borderId="5" xfId="43" applyFont="1" applyBorder="1" applyAlignment="1">
      <alignment horizontal="center" vertical="center" wrapText="1"/>
    </xf>
    <xf numFmtId="0" fontId="15" fillId="0" borderId="1" xfId="43" applyFont="1" applyBorder="1" applyAlignment="1">
      <alignment horizontal="center" vertical="center"/>
    </xf>
    <xf numFmtId="0" fontId="15" fillId="0" borderId="0" xfId="0" applyFont="1" applyAlignment="1"/>
    <xf numFmtId="49" fontId="15" fillId="0" borderId="1" xfId="46" applyNumberFormat="1" applyFont="1" applyBorder="1" applyAlignment="1">
      <alignment horizontal="center" vertical="center" wrapText="1"/>
    </xf>
    <xf numFmtId="49" fontId="15" fillId="0" borderId="5" xfId="46" applyNumberFormat="1" applyFont="1" applyBorder="1" applyAlignment="1">
      <alignment horizontal="center" vertical="center" wrapText="1"/>
    </xf>
    <xf numFmtId="178" fontId="15" fillId="0" borderId="1" xfId="46" applyNumberFormat="1" applyFont="1" applyBorder="1" applyAlignment="1">
      <alignment horizontal="center" vertical="center" wrapText="1"/>
    </xf>
    <xf numFmtId="0" fontId="15" fillId="0" borderId="1" xfId="46" applyFont="1" applyBorder="1" applyAlignment="1">
      <alignment horizontal="center" vertical="center"/>
    </xf>
    <xf numFmtId="49" fontId="15" fillId="0" borderId="1" xfId="7" applyNumberFormat="1" applyFont="1" applyBorder="1" applyAlignment="1">
      <alignment horizontal="center" vertical="center" wrapText="1"/>
    </xf>
    <xf numFmtId="180" fontId="15" fillId="0" borderId="1" xfId="7" applyNumberFormat="1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1" xfId="18" applyFont="1" applyBorder="1" applyAlignment="1">
      <alignment horizontal="center" vertical="center" wrapText="1"/>
    </xf>
    <xf numFmtId="0" fontId="15" fillId="0" borderId="5" xfId="18" applyFont="1" applyBorder="1" applyAlignment="1">
      <alignment horizontal="center" vertical="center" wrapText="1"/>
    </xf>
    <xf numFmtId="185" fontId="15" fillId="0" borderId="1" xfId="18" applyNumberFormat="1" applyFont="1" applyBorder="1" applyAlignment="1">
      <alignment horizontal="center" vertical="center" wrapText="1"/>
    </xf>
    <xf numFmtId="0" fontId="15" fillId="0" borderId="8" xfId="7" applyFont="1" applyBorder="1" applyAlignment="1">
      <alignment horizontal="center" vertical="center" wrapText="1"/>
    </xf>
    <xf numFmtId="0" fontId="15" fillId="0" borderId="3" xfId="21" applyFont="1" applyBorder="1" applyAlignment="1">
      <alignment horizontal="center" vertical="center" wrapText="1"/>
    </xf>
    <xf numFmtId="0" fontId="15" fillId="0" borderId="9" xfId="21" applyFont="1" applyBorder="1" applyAlignment="1">
      <alignment horizontal="center" vertical="center" wrapText="1"/>
    </xf>
    <xf numFmtId="185" fontId="15" fillId="0" borderId="3" xfId="21" applyNumberFormat="1" applyFont="1" applyBorder="1" applyAlignment="1">
      <alignment horizontal="center" vertical="center" wrapText="1"/>
    </xf>
    <xf numFmtId="49" fontId="15" fillId="0" borderId="1" xfId="44" applyNumberFormat="1" applyFont="1" applyBorder="1" applyAlignment="1">
      <alignment horizontal="center" vertical="center" wrapText="1"/>
    </xf>
    <xf numFmtId="49" fontId="15" fillId="0" borderId="5" xfId="21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85" fontId="15" fillId="0" borderId="1" xfId="43" applyNumberFormat="1" applyFont="1" applyBorder="1" applyAlignment="1">
      <alignment horizontal="center" vertical="center"/>
    </xf>
    <xf numFmtId="0" fontId="15" fillId="0" borderId="8" xfId="43" applyFont="1" applyBorder="1" applyAlignment="1">
      <alignment horizontal="center" vertical="center" wrapText="1"/>
    </xf>
    <xf numFmtId="185" fontId="15" fillId="0" borderId="2" xfId="43" applyNumberFormat="1" applyFont="1" applyBorder="1" applyAlignment="1">
      <alignment horizontal="center" vertical="center"/>
    </xf>
    <xf numFmtId="185" fontId="15" fillId="0" borderId="2" xfId="21" applyNumberFormat="1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 wrapText="1"/>
    </xf>
    <xf numFmtId="185" fontId="13" fillId="0" borderId="6" xfId="7" applyNumberFormat="1" applyFont="1" applyBorder="1" applyAlignment="1">
      <alignment horizontal="center" vertical="center" wrapText="1"/>
    </xf>
    <xf numFmtId="178" fontId="13" fillId="0" borderId="1" xfId="7" applyNumberFormat="1" applyFont="1" applyBorder="1" applyAlignment="1">
      <alignment horizontal="center" vertical="center" wrapText="1"/>
    </xf>
    <xf numFmtId="185" fontId="13" fillId="0" borderId="1" xfId="7" applyNumberFormat="1" applyFont="1" applyBorder="1" applyAlignment="1">
      <alignment horizontal="center" vertical="center" wrapText="1"/>
    </xf>
    <xf numFmtId="180" fontId="13" fillId="0" borderId="1" xfId="7" applyNumberFormat="1" applyFont="1" applyBorder="1" applyAlignment="1">
      <alignment horizontal="center" vertical="center" wrapText="1"/>
    </xf>
    <xf numFmtId="185" fontId="15" fillId="0" borderId="1" xfId="46" applyNumberFormat="1" applyFont="1" applyBorder="1" applyAlignment="1">
      <alignment horizontal="center" vertical="center" wrapText="1"/>
    </xf>
    <xf numFmtId="180" fontId="15" fillId="0" borderId="1" xfId="18" applyNumberFormat="1" applyFont="1" applyBorder="1" applyAlignment="1">
      <alignment horizontal="center" vertical="center" wrapText="1"/>
    </xf>
    <xf numFmtId="185" fontId="15" fillId="0" borderId="3" xfId="21" applyNumberFormat="1" applyFont="1" applyBorder="1" applyAlignment="1">
      <alignment horizontal="center" vertical="center"/>
    </xf>
    <xf numFmtId="185" fontId="15" fillId="0" borderId="2" xfId="21" applyNumberFormat="1" applyFont="1" applyBorder="1" applyAlignment="1">
      <alignment horizontal="center" vertical="center" wrapText="1"/>
    </xf>
    <xf numFmtId="185" fontId="15" fillId="0" borderId="2" xfId="44" applyNumberFormat="1" applyFont="1" applyBorder="1" applyAlignment="1">
      <alignment horizontal="center" vertical="center" wrapText="1"/>
    </xf>
    <xf numFmtId="0" fontId="13" fillId="0" borderId="0" xfId="10" applyFont="1" applyAlignment="1">
      <alignment horizontal="center" vertical="center"/>
    </xf>
    <xf numFmtId="0" fontId="15" fillId="0" borderId="0" xfId="14" applyFont="1" applyAlignment="1">
      <alignment horizontal="center"/>
    </xf>
    <xf numFmtId="0" fontId="15" fillId="0" borderId="0" xfId="14" applyFont="1"/>
    <xf numFmtId="185" fontId="15" fillId="0" borderId="0" xfId="14" applyNumberFormat="1" applyFont="1"/>
    <xf numFmtId="178" fontId="15" fillId="0" borderId="0" xfId="14" applyNumberFormat="1" applyFont="1"/>
    <xf numFmtId="185" fontId="13" fillId="0" borderId="1" xfId="14" applyNumberFormat="1" applyFont="1" applyBorder="1" applyAlignment="1">
      <alignment horizontal="center" vertical="center" wrapText="1"/>
    </xf>
    <xf numFmtId="0" fontId="15" fillId="0" borderId="2" xfId="10" applyFont="1" applyBorder="1" applyAlignment="1">
      <alignment horizontal="center" vertical="center" wrapText="1"/>
    </xf>
    <xf numFmtId="186" fontId="15" fillId="0" borderId="1" xfId="28" applyNumberFormat="1" applyFont="1" applyFill="1" applyBorder="1" applyAlignment="1">
      <alignment horizontal="center" vertical="center" wrapText="1" shrinkToFit="1"/>
    </xf>
    <xf numFmtId="186" fontId="15" fillId="0" borderId="1" xfId="38" applyNumberFormat="1" applyFont="1" applyFill="1" applyBorder="1" applyAlignment="1">
      <alignment horizontal="center" vertical="center" wrapText="1" shrinkToFit="1"/>
    </xf>
    <xf numFmtId="185" fontId="15" fillId="0" borderId="1" xfId="29" applyNumberFormat="1" applyFont="1" applyFill="1" applyBorder="1" applyAlignment="1">
      <alignment horizontal="center" vertical="center" wrapText="1" shrinkToFit="1"/>
    </xf>
    <xf numFmtId="187" fontId="15" fillId="0" borderId="1" xfId="29" applyNumberFormat="1" applyFont="1" applyFill="1" applyBorder="1" applyAlignment="1">
      <alignment horizontal="center" vertical="center" wrapText="1" shrinkToFit="1"/>
    </xf>
    <xf numFmtId="187" fontId="15" fillId="0" borderId="1" xfId="36" applyNumberFormat="1" applyFont="1" applyFill="1" applyBorder="1" applyAlignment="1">
      <alignment horizontal="center" vertical="center" wrapText="1" shrinkToFit="1"/>
    </xf>
    <xf numFmtId="0" fontId="15" fillId="0" borderId="1" xfId="10" applyFont="1" applyBorder="1" applyAlignment="1">
      <alignment horizontal="center" vertical="center" wrapText="1"/>
    </xf>
    <xf numFmtId="0" fontId="15" fillId="0" borderId="1" xfId="24" applyFont="1" applyBorder="1" applyAlignment="1" applyProtection="1">
      <alignment horizontal="center" vertical="center" wrapText="1"/>
      <protection locked="0"/>
    </xf>
    <xf numFmtId="185" fontId="15" fillId="0" borderId="1" xfId="24" applyNumberFormat="1" applyFont="1" applyBorder="1" applyAlignment="1" applyProtection="1">
      <alignment horizontal="center" vertical="center" wrapText="1"/>
      <protection locked="0"/>
    </xf>
    <xf numFmtId="178" fontId="15" fillId="0" borderId="1" xfId="24" applyNumberFormat="1" applyFont="1" applyBorder="1" applyAlignment="1" applyProtection="1">
      <alignment horizontal="center" vertical="center" wrapText="1"/>
      <protection locked="0"/>
    </xf>
    <xf numFmtId="185" fontId="15" fillId="0" borderId="1" xfId="14" applyNumberFormat="1" applyFont="1" applyBorder="1" applyAlignment="1">
      <alignment horizontal="center" vertical="center" wrapText="1"/>
    </xf>
    <xf numFmtId="0" fontId="15" fillId="0" borderId="1" xfId="26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vertical="center" wrapText="1"/>
    </xf>
    <xf numFmtId="180" fontId="13" fillId="0" borderId="1" xfId="10" applyNumberFormat="1" applyFont="1" applyBorder="1" applyAlignment="1">
      <alignment horizontal="center" vertical="center" wrapText="1"/>
    </xf>
    <xf numFmtId="1" fontId="15" fillId="0" borderId="1" xfId="7" applyNumberFormat="1" applyFont="1" applyBorder="1" applyAlignment="1" applyProtection="1">
      <alignment horizontal="center" vertical="center" wrapText="1"/>
      <protection locked="0"/>
    </xf>
    <xf numFmtId="0" fontId="15" fillId="0" borderId="1" xfId="7" applyFont="1" applyBorder="1" applyAlignment="1" applyProtection="1">
      <alignment horizontal="center" vertical="center" wrapText="1"/>
      <protection locked="0"/>
    </xf>
    <xf numFmtId="49" fontId="15" fillId="0" borderId="1" xfId="13" applyNumberFormat="1" applyFont="1" applyBorder="1" applyAlignment="1">
      <alignment horizontal="center" vertical="center" wrapText="1"/>
    </xf>
    <xf numFmtId="185" fontId="15" fillId="0" borderId="1" xfId="7" applyNumberFormat="1" applyFont="1" applyBorder="1" applyAlignment="1" applyProtection="1">
      <alignment horizontal="center" vertical="center" wrapText="1"/>
      <protection locked="0"/>
    </xf>
    <xf numFmtId="0" fontId="15" fillId="0" borderId="1" xfId="13" applyFont="1" applyBorder="1" applyAlignment="1">
      <alignment horizontal="center" vertical="center" wrapText="1"/>
    </xf>
    <xf numFmtId="185" fontId="15" fillId="0" borderId="1" xfId="13" applyNumberFormat="1" applyFont="1" applyBorder="1" applyAlignment="1">
      <alignment horizontal="center" vertical="center" wrapText="1"/>
    </xf>
    <xf numFmtId="2" fontId="15" fillId="0" borderId="1" xfId="46" applyNumberFormat="1" applyFont="1" applyBorder="1" applyAlignment="1">
      <alignment horizontal="center" vertical="center" wrapText="1"/>
    </xf>
    <xf numFmtId="186" fontId="15" fillId="0" borderId="1" xfId="31" applyNumberFormat="1" applyFont="1" applyFill="1" applyBorder="1" applyAlignment="1">
      <alignment horizontal="center" vertical="center" wrapText="1" shrinkToFit="1"/>
    </xf>
    <xf numFmtId="186" fontId="15" fillId="0" borderId="1" xfId="30" applyNumberFormat="1" applyFont="1" applyFill="1" applyBorder="1" applyAlignment="1">
      <alignment horizontal="center" vertical="center" wrapText="1" shrinkToFit="1"/>
    </xf>
    <xf numFmtId="185" fontId="15" fillId="0" borderId="1" xfId="32" applyNumberFormat="1" applyFont="1" applyFill="1" applyBorder="1" applyAlignment="1">
      <alignment horizontal="center" vertical="center" wrapText="1" shrinkToFit="1"/>
    </xf>
    <xf numFmtId="187" fontId="15" fillId="0" borderId="1" xfId="32" applyNumberFormat="1" applyFont="1" applyFill="1" applyBorder="1" applyAlignment="1">
      <alignment horizontal="center" vertical="center" wrapText="1" shrinkToFit="1"/>
    </xf>
    <xf numFmtId="186" fontId="15" fillId="0" borderId="1" xfId="0" applyNumberFormat="1" applyFont="1" applyBorder="1" applyAlignment="1">
      <alignment horizontal="center" vertical="center" wrapText="1" shrinkToFit="1"/>
    </xf>
    <xf numFmtId="188" fontId="13" fillId="0" borderId="1" xfId="10" applyNumberFormat="1" applyFont="1" applyBorder="1" applyAlignment="1">
      <alignment horizontal="center" vertical="center" wrapText="1"/>
    </xf>
    <xf numFmtId="178" fontId="15" fillId="0" borderId="1" xfId="25" applyNumberFormat="1" applyFont="1" applyBorder="1" applyAlignment="1" applyProtection="1">
      <alignment horizontal="center" vertical="center" wrapText="1"/>
      <protection locked="0"/>
    </xf>
    <xf numFmtId="185" fontId="15" fillId="0" borderId="1" xfId="25" applyNumberFormat="1" applyFont="1" applyBorder="1" applyAlignment="1" applyProtection="1">
      <alignment horizontal="center" vertical="center" wrapText="1"/>
      <protection locked="0"/>
    </xf>
    <xf numFmtId="185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5" fontId="15" fillId="0" borderId="1" xfId="0" applyNumberFormat="1" applyFont="1" applyBorder="1" applyAlignment="1">
      <alignment horizontal="center" vertical="center" wrapText="1"/>
    </xf>
    <xf numFmtId="185" fontId="15" fillId="0" borderId="2" xfId="24" applyNumberFormat="1" applyFont="1" applyBorder="1" applyAlignment="1" applyProtection="1">
      <alignment horizontal="center" vertical="center" wrapText="1"/>
      <protection locked="0"/>
    </xf>
    <xf numFmtId="2" fontId="15" fillId="0" borderId="3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85" fontId="15" fillId="0" borderId="1" xfId="1" applyNumberFormat="1" applyFont="1" applyBorder="1" applyAlignment="1">
      <alignment horizontal="center" vertical="center" wrapText="1"/>
    </xf>
    <xf numFmtId="178" fontId="13" fillId="0" borderId="1" xfId="14" applyNumberFormat="1" applyFont="1" applyBorder="1" applyAlignment="1">
      <alignment horizontal="center" vertical="center" wrapText="1"/>
    </xf>
    <xf numFmtId="178" fontId="15" fillId="0" borderId="1" xfId="10" applyNumberFormat="1" applyFont="1" applyBorder="1" applyAlignment="1">
      <alignment horizontal="center" vertical="center" wrapText="1"/>
    </xf>
    <xf numFmtId="180" fontId="15" fillId="0" borderId="1" xfId="13" applyNumberFormat="1" applyFont="1" applyBorder="1" applyAlignment="1">
      <alignment horizontal="center" vertical="center" wrapText="1"/>
    </xf>
    <xf numFmtId="178" fontId="15" fillId="0" borderId="1" xfId="34" applyNumberFormat="1" applyFont="1" applyFill="1" applyBorder="1" applyAlignment="1">
      <alignment horizontal="center" vertical="center" wrapText="1" shrinkToFit="1"/>
    </xf>
    <xf numFmtId="0" fontId="15" fillId="0" borderId="1" xfId="27" applyFont="1" applyBorder="1" applyAlignment="1" applyProtection="1">
      <alignment horizontal="center" vertical="center" wrapText="1"/>
      <protection locked="0"/>
    </xf>
    <xf numFmtId="1" fontId="15" fillId="0" borderId="1" xfId="25" applyNumberFormat="1" applyFont="1" applyBorder="1" applyAlignment="1" applyProtection="1">
      <alignment horizontal="center" vertical="center" wrapText="1"/>
      <protection locked="0"/>
    </xf>
    <xf numFmtId="185" fontId="15" fillId="0" borderId="0" xfId="0" applyNumberFormat="1" applyFont="1" applyAlignment="1">
      <alignment horizontal="center" vertical="center"/>
    </xf>
    <xf numFmtId="185" fontId="15" fillId="0" borderId="1" xfId="16" applyNumberFormat="1" applyFont="1" applyBorder="1" applyAlignment="1">
      <alignment horizontal="center" vertical="center" wrapText="1"/>
    </xf>
    <xf numFmtId="185" fontId="15" fillId="0" borderId="6" xfId="1" applyNumberFormat="1" applyFont="1" applyBorder="1" applyAlignment="1">
      <alignment horizontal="center" vertical="center" wrapText="1"/>
    </xf>
    <xf numFmtId="185" fontId="15" fillId="0" borderId="1" xfId="14" applyNumberFormat="1" applyFont="1" applyBorder="1"/>
    <xf numFmtId="185" fontId="15" fillId="0" borderId="1" xfId="37" applyNumberFormat="1" applyFont="1" applyFill="1" applyBorder="1" applyAlignment="1">
      <alignment horizontal="center" vertical="center" wrapText="1" shrinkToFit="1"/>
    </xf>
    <xf numFmtId="0" fontId="15" fillId="0" borderId="1" xfId="11" applyFont="1" applyBorder="1" applyAlignment="1">
      <alignment horizontal="center" vertical="center" wrapText="1"/>
    </xf>
    <xf numFmtId="0" fontId="15" fillId="0" borderId="1" xfId="19" applyFont="1" applyBorder="1" applyAlignment="1">
      <alignment horizontal="center" vertical="center"/>
    </xf>
    <xf numFmtId="185" fontId="15" fillId="0" borderId="1" xfId="19" applyNumberFormat="1" applyFont="1" applyBorder="1" applyAlignment="1">
      <alignment horizontal="center" vertical="center"/>
    </xf>
    <xf numFmtId="186" fontId="15" fillId="0" borderId="1" xfId="33" applyNumberFormat="1" applyFont="1" applyFill="1" applyBorder="1" applyAlignment="1">
      <alignment horizontal="center" vertical="center" wrapText="1" shrinkToFit="1"/>
    </xf>
    <xf numFmtId="185" fontId="15" fillId="0" borderId="1" xfId="34" applyNumberFormat="1" applyFont="1" applyFill="1" applyBorder="1" applyAlignment="1">
      <alignment horizontal="center" vertical="center" wrapText="1" shrinkToFit="1"/>
    </xf>
    <xf numFmtId="187" fontId="15" fillId="0" borderId="1" xfId="34" applyNumberFormat="1" applyFont="1" applyFill="1" applyBorder="1" applyAlignment="1">
      <alignment horizontal="center" vertical="center" wrapText="1" shrinkToFit="1"/>
    </xf>
    <xf numFmtId="2" fontId="15" fillId="0" borderId="3" xfId="46" applyNumberFormat="1" applyFont="1" applyBorder="1" applyAlignment="1">
      <alignment horizontal="center" vertical="center" wrapText="1"/>
    </xf>
    <xf numFmtId="178" fontId="15" fillId="0" borderId="1" xfId="11" applyNumberFormat="1" applyFont="1" applyBorder="1" applyAlignment="1">
      <alignment horizontal="center" vertical="center" wrapText="1"/>
    </xf>
    <xf numFmtId="180" fontId="15" fillId="0" borderId="1" xfId="11" applyNumberFormat="1" applyFont="1" applyBorder="1" applyAlignment="1">
      <alignment horizontal="center" vertical="center" wrapText="1"/>
    </xf>
    <xf numFmtId="186" fontId="15" fillId="0" borderId="1" xfId="35" applyNumberFormat="1" applyFont="1" applyFill="1" applyBorder="1" applyAlignment="1">
      <alignment horizontal="center" vertical="center" wrapText="1" shrinkToFit="1"/>
    </xf>
    <xf numFmtId="49" fontId="15" fillId="0" borderId="1" xfId="10" applyNumberFormat="1" applyFont="1" applyBorder="1" applyAlignment="1">
      <alignment horizontal="center" vertical="center" wrapText="1"/>
    </xf>
    <xf numFmtId="49" fontId="15" fillId="0" borderId="5" xfId="10" applyNumberFormat="1" applyFont="1" applyBorder="1" applyAlignment="1">
      <alignment horizontal="center" vertical="center" wrapText="1"/>
    </xf>
    <xf numFmtId="49" fontId="15" fillId="0" borderId="6" xfId="1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186" fontId="15" fillId="0" borderId="5" xfId="28" applyNumberFormat="1" applyFont="1" applyFill="1" applyBorder="1" applyAlignment="1">
      <alignment horizontal="center" vertical="center" wrapText="1" shrinkToFit="1"/>
    </xf>
    <xf numFmtId="186" fontId="15" fillId="0" borderId="6" xfId="28" applyNumberFormat="1" applyFont="1" applyFill="1" applyBorder="1" applyAlignment="1">
      <alignment horizontal="center" vertical="center" wrapText="1" shrinkToFit="1"/>
    </xf>
    <xf numFmtId="49" fontId="13" fillId="0" borderId="1" xfId="10" applyNumberFormat="1" applyFont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5" fillId="0" borderId="1" xfId="46" applyFont="1" applyBorder="1" applyAlignment="1">
      <alignment horizontal="center" vertical="center" wrapText="1"/>
    </xf>
    <xf numFmtId="186" fontId="15" fillId="0" borderId="5" xfId="31" applyNumberFormat="1" applyFont="1" applyFill="1" applyBorder="1" applyAlignment="1">
      <alignment horizontal="center" vertical="center" wrapText="1" shrinkToFit="1"/>
    </xf>
    <xf numFmtId="186" fontId="15" fillId="0" borderId="6" xfId="31" applyNumberFormat="1" applyFont="1" applyFill="1" applyBorder="1" applyAlignment="1">
      <alignment horizontal="center" vertical="center" wrapText="1" shrinkToFit="1"/>
    </xf>
    <xf numFmtId="186" fontId="15" fillId="0" borderId="5" xfId="0" applyNumberFormat="1" applyFont="1" applyBorder="1" applyAlignment="1">
      <alignment horizontal="center" vertical="center" wrapText="1" shrinkToFit="1"/>
    </xf>
    <xf numFmtId="186" fontId="15" fillId="0" borderId="6" xfId="0" applyNumberFormat="1" applyFont="1" applyBorder="1" applyAlignment="1">
      <alignment horizontal="center" vertical="center" wrapText="1" shrinkToFit="1"/>
    </xf>
    <xf numFmtId="188" fontId="13" fillId="0" borderId="1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49" fontId="13" fillId="0" borderId="6" xfId="10" applyNumberFormat="1" applyFont="1" applyBorder="1" applyAlignment="1">
      <alignment horizontal="center" vertical="center" wrapText="1"/>
    </xf>
    <xf numFmtId="2" fontId="15" fillId="0" borderId="1" xfId="46" applyNumberFormat="1" applyFont="1" applyBorder="1" applyAlignment="1">
      <alignment horizontal="center" vertical="center" wrapText="1"/>
    </xf>
    <xf numFmtId="0" fontId="15" fillId="0" borderId="2" xfId="10" applyFont="1" applyBorder="1" applyAlignment="1">
      <alignment horizontal="center" vertical="center" wrapText="1"/>
    </xf>
    <xf numFmtId="0" fontId="15" fillId="0" borderId="4" xfId="10" applyFont="1" applyBorder="1" applyAlignment="1">
      <alignment horizontal="center" vertical="center" wrapText="1"/>
    </xf>
    <xf numFmtId="0" fontId="15" fillId="0" borderId="3" xfId="1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" xfId="10" applyFont="1" applyBorder="1" applyAlignment="1">
      <alignment horizontal="center" vertical="center" wrapText="1"/>
    </xf>
    <xf numFmtId="0" fontId="15" fillId="0" borderId="1" xfId="26" applyFont="1" applyBorder="1" applyAlignment="1">
      <alignment horizontal="center" vertical="center" wrapText="1"/>
    </xf>
    <xf numFmtId="0" fontId="15" fillId="0" borderId="2" xfId="14" applyFont="1" applyBorder="1" applyAlignment="1">
      <alignment horizontal="center" vertical="center" wrapText="1"/>
    </xf>
    <xf numFmtId="0" fontId="15" fillId="0" borderId="3" xfId="14" applyFont="1" applyBorder="1" applyAlignment="1">
      <alignment horizontal="center" vertical="center" wrapText="1"/>
    </xf>
    <xf numFmtId="0" fontId="15" fillId="0" borderId="2" xfId="26" applyFont="1" applyBorder="1" applyAlignment="1">
      <alignment horizontal="center" vertical="center" wrapText="1"/>
    </xf>
    <xf numFmtId="0" fontId="15" fillId="0" borderId="3" xfId="26" applyFont="1" applyBorder="1" applyAlignment="1">
      <alignment horizontal="center" vertical="center" wrapText="1"/>
    </xf>
    <xf numFmtId="49" fontId="15" fillId="0" borderId="2" xfId="10" applyNumberFormat="1" applyFont="1" applyBorder="1" applyAlignment="1">
      <alignment horizontal="center" vertical="center" wrapText="1"/>
    </xf>
    <xf numFmtId="49" fontId="15" fillId="0" borderId="4" xfId="10" applyNumberFormat="1" applyFont="1" applyBorder="1" applyAlignment="1">
      <alignment horizontal="center" vertical="center" wrapText="1"/>
    </xf>
    <xf numFmtId="49" fontId="15" fillId="0" borderId="3" xfId="1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86" fontId="15" fillId="0" borderId="1" xfId="38" applyNumberFormat="1" applyFont="1" applyFill="1" applyBorder="1" applyAlignment="1">
      <alignment horizontal="center" vertical="center" wrapText="1" shrinkToFit="1"/>
    </xf>
    <xf numFmtId="186" fontId="15" fillId="0" borderId="1" xfId="31" applyNumberFormat="1" applyFont="1" applyFill="1" applyBorder="1" applyAlignment="1">
      <alignment horizontal="center" vertical="center" wrapText="1" shrinkToFit="1"/>
    </xf>
    <xf numFmtId="186" fontId="15" fillId="0" borderId="2" xfId="0" applyNumberFormat="1" applyFont="1" applyBorder="1" applyAlignment="1">
      <alignment horizontal="center" vertical="center" wrapText="1" shrinkToFit="1"/>
    </xf>
    <xf numFmtId="185" fontId="15" fillId="0" borderId="2" xfId="0" applyNumberFormat="1" applyFont="1" applyBorder="1" applyAlignment="1">
      <alignment horizontal="center" vertical="center" wrapText="1"/>
    </xf>
    <xf numFmtId="185" fontId="15" fillId="0" borderId="3" xfId="0" applyNumberFormat="1" applyFont="1" applyBorder="1" applyAlignment="1">
      <alignment horizontal="center" vertical="center" wrapText="1"/>
    </xf>
    <xf numFmtId="185" fontId="15" fillId="0" borderId="2" xfId="24" applyNumberFormat="1" applyFont="1" applyBorder="1" applyAlignment="1" applyProtection="1">
      <alignment horizontal="center" vertical="center" wrapText="1"/>
      <protection locked="0"/>
    </xf>
    <xf numFmtId="185" fontId="15" fillId="0" borderId="3" xfId="24" applyNumberFormat="1" applyFont="1" applyBorder="1" applyAlignment="1" applyProtection="1">
      <alignment horizontal="center" vertical="center" wrapText="1"/>
      <protection locked="0"/>
    </xf>
    <xf numFmtId="186" fontId="15" fillId="0" borderId="2" xfId="33" applyNumberFormat="1" applyFont="1" applyFill="1" applyBorder="1" applyAlignment="1">
      <alignment horizontal="center" vertical="center" wrapText="1" shrinkToFit="1"/>
    </xf>
    <xf numFmtId="186" fontId="15" fillId="0" borderId="3" xfId="33" applyNumberFormat="1" applyFont="1" applyFill="1" applyBorder="1" applyAlignment="1">
      <alignment horizontal="center" vertical="center" wrapText="1" shrinkToFi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185" fontId="15" fillId="0" borderId="2" xfId="0" applyNumberFormat="1" applyFont="1" applyBorder="1" applyAlignment="1">
      <alignment horizontal="center" vertical="center"/>
    </xf>
    <xf numFmtId="185" fontId="15" fillId="0" borderId="3" xfId="0" applyNumberFormat="1" applyFont="1" applyBorder="1" applyAlignment="1">
      <alignment horizontal="center" vertical="center"/>
    </xf>
    <xf numFmtId="0" fontId="15" fillId="0" borderId="1" xfId="44" applyFont="1" applyBorder="1" applyAlignment="1">
      <alignment horizontal="center" vertical="center" wrapText="1"/>
    </xf>
    <xf numFmtId="0" fontId="15" fillId="0" borderId="5" xfId="44" applyFont="1" applyBorder="1" applyAlignment="1">
      <alignment horizontal="center" vertical="center" wrapText="1"/>
    </xf>
    <xf numFmtId="0" fontId="15" fillId="0" borderId="7" xfId="44" applyFont="1" applyBorder="1" applyAlignment="1">
      <alignment horizontal="center" vertical="center" wrapText="1"/>
    </xf>
    <xf numFmtId="0" fontId="15" fillId="0" borderId="1" xfId="21" applyFont="1" applyBorder="1" applyAlignment="1">
      <alignment horizontal="center" vertical="center" wrapText="1"/>
    </xf>
    <xf numFmtId="0" fontId="15" fillId="0" borderId="5" xfId="21" applyFont="1" applyBorder="1" applyAlignment="1">
      <alignment horizontal="center" vertical="center" wrapText="1"/>
    </xf>
    <xf numFmtId="0" fontId="15" fillId="0" borderId="5" xfId="46" applyFont="1" applyBorder="1" applyAlignment="1">
      <alignment horizontal="center" vertical="center" wrapText="1"/>
    </xf>
    <xf numFmtId="0" fontId="15" fillId="0" borderId="7" xfId="46" applyFont="1" applyBorder="1" applyAlignment="1">
      <alignment horizontal="center" vertical="center" wrapText="1"/>
    </xf>
    <xf numFmtId="0" fontId="15" fillId="0" borderId="1" xfId="43" applyFont="1" applyBorder="1" applyAlignment="1">
      <alignment horizontal="center" vertical="center" wrapText="1"/>
    </xf>
    <xf numFmtId="0" fontId="15" fillId="0" borderId="5" xfId="43" applyFont="1" applyBorder="1" applyAlignment="1">
      <alignment horizontal="center" vertical="center" wrapText="1"/>
    </xf>
    <xf numFmtId="49" fontId="15" fillId="0" borderId="5" xfId="7" applyNumberFormat="1" applyFont="1" applyBorder="1" applyAlignment="1">
      <alignment horizontal="center" vertical="center" wrapText="1"/>
    </xf>
    <xf numFmtId="49" fontId="15" fillId="0" borderId="7" xfId="7" applyNumberFormat="1" applyFont="1" applyBorder="1" applyAlignment="1">
      <alignment horizontal="center" vertical="center" wrapText="1"/>
    </xf>
    <xf numFmtId="0" fontId="15" fillId="0" borderId="1" xfId="44" applyFont="1" applyBorder="1" applyAlignment="1">
      <alignment horizontal="center" vertical="center"/>
    </xf>
    <xf numFmtId="0" fontId="15" fillId="0" borderId="2" xfId="44" applyFont="1" applyBorder="1" applyAlignment="1">
      <alignment horizontal="center" vertical="center"/>
    </xf>
    <xf numFmtId="0" fontId="15" fillId="0" borderId="3" xfId="44" applyFont="1" applyBorder="1" applyAlignment="1">
      <alignment horizontal="center" vertical="center"/>
    </xf>
    <xf numFmtId="0" fontId="15" fillId="0" borderId="1" xfId="43" applyFont="1" applyBorder="1" applyAlignment="1">
      <alignment horizontal="center" vertical="center"/>
    </xf>
    <xf numFmtId="0" fontId="15" fillId="0" borderId="2" xfId="43" applyFont="1" applyBorder="1" applyAlignment="1">
      <alignment horizontal="center" vertical="center"/>
    </xf>
    <xf numFmtId="0" fontId="15" fillId="0" borderId="3" xfId="43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2" xfId="21" applyFont="1" applyBorder="1" applyAlignment="1">
      <alignment horizontal="center" vertical="center" wrapText="1"/>
    </xf>
    <xf numFmtId="0" fontId="15" fillId="0" borderId="3" xfId="21" applyFont="1" applyBorder="1" applyAlignment="1">
      <alignment horizontal="center" vertical="center" wrapText="1"/>
    </xf>
    <xf numFmtId="0" fontId="15" fillId="0" borderId="4" xfId="44" applyFont="1" applyBorder="1" applyAlignment="1">
      <alignment horizontal="center" vertical="center"/>
    </xf>
    <xf numFmtId="49" fontId="15" fillId="0" borderId="1" xfId="11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/>
    <xf numFmtId="49" fontId="15" fillId="0" borderId="1" xfId="46" applyNumberFormat="1" applyFont="1" applyBorder="1" applyAlignment="1">
      <alignment horizontal="center" vertical="center" wrapText="1"/>
    </xf>
    <xf numFmtId="178" fontId="11" fillId="2" borderId="7" xfId="41" applyNumberFormat="1" applyFont="1" applyFill="1" applyBorder="1" applyAlignment="1">
      <alignment horizontal="center" vertical="center" wrapText="1"/>
    </xf>
    <xf numFmtId="178" fontId="11" fillId="2" borderId="6" xfId="41" applyNumberFormat="1" applyFont="1" applyFill="1" applyBorder="1" applyAlignment="1">
      <alignment horizontal="center" vertical="center" wrapText="1"/>
    </xf>
    <xf numFmtId="178" fontId="11" fillId="2" borderId="5" xfId="41" applyNumberFormat="1" applyFont="1" applyFill="1" applyBorder="1" applyAlignment="1">
      <alignment horizontal="center" vertical="center" wrapText="1"/>
    </xf>
    <xf numFmtId="178" fontId="10" fillId="2" borderId="0" xfId="42" applyNumberFormat="1" applyFont="1" applyFill="1" applyAlignment="1">
      <alignment horizontal="center" vertical="center" wrapText="1"/>
    </xf>
    <xf numFmtId="178" fontId="14" fillId="2" borderId="0" xfId="42" applyNumberFormat="1" applyFont="1" applyFill="1" applyAlignment="1">
      <alignment horizontal="center" vertical="center" wrapText="1"/>
    </xf>
    <xf numFmtId="178" fontId="11" fillId="2" borderId="2" xfId="41" applyNumberFormat="1" applyFont="1" applyFill="1" applyBorder="1" applyAlignment="1">
      <alignment horizontal="center" vertical="center" wrapText="1"/>
    </xf>
    <xf numFmtId="178" fontId="11" fillId="2" borderId="4" xfId="41" applyNumberFormat="1" applyFont="1" applyFill="1" applyBorder="1" applyAlignment="1">
      <alignment horizontal="center" vertical="center" wrapText="1"/>
    </xf>
    <xf numFmtId="178" fontId="11" fillId="2" borderId="3" xfId="41" applyNumberFormat="1" applyFont="1" applyFill="1" applyBorder="1" applyAlignment="1">
      <alignment horizontal="center" vertical="center" wrapText="1"/>
    </xf>
    <xf numFmtId="0" fontId="13" fillId="2" borderId="2" xfId="41" applyFont="1" applyFill="1" applyBorder="1" applyAlignment="1">
      <alignment horizontal="center" vertical="center" wrapText="1"/>
    </xf>
    <xf numFmtId="0" fontId="13" fillId="2" borderId="4" xfId="41" applyFont="1" applyFill="1" applyBorder="1" applyAlignment="1">
      <alignment horizontal="center" vertical="center" wrapText="1"/>
    </xf>
    <xf numFmtId="0" fontId="13" fillId="2" borderId="3" xfId="41" applyFont="1" applyFill="1" applyBorder="1" applyAlignment="1">
      <alignment horizontal="center" vertical="center" wrapText="1"/>
    </xf>
    <xf numFmtId="184" fontId="11" fillId="2" borderId="2" xfId="41" applyNumberFormat="1" applyFont="1" applyFill="1" applyBorder="1" applyAlignment="1">
      <alignment horizontal="center" vertical="center" wrapText="1"/>
    </xf>
    <xf numFmtId="184" fontId="11" fillId="2" borderId="3" xfId="41" applyNumberFormat="1" applyFont="1" applyFill="1" applyBorder="1" applyAlignment="1">
      <alignment horizontal="center" vertical="center" wrapText="1"/>
    </xf>
    <xf numFmtId="178" fontId="11" fillId="2" borderId="2" xfId="5" applyNumberFormat="1" applyFont="1" applyFill="1" applyBorder="1" applyAlignment="1">
      <alignment horizontal="center" vertical="center" wrapText="1"/>
    </xf>
    <xf numFmtId="178" fontId="11" fillId="2" borderId="3" xfId="5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8" fontId="9" fillId="2" borderId="4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9" fillId="0" borderId="1" xfId="24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24" applyFont="1" applyBorder="1" applyAlignment="1" applyProtection="1">
      <alignment horizontal="center" vertical="center" wrapText="1"/>
      <protection locked="0"/>
    </xf>
    <xf numFmtId="0" fontId="9" fillId="0" borderId="4" xfId="24" applyFont="1" applyBorder="1" applyAlignment="1" applyProtection="1">
      <alignment horizontal="center" vertical="center" wrapText="1"/>
      <protection locked="0"/>
    </xf>
    <xf numFmtId="0" fontId="9" fillId="0" borderId="3" xfId="24" applyFont="1" applyBorder="1" applyAlignment="1" applyProtection="1">
      <alignment horizontal="center" vertical="center" wrapText="1"/>
      <protection locked="0"/>
    </xf>
  </cellXfs>
  <cellStyles count="47">
    <cellStyle name="_ET_STYLE_NoName_00_" xfId="1" xr:uid="{00000000-0005-0000-0000-000031000000}"/>
    <cellStyle name="常规" xfId="0" builtinId="0"/>
    <cellStyle name="常规 10 2 2" xfId="2" xr:uid="{00000000-0005-0000-0000-000032000000}"/>
    <cellStyle name="常规 10 2 3 2 2" xfId="3" xr:uid="{00000000-0005-0000-0000-000033000000}"/>
    <cellStyle name="常规 10 3" xfId="4" xr:uid="{00000000-0005-0000-0000-000034000000}"/>
    <cellStyle name="常规 10 3 2 2 2" xfId="5" xr:uid="{00000000-0005-0000-0000-000035000000}"/>
    <cellStyle name="常规 10 5 2 2 2" xfId="6" xr:uid="{00000000-0005-0000-0000-000036000000}"/>
    <cellStyle name="常规 104" xfId="7" xr:uid="{00000000-0005-0000-0000-000037000000}"/>
    <cellStyle name="常规 14 2" xfId="8" xr:uid="{00000000-0005-0000-0000-000038000000}"/>
    <cellStyle name="常规 19 2 2 2" xfId="9" xr:uid="{00000000-0005-0000-0000-000039000000}"/>
    <cellStyle name="常规 2 2" xfId="10" xr:uid="{00000000-0005-0000-0000-00003A000000}"/>
    <cellStyle name="常规 2 2 3" xfId="11" xr:uid="{00000000-0005-0000-0000-00003B000000}"/>
    <cellStyle name="常规 2 2 6" xfId="12" xr:uid="{00000000-0005-0000-0000-00003C000000}"/>
    <cellStyle name="常规 2 2 7" xfId="13" xr:uid="{00000000-0005-0000-0000-00003D000000}"/>
    <cellStyle name="常规 2_道路" xfId="14" xr:uid="{00000000-0005-0000-0000-00003E000000}"/>
    <cellStyle name="常规 27" xfId="15" xr:uid="{00000000-0005-0000-0000-00003F000000}"/>
    <cellStyle name="常规 5" xfId="16" xr:uid="{00000000-0005-0000-0000-000040000000}"/>
    <cellStyle name="常规 5 2" xfId="17" xr:uid="{00000000-0005-0000-0000-000041000000}"/>
    <cellStyle name="常规 5 2 5" xfId="18" xr:uid="{00000000-0005-0000-0000-000042000000}"/>
    <cellStyle name="常规 6" xfId="19" xr:uid="{00000000-0005-0000-0000-000043000000}"/>
    <cellStyle name="常规 9 2_2012年秦淮" xfId="20" xr:uid="{00000000-0005-0000-0000-000044000000}"/>
    <cellStyle name="常规_2011年下关区街巷" xfId="21" xr:uid="{00000000-0005-0000-0000-000045000000}"/>
    <cellStyle name="常规_20161213鼓楼公厕" xfId="22" xr:uid="{00000000-0005-0000-0000-000046000000}"/>
    <cellStyle name="常规_20161213下关公厕" xfId="23" xr:uid="{00000000-0005-0000-0000-000047000000}"/>
    <cellStyle name="常规_Sheet1" xfId="24" xr:uid="{00000000-0005-0000-0000-000048000000}"/>
    <cellStyle name="常规_Sheet1_1" xfId="25" xr:uid="{00000000-0005-0000-0000-000049000000}"/>
    <cellStyle name="常规_Sheet1_2" xfId="26" xr:uid="{00000000-0005-0000-0000-00004A000000}"/>
    <cellStyle name="常规_Sheet1_3" xfId="27" xr:uid="{00000000-0005-0000-0000-00004B000000}"/>
    <cellStyle name="常规_道路设施量_13" xfId="28" xr:uid="{00000000-0005-0000-0000-00004C000000}"/>
    <cellStyle name="常规_道路设施量_16" xfId="29" xr:uid="{00000000-0005-0000-0000-00004D000000}"/>
    <cellStyle name="常规_道路设施量_20" xfId="30" xr:uid="{00000000-0005-0000-0000-00004E000000}"/>
    <cellStyle name="常规_道路设施量_23" xfId="31" xr:uid="{00000000-0005-0000-0000-00004F000000}"/>
    <cellStyle name="常规_道路设施量_25" xfId="32" xr:uid="{00000000-0005-0000-0000-000050000000}"/>
    <cellStyle name="常规_道路设施量_28" xfId="33" xr:uid="{00000000-0005-0000-0000-000051000000}"/>
    <cellStyle name="常规_道路设施量_30" xfId="34" xr:uid="{00000000-0005-0000-0000-000052000000}"/>
    <cellStyle name="常规_道路设施量_31" xfId="35" xr:uid="{00000000-0005-0000-0000-000053000000}"/>
    <cellStyle name="常规_道路设施量_6_道路" xfId="36" xr:uid="{00000000-0005-0000-0000-000054000000}"/>
    <cellStyle name="常规_道路设施量_7_道路" xfId="37" xr:uid="{00000000-0005-0000-0000-000055000000}"/>
    <cellStyle name="常规_道路设施量_晚间道路_1" xfId="38" xr:uid="{00000000-0005-0000-0000-000056000000}"/>
    <cellStyle name="常规_各区新增道路明细" xfId="39" xr:uid="{00000000-0005-0000-0000-000057000000}"/>
    <cellStyle name="常规_下关公厕 3" xfId="40" xr:uid="{00000000-0005-0000-0000-000058000000}"/>
    <cellStyle name="常规_下关公厕_1" xfId="41" xr:uid="{00000000-0005-0000-0000-000059000000}"/>
    <cellStyle name="常规_下关公厕和中转站 4" xfId="42" xr:uid="{00000000-0005-0000-0000-00005A000000}"/>
    <cellStyle name="常规_下关区宝塔桥街道街巷道路调查表（2）" xfId="43" xr:uid="{00000000-0005-0000-0000-00005B000000}"/>
    <cellStyle name="常规_下关区建宁路、小市、热河南路街道街巷道路调查表(2)" xfId="44" xr:uid="{00000000-0005-0000-0000-00005C000000}"/>
    <cellStyle name="常规_玄武公厕明细表 4" xfId="45" xr:uid="{00000000-0005-0000-0000-00005D000000}"/>
    <cellStyle name="样式 1" xfId="46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95"/>
  <sheetViews>
    <sheetView workbookViewId="0">
      <selection activeCell="E1" sqref="E1"/>
    </sheetView>
  </sheetViews>
  <sheetFormatPr defaultColWidth="8.7265625" defaultRowHeight="9.5"/>
  <cols>
    <col min="1" max="1" width="4.08984375" style="172" customWidth="1"/>
    <col min="2" max="2" width="13.453125" style="172" customWidth="1"/>
    <col min="3" max="3" width="20.453125" style="173" customWidth="1"/>
    <col min="4" max="4" width="18.08984375" style="173" customWidth="1"/>
    <col min="5" max="5" width="4.7265625" style="173" customWidth="1"/>
    <col min="6" max="6" width="9.08984375" style="173" customWidth="1"/>
    <col min="7" max="7" width="7" style="173" customWidth="1"/>
    <col min="8" max="8" width="7.453125" style="174" customWidth="1"/>
    <col min="9" max="9" width="8.26953125" style="174" customWidth="1"/>
    <col min="10" max="10" width="5.90625" style="173" customWidth="1"/>
    <col min="11" max="11" width="7.7265625" style="173" customWidth="1"/>
    <col min="12" max="12" width="7.6328125" style="173" customWidth="1"/>
    <col min="13" max="13" width="7.7265625" style="174" customWidth="1"/>
    <col min="14" max="14" width="8.453125" style="175" customWidth="1"/>
    <col min="15" max="15" width="7.36328125" style="175" customWidth="1"/>
    <col min="16" max="16" width="4.7265625" style="173" customWidth="1"/>
    <col min="17" max="17" width="7.453125" style="173" customWidth="1"/>
    <col min="18" max="16384" width="8.7265625" style="173"/>
  </cols>
  <sheetData>
    <row r="1" spans="1:17" ht="43" customHeight="1">
      <c r="A1" s="92" t="s">
        <v>0</v>
      </c>
      <c r="B1" s="92" t="s">
        <v>1</v>
      </c>
      <c r="C1" s="92" t="s">
        <v>2</v>
      </c>
      <c r="D1" s="92" t="s">
        <v>3</v>
      </c>
      <c r="E1" s="92" t="s">
        <v>4</v>
      </c>
      <c r="F1" s="92" t="s">
        <v>5</v>
      </c>
      <c r="G1" s="92" t="s">
        <v>6</v>
      </c>
      <c r="H1" s="176" t="s">
        <v>7</v>
      </c>
      <c r="I1" s="176" t="s">
        <v>8</v>
      </c>
      <c r="J1" s="92" t="s">
        <v>9</v>
      </c>
      <c r="K1" s="92" t="s">
        <v>10</v>
      </c>
      <c r="L1" s="92" t="s">
        <v>11</v>
      </c>
      <c r="M1" s="176" t="s">
        <v>12</v>
      </c>
      <c r="N1" s="214" t="s">
        <v>13</v>
      </c>
      <c r="O1" s="214" t="s">
        <v>14</v>
      </c>
      <c r="P1" s="92" t="s">
        <v>15</v>
      </c>
      <c r="Q1" s="176" t="s">
        <v>16</v>
      </c>
    </row>
    <row r="2" spans="1:17" s="83" customFormat="1" ht="24" customHeight="1">
      <c r="A2" s="253">
        <v>1</v>
      </c>
      <c r="B2" s="264" t="s">
        <v>17</v>
      </c>
      <c r="C2" s="112" t="s">
        <v>18</v>
      </c>
      <c r="D2" s="112" t="s">
        <v>19</v>
      </c>
      <c r="E2" s="112" t="s">
        <v>20</v>
      </c>
      <c r="F2" s="114">
        <v>1077.54</v>
      </c>
      <c r="G2" s="114">
        <v>37.909999999999997</v>
      </c>
      <c r="H2" s="115">
        <f t="shared" ref="H2:H5" si="0">F2*G2/10000</f>
        <v>4.0849541399999998</v>
      </c>
      <c r="I2" s="115">
        <f>F2*30.53/10000</f>
        <v>3.2897296200000001</v>
      </c>
      <c r="J2" s="114">
        <f>F2*7.42/10000</f>
        <v>0.79953468000000005</v>
      </c>
      <c r="K2" s="114">
        <f>F2*12.81/10000</f>
        <v>1.3803287399999999</v>
      </c>
      <c r="L2" s="114">
        <f t="shared" ref="L2:L5" si="1">SUM(I2:K2)</f>
        <v>5.4695930400000004</v>
      </c>
      <c r="M2" s="115">
        <f>F2*7.8/10000</f>
        <v>0.84048120000000004</v>
      </c>
      <c r="N2" s="215">
        <v>0</v>
      </c>
      <c r="O2" s="215">
        <v>17</v>
      </c>
      <c r="P2" s="114" t="s">
        <v>21</v>
      </c>
      <c r="Q2" s="114">
        <f t="shared" ref="Q2:Q5" si="2">I2</f>
        <v>3.2897296200000001</v>
      </c>
    </row>
    <row r="3" spans="1:17" s="83" customFormat="1" ht="24" customHeight="1">
      <c r="A3" s="254"/>
      <c r="B3" s="265"/>
      <c r="C3" s="235" t="s">
        <v>22</v>
      </c>
      <c r="D3" s="235"/>
      <c r="E3" s="112" t="s">
        <v>20</v>
      </c>
      <c r="F3" s="114">
        <v>1581.82</v>
      </c>
      <c r="G3" s="114">
        <v>11</v>
      </c>
      <c r="H3" s="115">
        <f t="shared" si="0"/>
        <v>1.740002</v>
      </c>
      <c r="I3" s="115">
        <f>F3*11/10000</f>
        <v>1.740002</v>
      </c>
      <c r="J3" s="114">
        <f>F3*0/10000</f>
        <v>0</v>
      </c>
      <c r="K3" s="114">
        <f>F3*0/10000</f>
        <v>0</v>
      </c>
      <c r="L3" s="114">
        <f t="shared" si="1"/>
        <v>1.740002</v>
      </c>
      <c r="M3" s="115">
        <f t="shared" ref="M3:M5" si="3">F3*0/10000</f>
        <v>0</v>
      </c>
      <c r="N3" s="215">
        <v>0</v>
      </c>
      <c r="O3" s="215">
        <v>0</v>
      </c>
      <c r="P3" s="114" t="s">
        <v>21</v>
      </c>
      <c r="Q3" s="114">
        <f t="shared" si="2"/>
        <v>1.740002</v>
      </c>
    </row>
    <row r="4" spans="1:17" s="83" customFormat="1" ht="24" customHeight="1">
      <c r="A4" s="254"/>
      <c r="B4" s="265"/>
      <c r="C4" s="235" t="s">
        <v>22</v>
      </c>
      <c r="D4" s="235"/>
      <c r="E4" s="112" t="s">
        <v>20</v>
      </c>
      <c r="F4" s="114">
        <v>127.78</v>
      </c>
      <c r="G4" s="114">
        <v>18</v>
      </c>
      <c r="H4" s="115">
        <f t="shared" si="0"/>
        <v>0.23000399999999999</v>
      </c>
      <c r="I4" s="115">
        <f>F4*18/10000</f>
        <v>0.23000399999999999</v>
      </c>
      <c r="J4" s="114">
        <f>F4*0/10000</f>
        <v>0</v>
      </c>
      <c r="K4" s="114">
        <f>F4*0/10000</f>
        <v>0</v>
      </c>
      <c r="L4" s="114">
        <f t="shared" si="1"/>
        <v>0.23000399999999999</v>
      </c>
      <c r="M4" s="115">
        <f t="shared" si="3"/>
        <v>0</v>
      </c>
      <c r="N4" s="215">
        <v>0</v>
      </c>
      <c r="O4" s="215">
        <v>0</v>
      </c>
      <c r="P4" s="114" t="s">
        <v>21</v>
      </c>
      <c r="Q4" s="114">
        <f t="shared" si="2"/>
        <v>0.23000399999999999</v>
      </c>
    </row>
    <row r="5" spans="1:17" s="83" customFormat="1" ht="32.25" customHeight="1">
      <c r="A5" s="255"/>
      <c r="B5" s="266"/>
      <c r="C5" s="236" t="s">
        <v>23</v>
      </c>
      <c r="D5" s="237"/>
      <c r="E5" s="112" t="s">
        <v>20</v>
      </c>
      <c r="F5" s="114">
        <v>303.18</v>
      </c>
      <c r="G5" s="114">
        <v>15.36</v>
      </c>
      <c r="H5" s="115">
        <f t="shared" si="0"/>
        <v>0.46568448000000001</v>
      </c>
      <c r="I5" s="115">
        <f>F5*8.5/10000</f>
        <v>0.25770300000000002</v>
      </c>
      <c r="J5" s="114">
        <f>F5*6.99/10000</f>
        <v>0.21192282000000001</v>
      </c>
      <c r="K5" s="114">
        <f>F5*23.42/10000</f>
        <v>0.71004756000000002</v>
      </c>
      <c r="L5" s="114">
        <f t="shared" si="1"/>
        <v>1.1796733800000001</v>
      </c>
      <c r="M5" s="115">
        <f t="shared" si="3"/>
        <v>0</v>
      </c>
      <c r="N5" s="215">
        <v>0</v>
      </c>
      <c r="O5" s="215">
        <v>2</v>
      </c>
      <c r="P5" s="114" t="s">
        <v>21</v>
      </c>
      <c r="Q5" s="114">
        <f t="shared" si="2"/>
        <v>0.25770300000000002</v>
      </c>
    </row>
    <row r="6" spans="1:17" s="83" customFormat="1" ht="34" customHeight="1">
      <c r="A6" s="256">
        <v>2</v>
      </c>
      <c r="B6" s="267" t="s">
        <v>24</v>
      </c>
      <c r="C6" s="96" t="s">
        <v>25</v>
      </c>
      <c r="D6" s="96" t="s">
        <v>26</v>
      </c>
      <c r="E6" s="96" t="s">
        <v>20</v>
      </c>
      <c r="F6" s="96">
        <v>2296.38</v>
      </c>
      <c r="G6" s="96">
        <v>39.76</v>
      </c>
      <c r="H6" s="121">
        <v>9.1304068800000007</v>
      </c>
      <c r="I6" s="121">
        <v>6.9764024400000002</v>
      </c>
      <c r="J6" s="121">
        <v>2.15400444</v>
      </c>
      <c r="K6" s="121">
        <v>4.0307962399999999</v>
      </c>
      <c r="L6" s="121">
        <v>13.16320312</v>
      </c>
      <c r="M6" s="121">
        <v>1.14819E-2</v>
      </c>
      <c r="N6" s="215">
        <v>2</v>
      </c>
      <c r="O6" s="121">
        <v>13</v>
      </c>
      <c r="P6" s="121" t="s">
        <v>21</v>
      </c>
      <c r="Q6" s="121">
        <v>6.9764024400000002</v>
      </c>
    </row>
    <row r="7" spans="1:17" s="83" customFormat="1" ht="34" customHeight="1">
      <c r="A7" s="257"/>
      <c r="B7" s="268"/>
      <c r="C7" s="178" t="s">
        <v>27</v>
      </c>
      <c r="D7" s="179" t="s">
        <v>25</v>
      </c>
      <c r="E7" s="179" t="s">
        <v>20</v>
      </c>
      <c r="F7" s="180">
        <v>2000</v>
      </c>
      <c r="G7" s="181">
        <v>39.76</v>
      </c>
      <c r="H7" s="182">
        <v>7.952</v>
      </c>
      <c r="I7" s="182">
        <v>6.0759999999999996</v>
      </c>
      <c r="J7" s="182">
        <v>1.8759999999999999</v>
      </c>
      <c r="K7" s="182">
        <v>2.62</v>
      </c>
      <c r="L7" s="182">
        <v>10.57</v>
      </c>
      <c r="M7" s="182">
        <v>0.01</v>
      </c>
      <c r="N7" s="179">
        <v>0</v>
      </c>
      <c r="O7" s="178">
        <v>14</v>
      </c>
      <c r="P7" s="179" t="s">
        <v>21</v>
      </c>
      <c r="Q7" s="179">
        <v>6.0759999999999996</v>
      </c>
    </row>
    <row r="8" spans="1:17" s="83" customFormat="1" ht="24" customHeight="1">
      <c r="A8" s="258">
        <v>3</v>
      </c>
      <c r="B8" s="269" t="s">
        <v>28</v>
      </c>
      <c r="C8" s="123" t="s">
        <v>29</v>
      </c>
      <c r="D8" s="123" t="s">
        <v>26</v>
      </c>
      <c r="E8" s="112" t="s">
        <v>20</v>
      </c>
      <c r="F8" s="114">
        <v>62.2</v>
      </c>
      <c r="G8" s="114">
        <v>32.86</v>
      </c>
      <c r="H8" s="115">
        <f t="shared" ref="H8:H21" si="4">F8*G8/10000</f>
        <v>0.20438919999999999</v>
      </c>
      <c r="I8" s="115">
        <f>F8*29/10000</f>
        <v>0.18038000000000001</v>
      </c>
      <c r="J8" s="114">
        <f>F8*3.22/10000</f>
        <v>2.0028399999999998E-2</v>
      </c>
      <c r="K8" s="114">
        <f>F8*16.08/10000</f>
        <v>0.1000176</v>
      </c>
      <c r="L8" s="114">
        <f t="shared" ref="L8:L21" si="5">SUM(I8:K8)</f>
        <v>0.30042600000000003</v>
      </c>
      <c r="M8" s="115">
        <f t="shared" ref="M8:M13" si="6">F8*0/10000</f>
        <v>0</v>
      </c>
      <c r="N8" s="215">
        <v>0</v>
      </c>
      <c r="O8" s="215">
        <v>0</v>
      </c>
      <c r="P8" s="114" t="s">
        <v>21</v>
      </c>
      <c r="Q8" s="114">
        <f t="shared" ref="Q8:Q21" si="7">I8</f>
        <v>0.18038000000000001</v>
      </c>
    </row>
    <row r="9" spans="1:17" s="83" customFormat="1" ht="24" customHeight="1">
      <c r="A9" s="258"/>
      <c r="B9" s="270"/>
      <c r="C9" s="238" t="s">
        <v>22</v>
      </c>
      <c r="D9" s="239"/>
      <c r="E9" s="112" t="s">
        <v>20</v>
      </c>
      <c r="F9" s="114">
        <v>1231.25</v>
      </c>
      <c r="G9" s="114">
        <v>16</v>
      </c>
      <c r="H9" s="115">
        <f t="shared" si="4"/>
        <v>1.97</v>
      </c>
      <c r="I9" s="115">
        <f>F9*16/10000</f>
        <v>1.97</v>
      </c>
      <c r="J9" s="114">
        <f>F9*0/10000</f>
        <v>0</v>
      </c>
      <c r="K9" s="114">
        <f t="shared" ref="K9:K13" si="8">F9*0/10000</f>
        <v>0</v>
      </c>
      <c r="L9" s="114">
        <f t="shared" si="5"/>
        <v>1.97</v>
      </c>
      <c r="M9" s="115">
        <f t="shared" si="6"/>
        <v>0</v>
      </c>
      <c r="N9" s="215">
        <v>0</v>
      </c>
      <c r="O9" s="215">
        <v>0</v>
      </c>
      <c r="P9" s="114" t="s">
        <v>21</v>
      </c>
      <c r="Q9" s="114">
        <f t="shared" si="7"/>
        <v>1.97</v>
      </c>
    </row>
    <row r="10" spans="1:17" s="83" customFormat="1" ht="24" customHeight="1">
      <c r="A10" s="183">
        <v>4</v>
      </c>
      <c r="B10" s="112" t="s">
        <v>30</v>
      </c>
      <c r="C10" s="112" t="s">
        <v>31</v>
      </c>
      <c r="D10" s="112" t="s">
        <v>31</v>
      </c>
      <c r="E10" s="112" t="s">
        <v>20</v>
      </c>
      <c r="F10" s="114">
        <v>1089.6600000000001</v>
      </c>
      <c r="G10" s="114">
        <v>26.2</v>
      </c>
      <c r="H10" s="115">
        <f t="shared" si="4"/>
        <v>2.8549091999999998</v>
      </c>
      <c r="I10" s="115">
        <f>F10*23.26/10000</f>
        <v>2.5345491600000001</v>
      </c>
      <c r="J10" s="114">
        <f>F10*2.94/10000</f>
        <v>0.32036004000000001</v>
      </c>
      <c r="K10" s="114">
        <f>F10*5.78/10000</f>
        <v>0.62982347999999999</v>
      </c>
      <c r="L10" s="114">
        <f t="shared" si="5"/>
        <v>3.48473268</v>
      </c>
      <c r="M10" s="115">
        <f>F10*6.7/10000</f>
        <v>0.73007219999999995</v>
      </c>
      <c r="N10" s="215">
        <v>0</v>
      </c>
      <c r="O10" s="215">
        <v>3</v>
      </c>
      <c r="P10" s="114" t="s">
        <v>21</v>
      </c>
      <c r="Q10" s="114">
        <f t="shared" si="7"/>
        <v>2.5345491600000001</v>
      </c>
    </row>
    <row r="11" spans="1:17" s="83" customFormat="1" ht="24" customHeight="1">
      <c r="A11" s="253">
        <v>5</v>
      </c>
      <c r="B11" s="264" t="s">
        <v>32</v>
      </c>
      <c r="C11" s="184" t="s">
        <v>33</v>
      </c>
      <c r="D11" s="185" t="s">
        <v>34</v>
      </c>
      <c r="E11" s="235" t="s">
        <v>20</v>
      </c>
      <c r="F11" s="114">
        <v>100</v>
      </c>
      <c r="G11" s="186">
        <v>29</v>
      </c>
      <c r="H11" s="187">
        <f t="shared" si="4"/>
        <v>0.28999999999999998</v>
      </c>
      <c r="I11" s="185">
        <f>F11*15/10000</f>
        <v>0.15</v>
      </c>
      <c r="J11" s="185">
        <f>F11*7*2/10000</f>
        <v>0.14000000000000001</v>
      </c>
      <c r="K11" s="185">
        <v>0</v>
      </c>
      <c r="L11" s="187">
        <f t="shared" si="5"/>
        <v>0.28999999999999998</v>
      </c>
      <c r="M11" s="185">
        <v>0</v>
      </c>
      <c r="N11" s="186">
        <v>0</v>
      </c>
      <c r="O11" s="186">
        <v>0</v>
      </c>
      <c r="P11" s="114" t="s">
        <v>21</v>
      </c>
      <c r="Q11" s="114">
        <f t="shared" si="7"/>
        <v>0.15</v>
      </c>
    </row>
    <row r="12" spans="1:17" s="83" customFormat="1" ht="24" customHeight="1">
      <c r="A12" s="255"/>
      <c r="B12" s="266"/>
      <c r="C12" s="112" t="s">
        <v>34</v>
      </c>
      <c r="D12" s="112" t="s">
        <v>24</v>
      </c>
      <c r="E12" s="235"/>
      <c r="F12" s="114">
        <v>100</v>
      </c>
      <c r="G12" s="114">
        <v>32</v>
      </c>
      <c r="H12" s="115">
        <f t="shared" si="4"/>
        <v>0.32</v>
      </c>
      <c r="I12" s="115">
        <f>F12*24/10000</f>
        <v>0.24</v>
      </c>
      <c r="J12" s="114">
        <f>F12*8/10000</f>
        <v>0.08</v>
      </c>
      <c r="K12" s="114">
        <f t="shared" si="8"/>
        <v>0</v>
      </c>
      <c r="L12" s="114">
        <f t="shared" si="5"/>
        <v>0.32</v>
      </c>
      <c r="M12" s="115">
        <f>F12*1/10000</f>
        <v>0.01</v>
      </c>
      <c r="N12" s="215">
        <v>0</v>
      </c>
      <c r="O12" s="215">
        <v>0</v>
      </c>
      <c r="P12" s="114" t="s">
        <v>21</v>
      </c>
      <c r="Q12" s="114">
        <f t="shared" si="7"/>
        <v>0.24</v>
      </c>
    </row>
    <row r="13" spans="1:17" s="139" customFormat="1" ht="32.25" customHeight="1">
      <c r="A13" s="188">
        <v>6</v>
      </c>
      <c r="B13" s="179" t="s">
        <v>35</v>
      </c>
      <c r="C13" s="178" t="s">
        <v>36</v>
      </c>
      <c r="D13" s="179" t="s">
        <v>37</v>
      </c>
      <c r="E13" s="179" t="s">
        <v>20</v>
      </c>
      <c r="F13" s="180">
        <v>486.59</v>
      </c>
      <c r="G13" s="181">
        <v>25.15</v>
      </c>
      <c r="H13" s="182">
        <f t="shared" si="4"/>
        <v>1.2237738499999999</v>
      </c>
      <c r="I13" s="182">
        <f>F13*18.5/10000</f>
        <v>0.90019150000000003</v>
      </c>
      <c r="J13" s="182">
        <f>F13*6.58/10000</f>
        <v>0.32017622000000001</v>
      </c>
      <c r="K13" s="182">
        <f t="shared" si="8"/>
        <v>0</v>
      </c>
      <c r="L13" s="182">
        <f t="shared" si="5"/>
        <v>1.22036772</v>
      </c>
      <c r="M13" s="182">
        <f t="shared" si="6"/>
        <v>0</v>
      </c>
      <c r="N13" s="179">
        <v>0</v>
      </c>
      <c r="O13" s="178">
        <v>0</v>
      </c>
      <c r="P13" s="179" t="s">
        <v>21</v>
      </c>
      <c r="Q13" s="179">
        <f t="shared" si="7"/>
        <v>0.90019150000000003</v>
      </c>
    </row>
    <row r="14" spans="1:17" s="139" customFormat="1" ht="20.149999999999999" customHeight="1">
      <c r="A14" s="188">
        <v>7</v>
      </c>
      <c r="B14" s="179" t="s">
        <v>38</v>
      </c>
      <c r="C14" s="178" t="s">
        <v>27</v>
      </c>
      <c r="D14" s="179" t="s">
        <v>39</v>
      </c>
      <c r="E14" s="179" t="s">
        <v>20</v>
      </c>
      <c r="F14" s="180">
        <v>542.96</v>
      </c>
      <c r="G14" s="181">
        <v>23.79</v>
      </c>
      <c r="H14" s="182">
        <f t="shared" si="4"/>
        <v>1.29170184</v>
      </c>
      <c r="I14" s="182">
        <f>F14*16.8/10000</f>
        <v>0.91217280000000001</v>
      </c>
      <c r="J14" s="182">
        <f>F14*7/10000</f>
        <v>0.38007200000000002</v>
      </c>
      <c r="K14" s="182">
        <f>F14*53.96/10000</f>
        <v>2.92981216</v>
      </c>
      <c r="L14" s="182">
        <f t="shared" si="5"/>
        <v>4.2220569599999997</v>
      </c>
      <c r="M14" s="182">
        <v>0.01</v>
      </c>
      <c r="N14" s="179">
        <v>0</v>
      </c>
      <c r="O14" s="178">
        <v>0</v>
      </c>
      <c r="P14" s="179" t="s">
        <v>21</v>
      </c>
      <c r="Q14" s="179">
        <f t="shared" si="7"/>
        <v>0.91217280000000001</v>
      </c>
    </row>
    <row r="15" spans="1:17" s="139" customFormat="1" ht="20.149999999999999" customHeight="1">
      <c r="A15" s="188">
        <v>8</v>
      </c>
      <c r="B15" s="179" t="s">
        <v>40</v>
      </c>
      <c r="C15" s="178" t="s">
        <v>41</v>
      </c>
      <c r="D15" s="179" t="s">
        <v>42</v>
      </c>
      <c r="E15" s="179" t="s">
        <v>20</v>
      </c>
      <c r="F15" s="180">
        <v>1636.91</v>
      </c>
      <c r="G15" s="181">
        <v>31.35</v>
      </c>
      <c r="H15" s="182">
        <f t="shared" si="4"/>
        <v>5.1317128500000004</v>
      </c>
      <c r="I15" s="182">
        <f>F15*19.45/10000</f>
        <v>3.18378995</v>
      </c>
      <c r="J15" s="182">
        <f>F15*11.9/10000</f>
        <v>1.9479229</v>
      </c>
      <c r="K15" s="182">
        <f>F15*12.4/10000</f>
        <v>2.0297684</v>
      </c>
      <c r="L15" s="182">
        <f t="shared" si="5"/>
        <v>7.1614812499999996</v>
      </c>
      <c r="M15" s="182">
        <f t="shared" ref="M15:M19" si="9">F15*0/10000</f>
        <v>0</v>
      </c>
      <c r="N15" s="179">
        <v>0</v>
      </c>
      <c r="O15" s="178">
        <v>4</v>
      </c>
      <c r="P15" s="179" t="s">
        <v>21</v>
      </c>
      <c r="Q15" s="179">
        <f t="shared" si="7"/>
        <v>3.18378995</v>
      </c>
    </row>
    <row r="16" spans="1:17" s="139" customFormat="1" ht="20.149999999999999" customHeight="1">
      <c r="A16" s="188">
        <v>9</v>
      </c>
      <c r="B16" s="179" t="s">
        <v>43</v>
      </c>
      <c r="C16" s="178" t="s">
        <v>44</v>
      </c>
      <c r="D16" s="179" t="s">
        <v>45</v>
      </c>
      <c r="E16" s="179" t="s">
        <v>20</v>
      </c>
      <c r="F16" s="180">
        <v>1742.05</v>
      </c>
      <c r="G16" s="181">
        <v>31.37</v>
      </c>
      <c r="H16" s="182">
        <f t="shared" si="4"/>
        <v>5.4648108500000001</v>
      </c>
      <c r="I16" s="182">
        <f>F16*22.12/10000</f>
        <v>3.8534145999999998</v>
      </c>
      <c r="J16" s="182">
        <f>F16*9.24/10000</f>
        <v>1.6096542</v>
      </c>
      <c r="K16" s="182">
        <f>F16*3.73/10000</f>
        <v>0.64978464999999996</v>
      </c>
      <c r="L16" s="182">
        <f t="shared" si="5"/>
        <v>6.1128534500000002</v>
      </c>
      <c r="M16" s="182">
        <f>F16*3.85/10000</f>
        <v>0.67068925000000001</v>
      </c>
      <c r="N16" s="179">
        <v>0</v>
      </c>
      <c r="O16" s="178">
        <v>36</v>
      </c>
      <c r="P16" s="179" t="s">
        <v>21</v>
      </c>
      <c r="Q16" s="179">
        <f t="shared" si="7"/>
        <v>3.8534145999999998</v>
      </c>
    </row>
    <row r="17" spans="1:17" s="139" customFormat="1" ht="20.149999999999999" customHeight="1">
      <c r="A17" s="259">
        <v>10</v>
      </c>
      <c r="B17" s="271" t="s">
        <v>39</v>
      </c>
      <c r="C17" s="178" t="s">
        <v>46</v>
      </c>
      <c r="D17" s="179" t="s">
        <v>47</v>
      </c>
      <c r="E17" s="179" t="s">
        <v>20</v>
      </c>
      <c r="F17" s="180">
        <v>677.11</v>
      </c>
      <c r="G17" s="181">
        <v>36.69</v>
      </c>
      <c r="H17" s="182">
        <f t="shared" si="4"/>
        <v>2.4843165900000002</v>
      </c>
      <c r="I17" s="182">
        <f>F17*20.58/10000</f>
        <v>1.3934923800000001</v>
      </c>
      <c r="J17" s="182">
        <f>F17*16.1/10000</f>
        <v>1.0901471</v>
      </c>
      <c r="K17" s="182">
        <f>F17*3.84/10000</f>
        <v>0.26001024</v>
      </c>
      <c r="L17" s="182">
        <f t="shared" si="5"/>
        <v>2.7436497200000001</v>
      </c>
      <c r="M17" s="182">
        <f t="shared" si="9"/>
        <v>0</v>
      </c>
      <c r="N17" s="179">
        <v>0</v>
      </c>
      <c r="O17" s="178">
        <v>2</v>
      </c>
      <c r="P17" s="179" t="s">
        <v>21</v>
      </c>
      <c r="Q17" s="179">
        <f t="shared" si="7"/>
        <v>1.3934923800000001</v>
      </c>
    </row>
    <row r="18" spans="1:17" s="139" customFormat="1" ht="20.149999999999999" customHeight="1">
      <c r="A18" s="259"/>
      <c r="B18" s="271"/>
      <c r="C18" s="240" t="s">
        <v>48</v>
      </c>
      <c r="D18" s="241"/>
      <c r="E18" s="179" t="s">
        <v>20</v>
      </c>
      <c r="F18" s="180">
        <v>200</v>
      </c>
      <c r="G18" s="181">
        <v>31</v>
      </c>
      <c r="H18" s="182">
        <f t="shared" si="4"/>
        <v>0.62</v>
      </c>
      <c r="I18" s="182">
        <f>F18*21/10000</f>
        <v>0.42</v>
      </c>
      <c r="J18" s="182">
        <f>F18*9.8/10000</f>
        <v>0.19600000000000001</v>
      </c>
      <c r="K18" s="182">
        <f>F18*0/10000</f>
        <v>0</v>
      </c>
      <c r="L18" s="182">
        <f t="shared" si="5"/>
        <v>0.61599999999999999</v>
      </c>
      <c r="M18" s="182">
        <f t="shared" si="9"/>
        <v>0</v>
      </c>
      <c r="N18" s="179">
        <v>0</v>
      </c>
      <c r="O18" s="178">
        <v>0</v>
      </c>
      <c r="P18" s="179" t="s">
        <v>21</v>
      </c>
      <c r="Q18" s="179">
        <f t="shared" si="7"/>
        <v>0.42</v>
      </c>
    </row>
    <row r="19" spans="1:17" s="139" customFormat="1" ht="20.149999999999999" customHeight="1">
      <c r="A19" s="188">
        <v>11</v>
      </c>
      <c r="B19" s="179" t="s">
        <v>49</v>
      </c>
      <c r="C19" s="178" t="s">
        <v>50</v>
      </c>
      <c r="D19" s="179" t="s">
        <v>51</v>
      </c>
      <c r="E19" s="179" t="s">
        <v>20</v>
      </c>
      <c r="F19" s="180">
        <v>505.73</v>
      </c>
      <c r="G19" s="181">
        <v>73.44</v>
      </c>
      <c r="H19" s="182">
        <f t="shared" si="4"/>
        <v>3.7140811199999999</v>
      </c>
      <c r="I19" s="182">
        <f>F19*66.3/10000</f>
        <v>3.3529898999999999</v>
      </c>
      <c r="J19" s="182">
        <f>F19*7.32/10000</f>
        <v>0.37019436</v>
      </c>
      <c r="K19" s="182">
        <f>F19*5.9/10000</f>
        <v>0.2983807</v>
      </c>
      <c r="L19" s="182">
        <f t="shared" si="5"/>
        <v>4.0215649600000001</v>
      </c>
      <c r="M19" s="182">
        <f t="shared" si="9"/>
        <v>0</v>
      </c>
      <c r="N19" s="179">
        <v>0</v>
      </c>
      <c r="O19" s="178">
        <v>3</v>
      </c>
      <c r="P19" s="179" t="s">
        <v>21</v>
      </c>
      <c r="Q19" s="179">
        <f t="shared" si="7"/>
        <v>3.3529898999999999</v>
      </c>
    </row>
    <row r="20" spans="1:17" s="83" customFormat="1" ht="24" customHeight="1">
      <c r="A20" s="253">
        <v>12</v>
      </c>
      <c r="B20" s="264" t="s">
        <v>52</v>
      </c>
      <c r="C20" s="112" t="s">
        <v>53</v>
      </c>
      <c r="D20" s="112" t="s">
        <v>54</v>
      </c>
      <c r="E20" s="112" t="s">
        <v>20</v>
      </c>
      <c r="F20" s="114">
        <v>1429.41</v>
      </c>
      <c r="G20" s="114">
        <v>41.45</v>
      </c>
      <c r="H20" s="115">
        <f t="shared" si="4"/>
        <v>5.9249044499999997</v>
      </c>
      <c r="I20" s="115">
        <f>F20*32.46/10000</f>
        <v>4.6398648600000003</v>
      </c>
      <c r="J20" s="114">
        <f>F20*8.95/10000</f>
        <v>1.2793219499999999</v>
      </c>
      <c r="K20" s="114">
        <f>F20*6.65/10000</f>
        <v>0.95055765000000003</v>
      </c>
      <c r="L20" s="114">
        <f t="shared" si="5"/>
        <v>6.8697444599999997</v>
      </c>
      <c r="M20" s="115">
        <f>F20*2.94/10000</f>
        <v>0.42024654</v>
      </c>
      <c r="N20" s="215">
        <v>0</v>
      </c>
      <c r="O20" s="215">
        <v>8</v>
      </c>
      <c r="P20" s="114" t="s">
        <v>21</v>
      </c>
      <c r="Q20" s="114">
        <f t="shared" si="7"/>
        <v>4.6398648600000003</v>
      </c>
    </row>
    <row r="21" spans="1:17" s="83" customFormat="1" ht="24" customHeight="1">
      <c r="A21" s="255"/>
      <c r="B21" s="266"/>
      <c r="C21" s="112" t="s">
        <v>54</v>
      </c>
      <c r="D21" s="112" t="s">
        <v>55</v>
      </c>
      <c r="E21" s="112" t="s">
        <v>20</v>
      </c>
      <c r="F21" s="114">
        <v>555.29</v>
      </c>
      <c r="G21" s="114">
        <v>42.46</v>
      </c>
      <c r="H21" s="115">
        <f t="shared" si="4"/>
        <v>2.3577613400000001</v>
      </c>
      <c r="I21" s="115">
        <f>F21*32.78/10000</f>
        <v>1.8202406200000001</v>
      </c>
      <c r="J21" s="114">
        <f>F21*9.72/10000</f>
        <v>0.53974188000000001</v>
      </c>
      <c r="K21" s="114">
        <f>F21*2.52/10000</f>
        <v>0.13993307999999999</v>
      </c>
      <c r="L21" s="114">
        <f t="shared" si="5"/>
        <v>2.4999155800000001</v>
      </c>
      <c r="M21" s="115">
        <f>F21*3.6/10000</f>
        <v>0.19990440000000001</v>
      </c>
      <c r="N21" s="215">
        <v>0</v>
      </c>
      <c r="O21" s="215">
        <v>13</v>
      </c>
      <c r="P21" s="114" t="s">
        <v>21</v>
      </c>
      <c r="Q21" s="114">
        <f t="shared" si="7"/>
        <v>1.8202406200000001</v>
      </c>
    </row>
    <row r="22" spans="1:17" s="171" customFormat="1" ht="24" customHeight="1">
      <c r="A22" s="242" t="s">
        <v>56</v>
      </c>
      <c r="B22" s="242"/>
      <c r="C22" s="243">
        <f>COUNT(A2:A21)</f>
        <v>12</v>
      </c>
      <c r="D22" s="242"/>
      <c r="E22" s="189"/>
      <c r="F22" s="190">
        <f t="shared" ref="F22:O22" si="10">SUM(F2:F21)</f>
        <v>17745.86</v>
      </c>
      <c r="G22" s="190">
        <f t="shared" si="10"/>
        <v>634.54999999999995</v>
      </c>
      <c r="H22" s="190">
        <f t="shared" si="10"/>
        <v>57.455412789999997</v>
      </c>
      <c r="I22" s="190">
        <f t="shared" si="10"/>
        <v>44.120926830000002</v>
      </c>
      <c r="J22" s="190">
        <f t="shared" si="10"/>
        <v>13.33508099</v>
      </c>
      <c r="K22" s="190">
        <f t="shared" si="10"/>
        <v>16.729260499999999</v>
      </c>
      <c r="L22" s="190">
        <f t="shared" si="10"/>
        <v>74.185268320000006</v>
      </c>
      <c r="M22" s="190">
        <f t="shared" si="10"/>
        <v>2.90287549</v>
      </c>
      <c r="N22" s="203">
        <f t="shared" si="10"/>
        <v>2</v>
      </c>
      <c r="O22" s="203">
        <f t="shared" si="10"/>
        <v>115</v>
      </c>
      <c r="P22" s="190"/>
      <c r="Q22" s="190">
        <f>SUM(Q2:Q21)</f>
        <v>44.120926830000002</v>
      </c>
    </row>
    <row r="23" spans="1:17" s="83" customFormat="1" ht="19.899999999999999" customHeight="1">
      <c r="A23" s="258">
        <v>13</v>
      </c>
      <c r="B23" s="235" t="s">
        <v>57</v>
      </c>
      <c r="C23" s="112" t="s">
        <v>58</v>
      </c>
      <c r="D23" s="112" t="s">
        <v>59</v>
      </c>
      <c r="E23" s="112" t="s">
        <v>60</v>
      </c>
      <c r="F23" s="114">
        <v>341.55</v>
      </c>
      <c r="G23" s="114">
        <v>21.05</v>
      </c>
      <c r="H23" s="115">
        <f t="shared" ref="H23:H37" si="11">F23*G23/10000</f>
        <v>0.71896274999999998</v>
      </c>
      <c r="I23" s="115">
        <f>F23*15.9/10000</f>
        <v>0.54306449999999995</v>
      </c>
      <c r="J23" s="114">
        <f>F23*5.27/10000</f>
        <v>0.17999685000000001</v>
      </c>
      <c r="K23" s="114">
        <f>F23*0.29/10000</f>
        <v>9.9049499999999992E-3</v>
      </c>
      <c r="L23" s="114">
        <f t="shared" ref="L23:L35" si="12">SUM(I23:K23)</f>
        <v>0.73296629999999996</v>
      </c>
      <c r="M23" s="115">
        <f t="shared" ref="M23:M30" si="13">F23*0/10000</f>
        <v>0</v>
      </c>
      <c r="N23" s="215">
        <v>0</v>
      </c>
      <c r="O23" s="215">
        <v>0</v>
      </c>
      <c r="P23" s="114" t="s">
        <v>21</v>
      </c>
      <c r="Q23" s="114">
        <f t="shared" ref="Q23:Q35" si="14">I23</f>
        <v>0.54306449999999995</v>
      </c>
    </row>
    <row r="24" spans="1:17" s="83" customFormat="1" ht="24" customHeight="1">
      <c r="A24" s="258"/>
      <c r="B24" s="235"/>
      <c r="C24" s="235" t="s">
        <v>22</v>
      </c>
      <c r="D24" s="235"/>
      <c r="E24" s="112" t="s">
        <v>60</v>
      </c>
      <c r="F24" s="114">
        <v>280.79000000000002</v>
      </c>
      <c r="G24" s="114">
        <v>20.3</v>
      </c>
      <c r="H24" s="115">
        <f t="shared" si="11"/>
        <v>0.5700037</v>
      </c>
      <c r="I24" s="115">
        <f>F24*20.3/10000</f>
        <v>0.5700037</v>
      </c>
      <c r="J24" s="114">
        <f t="shared" ref="J24:J30" si="15">F24*0/10000</f>
        <v>0</v>
      </c>
      <c r="K24" s="114">
        <f t="shared" ref="K24:K30" si="16">F24*0/10000</f>
        <v>0</v>
      </c>
      <c r="L24" s="114">
        <f t="shared" si="12"/>
        <v>0.5700037</v>
      </c>
      <c r="M24" s="115">
        <f t="shared" si="13"/>
        <v>0</v>
      </c>
      <c r="N24" s="215">
        <v>0</v>
      </c>
      <c r="O24" s="215">
        <v>0</v>
      </c>
      <c r="P24" s="114" t="s">
        <v>21</v>
      </c>
      <c r="Q24" s="114">
        <f t="shared" si="14"/>
        <v>0.5700037</v>
      </c>
    </row>
    <row r="25" spans="1:17" s="83" customFormat="1" ht="30" customHeight="1">
      <c r="A25" s="191">
        <v>14</v>
      </c>
      <c r="B25" s="192" t="s">
        <v>61</v>
      </c>
      <c r="C25" s="192" t="s">
        <v>52</v>
      </c>
      <c r="D25" s="192" t="s">
        <v>62</v>
      </c>
      <c r="E25" s="193" t="s">
        <v>60</v>
      </c>
      <c r="F25" s="194">
        <v>780</v>
      </c>
      <c r="G25" s="195">
        <v>52.2</v>
      </c>
      <c r="H25" s="196">
        <f t="shared" si="11"/>
        <v>4.0716000000000001</v>
      </c>
      <c r="I25" s="196">
        <f>F25*17.6*2/10000</f>
        <v>2.7456</v>
      </c>
      <c r="J25" s="216">
        <f>F25*(4.5*2+4*2)/10000</f>
        <v>1.3260000000000001</v>
      </c>
      <c r="K25" s="216"/>
      <c r="L25" s="196">
        <f>I25+J25+K25</f>
        <v>4.0716000000000001</v>
      </c>
      <c r="M25" s="196">
        <f>F25*1.5/10000</f>
        <v>0.11700000000000001</v>
      </c>
      <c r="N25" s="192">
        <v>0</v>
      </c>
      <c r="O25" s="192">
        <v>25</v>
      </c>
      <c r="P25" s="108" t="s">
        <v>21</v>
      </c>
      <c r="Q25" s="223"/>
    </row>
    <row r="26" spans="1:17" s="83" customFormat="1" ht="24" customHeight="1">
      <c r="A26" s="253">
        <v>15</v>
      </c>
      <c r="B26" s="264" t="s">
        <v>63</v>
      </c>
      <c r="C26" s="197" t="s">
        <v>64</v>
      </c>
      <c r="D26" s="197" t="s">
        <v>65</v>
      </c>
      <c r="E26" s="112" t="s">
        <v>60</v>
      </c>
      <c r="F26" s="128">
        <v>1479.04</v>
      </c>
      <c r="G26" s="128">
        <v>43.49</v>
      </c>
      <c r="H26" s="115">
        <f t="shared" si="11"/>
        <v>6.43234496</v>
      </c>
      <c r="I26" s="115">
        <f>F26*35.46/10000</f>
        <v>5.2446758400000002</v>
      </c>
      <c r="J26" s="114">
        <f>F26*8.02/10000</f>
        <v>1.18619008</v>
      </c>
      <c r="K26" s="114">
        <f>F26*5.71/10000</f>
        <v>0.84453184000000003</v>
      </c>
      <c r="L26" s="114">
        <f t="shared" si="12"/>
        <v>7.2753977599999997</v>
      </c>
      <c r="M26" s="115">
        <f>F26*2.25/10000</f>
        <v>0.33278400000000002</v>
      </c>
      <c r="N26" s="128">
        <v>0</v>
      </c>
      <c r="O26" s="128">
        <v>1</v>
      </c>
      <c r="P26" s="114" t="s">
        <v>21</v>
      </c>
      <c r="Q26" s="114">
        <f t="shared" si="14"/>
        <v>5.2446758400000002</v>
      </c>
    </row>
    <row r="27" spans="1:17" s="83" customFormat="1" ht="24" customHeight="1">
      <c r="A27" s="254"/>
      <c r="B27" s="265"/>
      <c r="C27" s="197" t="s">
        <v>65</v>
      </c>
      <c r="D27" s="197" t="s">
        <v>66</v>
      </c>
      <c r="E27" s="112" t="s">
        <v>60</v>
      </c>
      <c r="F27" s="128">
        <v>1500</v>
      </c>
      <c r="G27" s="114">
        <v>56.5</v>
      </c>
      <c r="H27" s="115">
        <f t="shared" si="11"/>
        <v>8.4749999999999996</v>
      </c>
      <c r="I27" s="115">
        <f>F27*51.3/10000</f>
        <v>7.6950000000000003</v>
      </c>
      <c r="J27" s="115">
        <f>F27*5.2/10000</f>
        <v>0.78</v>
      </c>
      <c r="K27" s="115">
        <f>F27*11*2/10000</f>
        <v>3.3</v>
      </c>
      <c r="L27" s="114">
        <f t="shared" si="12"/>
        <v>11.775</v>
      </c>
      <c r="M27" s="115">
        <f>F27*7.2/10000</f>
        <v>1.08</v>
      </c>
      <c r="N27" s="128">
        <v>3</v>
      </c>
      <c r="O27" s="128">
        <v>0</v>
      </c>
      <c r="P27" s="114" t="s">
        <v>21</v>
      </c>
      <c r="Q27" s="114">
        <f t="shared" si="14"/>
        <v>7.6950000000000003</v>
      </c>
    </row>
    <row r="28" spans="1:17" s="83" customFormat="1" ht="48" customHeight="1">
      <c r="A28" s="254"/>
      <c r="B28" s="265"/>
      <c r="C28" s="244" t="s">
        <v>67</v>
      </c>
      <c r="D28" s="244"/>
      <c r="E28" s="184" t="s">
        <v>60</v>
      </c>
      <c r="F28" s="186">
        <v>600</v>
      </c>
      <c r="G28" s="186">
        <v>30</v>
      </c>
      <c r="H28" s="166">
        <f t="shared" si="11"/>
        <v>1.8</v>
      </c>
      <c r="I28" s="166">
        <f>F28*G28/10000</f>
        <v>1.8</v>
      </c>
      <c r="J28" s="185">
        <f t="shared" si="15"/>
        <v>0</v>
      </c>
      <c r="K28" s="185">
        <f t="shared" si="16"/>
        <v>0</v>
      </c>
      <c r="L28" s="166">
        <f t="shared" si="12"/>
        <v>1.8</v>
      </c>
      <c r="M28" s="166">
        <f t="shared" si="13"/>
        <v>0</v>
      </c>
      <c r="N28" s="215">
        <v>0</v>
      </c>
      <c r="O28" s="166">
        <v>0</v>
      </c>
      <c r="P28" s="114" t="s">
        <v>21</v>
      </c>
      <c r="Q28" s="114">
        <f t="shared" si="14"/>
        <v>1.8</v>
      </c>
    </row>
    <row r="29" spans="1:17" s="83" customFormat="1" ht="24" customHeight="1">
      <c r="A29" s="254"/>
      <c r="B29" s="265"/>
      <c r="C29" s="235" t="s">
        <v>22</v>
      </c>
      <c r="D29" s="235"/>
      <c r="E29" s="112" t="s">
        <v>60</v>
      </c>
      <c r="F29" s="114">
        <v>948.18</v>
      </c>
      <c r="G29" s="114">
        <v>19.3</v>
      </c>
      <c r="H29" s="115">
        <f t="shared" si="11"/>
        <v>1.8299874</v>
      </c>
      <c r="I29" s="115">
        <f>F29*19.3/10000</f>
        <v>1.8299874</v>
      </c>
      <c r="J29" s="114">
        <f t="shared" si="15"/>
        <v>0</v>
      </c>
      <c r="K29" s="114">
        <f t="shared" si="16"/>
        <v>0</v>
      </c>
      <c r="L29" s="114">
        <f t="shared" si="12"/>
        <v>1.8299874</v>
      </c>
      <c r="M29" s="115">
        <f t="shared" si="13"/>
        <v>0</v>
      </c>
      <c r="N29" s="215">
        <v>0</v>
      </c>
      <c r="O29" s="215">
        <v>0</v>
      </c>
      <c r="P29" s="114" t="s">
        <v>21</v>
      </c>
      <c r="Q29" s="114">
        <f t="shared" si="14"/>
        <v>1.8299874</v>
      </c>
    </row>
    <row r="30" spans="1:17" s="83" customFormat="1" ht="34.5" customHeight="1">
      <c r="A30" s="255"/>
      <c r="B30" s="266"/>
      <c r="C30" s="112" t="s">
        <v>68</v>
      </c>
      <c r="D30" s="112" t="s">
        <v>69</v>
      </c>
      <c r="E30" s="112" t="s">
        <v>60</v>
      </c>
      <c r="F30" s="114">
        <v>19.399999999999999</v>
      </c>
      <c r="G30" s="114">
        <v>6.95</v>
      </c>
      <c r="H30" s="115">
        <f t="shared" si="11"/>
        <v>1.3483E-2</v>
      </c>
      <c r="I30" s="115">
        <f>F30*5.15/10000</f>
        <v>9.9909999999999999E-3</v>
      </c>
      <c r="J30" s="114">
        <f t="shared" si="15"/>
        <v>0</v>
      </c>
      <c r="K30" s="114">
        <f t="shared" si="16"/>
        <v>0</v>
      </c>
      <c r="L30" s="114">
        <f t="shared" si="12"/>
        <v>9.9909999999999999E-3</v>
      </c>
      <c r="M30" s="115">
        <f t="shared" si="13"/>
        <v>0</v>
      </c>
      <c r="N30" s="215">
        <v>0</v>
      </c>
      <c r="O30" s="215">
        <v>0</v>
      </c>
      <c r="P30" s="114" t="s">
        <v>21</v>
      </c>
      <c r="Q30" s="114">
        <f t="shared" si="14"/>
        <v>9.9909999999999999E-3</v>
      </c>
    </row>
    <row r="31" spans="1:17" s="83" customFormat="1" ht="24" customHeight="1">
      <c r="A31" s="183">
        <v>16</v>
      </c>
      <c r="B31" s="112" t="s">
        <v>70</v>
      </c>
      <c r="C31" s="112" t="s">
        <v>71</v>
      </c>
      <c r="D31" s="112" t="s">
        <v>72</v>
      </c>
      <c r="E31" s="112" t="s">
        <v>60</v>
      </c>
      <c r="F31" s="114">
        <v>332.14</v>
      </c>
      <c r="G31" s="114">
        <v>30.3</v>
      </c>
      <c r="H31" s="115">
        <f t="shared" si="11"/>
        <v>1.0063842000000001</v>
      </c>
      <c r="I31" s="115">
        <f>F31*24.5/10000</f>
        <v>0.81374299999999999</v>
      </c>
      <c r="J31" s="114">
        <f>F31*6.02/10000</f>
        <v>0.19994828000000001</v>
      </c>
      <c r="K31" s="114">
        <f>F31*3.61/10000</f>
        <v>0.11990254</v>
      </c>
      <c r="L31" s="114">
        <f t="shared" si="12"/>
        <v>1.13359382</v>
      </c>
      <c r="M31" s="115">
        <f>F31*2.71/10000</f>
        <v>9.0009939999999997E-2</v>
      </c>
      <c r="N31" s="215">
        <v>0</v>
      </c>
      <c r="O31" s="215">
        <v>1</v>
      </c>
      <c r="P31" s="114" t="s">
        <v>21</v>
      </c>
      <c r="Q31" s="114">
        <f t="shared" si="14"/>
        <v>0.81374299999999999</v>
      </c>
    </row>
    <row r="32" spans="1:17" s="83" customFormat="1" ht="24" customHeight="1">
      <c r="A32" s="183">
        <v>17</v>
      </c>
      <c r="B32" s="112" t="s">
        <v>53</v>
      </c>
      <c r="C32" s="112" t="s">
        <v>73</v>
      </c>
      <c r="D32" s="112" t="s">
        <v>74</v>
      </c>
      <c r="E32" s="112" t="s">
        <v>60</v>
      </c>
      <c r="F32" s="114">
        <v>3372.48</v>
      </c>
      <c r="G32" s="114">
        <v>41.21</v>
      </c>
      <c r="H32" s="115">
        <f t="shared" si="11"/>
        <v>13.89799008</v>
      </c>
      <c r="I32" s="115">
        <f>F32*33/10000</f>
        <v>11.129184</v>
      </c>
      <c r="J32" s="114">
        <f>F32*8.21/10000</f>
        <v>2.7688060800000001</v>
      </c>
      <c r="K32" s="114">
        <f>F32*6.35/10000</f>
        <v>2.1415248</v>
      </c>
      <c r="L32" s="114">
        <f t="shared" si="12"/>
        <v>16.039514879999999</v>
      </c>
      <c r="M32" s="115">
        <f>F32*0.68/10000</f>
        <v>0.22932864</v>
      </c>
      <c r="N32" s="125">
        <v>0</v>
      </c>
      <c r="O32" s="215">
        <v>7</v>
      </c>
      <c r="P32" s="114" t="s">
        <v>21</v>
      </c>
      <c r="Q32" s="114">
        <f t="shared" si="14"/>
        <v>11.129184</v>
      </c>
    </row>
    <row r="33" spans="1:17" s="83" customFormat="1" ht="24" customHeight="1">
      <c r="A33" s="183">
        <v>18</v>
      </c>
      <c r="B33" s="112" t="s">
        <v>75</v>
      </c>
      <c r="C33" s="112" t="s">
        <v>24</v>
      </c>
      <c r="D33" s="112" t="s">
        <v>76</v>
      </c>
      <c r="E33" s="112" t="s">
        <v>60</v>
      </c>
      <c r="F33" s="114">
        <v>264.92</v>
      </c>
      <c r="G33" s="114">
        <v>42.04</v>
      </c>
      <c r="H33" s="115">
        <f t="shared" si="11"/>
        <v>1.1137236800000001</v>
      </c>
      <c r="I33" s="115">
        <f>F33*31/10000</f>
        <v>0.82125199999999998</v>
      </c>
      <c r="J33" s="114">
        <f>F33*10.95/10000</f>
        <v>0.2900874</v>
      </c>
      <c r="K33" s="114">
        <f>F33*7.17/10000</f>
        <v>0.18994764</v>
      </c>
      <c r="L33" s="114">
        <f t="shared" si="12"/>
        <v>1.3012870400000001</v>
      </c>
      <c r="M33" s="115">
        <f t="shared" ref="M33:M35" si="17">F33*0/10000</f>
        <v>0</v>
      </c>
      <c r="N33" s="215">
        <v>0</v>
      </c>
      <c r="O33" s="215">
        <v>0</v>
      </c>
      <c r="P33" s="114" t="s">
        <v>21</v>
      </c>
      <c r="Q33" s="114">
        <f t="shared" si="14"/>
        <v>0.82125199999999998</v>
      </c>
    </row>
    <row r="34" spans="1:17" s="83" customFormat="1" ht="24" customHeight="1">
      <c r="A34" s="183">
        <v>19</v>
      </c>
      <c r="B34" s="112" t="s">
        <v>77</v>
      </c>
      <c r="C34" s="112" t="s">
        <v>70</v>
      </c>
      <c r="D34" s="112" t="s">
        <v>78</v>
      </c>
      <c r="E34" s="112" t="s">
        <v>60</v>
      </c>
      <c r="F34" s="114">
        <v>731.34</v>
      </c>
      <c r="G34" s="114">
        <v>22.93</v>
      </c>
      <c r="H34" s="115">
        <f t="shared" si="11"/>
        <v>1.6769626200000001</v>
      </c>
      <c r="I34" s="115">
        <f>F34*15.18/10000</f>
        <v>1.1101741199999999</v>
      </c>
      <c r="J34" s="114">
        <f>F34*7.8/10000</f>
        <v>0.57044519999999999</v>
      </c>
      <c r="K34" s="114">
        <f>F34*4.65/10000</f>
        <v>0.34007310000000002</v>
      </c>
      <c r="L34" s="114">
        <f t="shared" si="12"/>
        <v>2.02069242</v>
      </c>
      <c r="M34" s="115">
        <f t="shared" si="17"/>
        <v>0</v>
      </c>
      <c r="N34" s="215">
        <v>0</v>
      </c>
      <c r="O34" s="215">
        <v>2</v>
      </c>
      <c r="P34" s="114" t="s">
        <v>21</v>
      </c>
      <c r="Q34" s="114">
        <f t="shared" si="14"/>
        <v>1.1101741199999999</v>
      </c>
    </row>
    <row r="35" spans="1:17" s="83" customFormat="1" ht="24" customHeight="1">
      <c r="A35" s="183">
        <v>20</v>
      </c>
      <c r="B35" s="112" t="s">
        <v>78</v>
      </c>
      <c r="C35" s="112" t="s">
        <v>79</v>
      </c>
      <c r="D35" s="112" t="s">
        <v>80</v>
      </c>
      <c r="E35" s="112" t="s">
        <v>60</v>
      </c>
      <c r="F35" s="114">
        <v>656.05</v>
      </c>
      <c r="G35" s="114">
        <v>20.51</v>
      </c>
      <c r="H35" s="115">
        <f t="shared" si="11"/>
        <v>1.34555855</v>
      </c>
      <c r="I35" s="115">
        <f>F35*14.4/10000</f>
        <v>0.944712</v>
      </c>
      <c r="J35" s="114">
        <f>F35*6.25/10000</f>
        <v>0.41003125000000001</v>
      </c>
      <c r="K35" s="114">
        <f>F35*7.7/10000</f>
        <v>0.50515849999999995</v>
      </c>
      <c r="L35" s="114">
        <f t="shared" si="12"/>
        <v>1.8599017499999999</v>
      </c>
      <c r="M35" s="115">
        <f t="shared" si="17"/>
        <v>0</v>
      </c>
      <c r="N35" s="215">
        <v>0</v>
      </c>
      <c r="O35" s="215">
        <v>0</v>
      </c>
      <c r="P35" s="114" t="s">
        <v>21</v>
      </c>
      <c r="Q35" s="114">
        <f t="shared" si="14"/>
        <v>0.944712</v>
      </c>
    </row>
    <row r="36" spans="1:17" s="83" customFormat="1" ht="24" customHeight="1">
      <c r="A36" s="259">
        <v>21</v>
      </c>
      <c r="B36" s="272" t="s">
        <v>81</v>
      </c>
      <c r="C36" s="198" t="s">
        <v>82</v>
      </c>
      <c r="D36" s="198" t="s">
        <v>83</v>
      </c>
      <c r="E36" s="199" t="s">
        <v>60</v>
      </c>
      <c r="F36" s="200">
        <v>510</v>
      </c>
      <c r="G36" s="201">
        <v>18</v>
      </c>
      <c r="H36" s="182">
        <f t="shared" si="11"/>
        <v>0.91800000000000004</v>
      </c>
      <c r="I36" s="182">
        <f>F36*12/10000</f>
        <v>0.61199999999999999</v>
      </c>
      <c r="J36" s="182">
        <f>F36*3*2/10000</f>
        <v>0.30599999999999999</v>
      </c>
      <c r="K36" s="182"/>
      <c r="L36" s="182">
        <f>I36+J36</f>
        <v>0.91800000000000004</v>
      </c>
      <c r="M36" s="182"/>
      <c r="N36" s="96"/>
      <c r="O36" s="217">
        <v>10</v>
      </c>
      <c r="P36" s="218"/>
      <c r="Q36" s="224"/>
    </row>
    <row r="37" spans="1:17" s="83" customFormat="1" ht="24" customHeight="1">
      <c r="A37" s="259"/>
      <c r="B37" s="272"/>
      <c r="C37" s="198" t="s">
        <v>84</v>
      </c>
      <c r="D37" s="198" t="s">
        <v>85</v>
      </c>
      <c r="E37" s="199" t="s">
        <v>60</v>
      </c>
      <c r="F37" s="200">
        <v>140</v>
      </c>
      <c r="G37" s="201">
        <v>18</v>
      </c>
      <c r="H37" s="182">
        <f t="shared" si="11"/>
        <v>0.252</v>
      </c>
      <c r="I37" s="182">
        <f>(F37*12+40*3)/10000</f>
        <v>0.18</v>
      </c>
      <c r="J37" s="182">
        <f>(F37*6-40*3)/10000</f>
        <v>7.1999999999999995E-2</v>
      </c>
      <c r="K37" s="182"/>
      <c r="L37" s="182">
        <f>I37+J37</f>
        <v>0.252</v>
      </c>
      <c r="M37" s="182"/>
      <c r="N37" s="96"/>
      <c r="O37" s="217">
        <v>2</v>
      </c>
      <c r="P37" s="218"/>
      <c r="Q37" s="224"/>
    </row>
    <row r="38" spans="1:17" s="83" customFormat="1" ht="24" customHeight="1">
      <c r="A38" s="259"/>
      <c r="B38" s="272"/>
      <c r="C38" s="272" t="s">
        <v>86</v>
      </c>
      <c r="D38" s="272" t="s">
        <v>85</v>
      </c>
      <c r="E38" s="199" t="s">
        <v>60</v>
      </c>
      <c r="F38" s="200"/>
      <c r="G38" s="201"/>
      <c r="H38" s="182"/>
      <c r="I38" s="182"/>
      <c r="J38" s="182"/>
      <c r="K38" s="182"/>
      <c r="L38" s="182">
        <f>(42*12+40*3)/10000</f>
        <v>6.2399999999999997E-2</v>
      </c>
      <c r="M38" s="182"/>
      <c r="N38" s="96"/>
      <c r="O38" s="217"/>
      <c r="P38" s="218"/>
      <c r="Q38" s="224"/>
    </row>
    <row r="39" spans="1:17" s="83" customFormat="1" ht="24" customHeight="1">
      <c r="A39" s="259"/>
      <c r="B39" s="272"/>
      <c r="C39" s="272"/>
      <c r="D39" s="272"/>
      <c r="E39" s="199" t="s">
        <v>60</v>
      </c>
      <c r="F39" s="200"/>
      <c r="G39" s="201"/>
      <c r="H39" s="182"/>
      <c r="I39" s="182"/>
      <c r="J39" s="182"/>
      <c r="K39" s="182"/>
      <c r="L39" s="182">
        <f>40*27/2/10000</f>
        <v>5.3999999999999999E-2</v>
      </c>
      <c r="M39" s="182">
        <f>24*34/2/10000</f>
        <v>4.0800000000000003E-2</v>
      </c>
      <c r="N39" s="96"/>
      <c r="O39" s="217"/>
      <c r="P39" s="218"/>
      <c r="Q39" s="224"/>
    </row>
    <row r="40" spans="1:17" s="83" customFormat="1" ht="24" customHeight="1">
      <c r="A40" s="259"/>
      <c r="B40" s="272"/>
      <c r="C40" s="198" t="s">
        <v>87</v>
      </c>
      <c r="D40" s="198" t="s">
        <v>88</v>
      </c>
      <c r="E40" s="199" t="s">
        <v>60</v>
      </c>
      <c r="F40" s="200">
        <v>426.26</v>
      </c>
      <c r="G40" s="201">
        <v>18.5</v>
      </c>
      <c r="H40" s="182">
        <f>F40*G40/10000</f>
        <v>0.78858099999999998</v>
      </c>
      <c r="I40" s="182">
        <f>F40*12/10000</f>
        <v>0.51151199999999997</v>
      </c>
      <c r="J40" s="182">
        <f>F40*6.5/10000</f>
        <v>0.27706900000000001</v>
      </c>
      <c r="K40" s="182"/>
      <c r="L40" s="182">
        <f>I40+J40+K40</f>
        <v>0.78858099999999998</v>
      </c>
      <c r="M40" s="182">
        <f>28*3/10000</f>
        <v>8.3999999999999995E-3</v>
      </c>
      <c r="N40" s="96"/>
      <c r="O40" s="217">
        <v>8</v>
      </c>
      <c r="P40" s="218"/>
      <c r="Q40" s="224"/>
    </row>
    <row r="41" spans="1:17" s="83" customFormat="1" ht="24" customHeight="1">
      <c r="A41" s="188">
        <v>22</v>
      </c>
      <c r="B41" s="198" t="s">
        <v>89</v>
      </c>
      <c r="C41" s="198" t="s">
        <v>90</v>
      </c>
      <c r="D41" s="198" t="s">
        <v>91</v>
      </c>
      <c r="E41" s="199" t="s">
        <v>60</v>
      </c>
      <c r="F41" s="200">
        <v>992.58</v>
      </c>
      <c r="G41" s="201">
        <v>44.58</v>
      </c>
      <c r="H41" s="182">
        <f t="shared" ref="H41:H49" si="18">F41*G41/10000</f>
        <v>4.42492164</v>
      </c>
      <c r="I41" s="182">
        <f>F41*38.3/10000</f>
        <v>3.8015813999999999</v>
      </c>
      <c r="J41" s="182">
        <f>F41*6.25/10000</f>
        <v>0.62036250000000004</v>
      </c>
      <c r="K41" s="182">
        <f>F41*0/10000</f>
        <v>0</v>
      </c>
      <c r="L41" s="182">
        <f t="shared" ref="L41:L49" si="19">SUM(I41:K41)</f>
        <v>4.4219438999999996</v>
      </c>
      <c r="M41" s="182">
        <f>F41*4.53/10000</f>
        <v>0.44963873999999998</v>
      </c>
      <c r="N41" s="96">
        <v>0</v>
      </c>
      <c r="O41" s="217">
        <v>1</v>
      </c>
      <c r="P41" s="218" t="s">
        <v>21</v>
      </c>
      <c r="Q41" s="224">
        <f t="shared" ref="Q41:Q49" si="20">I41</f>
        <v>3.8015813999999999</v>
      </c>
    </row>
    <row r="42" spans="1:17" s="83" customFormat="1" ht="24" customHeight="1">
      <c r="A42" s="188">
        <v>23</v>
      </c>
      <c r="B42" s="198" t="s">
        <v>92</v>
      </c>
      <c r="C42" s="198" t="s">
        <v>93</v>
      </c>
      <c r="D42" s="198" t="s">
        <v>43</v>
      </c>
      <c r="E42" s="199" t="s">
        <v>60</v>
      </c>
      <c r="F42" s="200">
        <v>341.01</v>
      </c>
      <c r="G42" s="201">
        <v>19.3</v>
      </c>
      <c r="H42" s="182">
        <f t="shared" si="18"/>
        <v>0.65814930000000005</v>
      </c>
      <c r="I42" s="182">
        <f>F42*13.2/10000</f>
        <v>0.45013320000000001</v>
      </c>
      <c r="J42" s="182">
        <f>F42*6.16/10000</f>
        <v>0.21006216</v>
      </c>
      <c r="K42" s="182">
        <f>F42*4.11/10000</f>
        <v>0.14015511</v>
      </c>
      <c r="L42" s="182">
        <f t="shared" si="19"/>
        <v>0.80035047000000004</v>
      </c>
      <c r="M42" s="182">
        <f t="shared" ref="M42:M45" si="21">F42*0/10000</f>
        <v>0</v>
      </c>
      <c r="N42" s="96">
        <v>0</v>
      </c>
      <c r="O42" s="217">
        <v>0</v>
      </c>
      <c r="P42" s="218" t="s">
        <v>21</v>
      </c>
      <c r="Q42" s="224">
        <f t="shared" si="20"/>
        <v>0.45013320000000001</v>
      </c>
    </row>
    <row r="43" spans="1:17" s="83" customFormat="1" ht="24" customHeight="1">
      <c r="A43" s="188">
        <v>24</v>
      </c>
      <c r="B43" s="198" t="s">
        <v>94</v>
      </c>
      <c r="C43" s="198" t="s">
        <v>24</v>
      </c>
      <c r="D43" s="198" t="s">
        <v>93</v>
      </c>
      <c r="E43" s="199" t="s">
        <v>60</v>
      </c>
      <c r="F43" s="200">
        <v>281.69</v>
      </c>
      <c r="G43" s="201">
        <v>14.87</v>
      </c>
      <c r="H43" s="182">
        <f t="shared" si="18"/>
        <v>0.41887302999999998</v>
      </c>
      <c r="I43" s="182">
        <f>F43*10.65/10000</f>
        <v>0.29999985000000001</v>
      </c>
      <c r="J43" s="182">
        <f>F43*4.26/10000</f>
        <v>0.11999994</v>
      </c>
      <c r="K43" s="182">
        <f>F43*13.85/10000</f>
        <v>0.39014064999999998</v>
      </c>
      <c r="L43" s="182">
        <f t="shared" si="19"/>
        <v>0.81014043999999996</v>
      </c>
      <c r="M43" s="182">
        <f t="shared" si="21"/>
        <v>0</v>
      </c>
      <c r="N43" s="96">
        <v>0</v>
      </c>
      <c r="O43" s="217">
        <v>0</v>
      </c>
      <c r="P43" s="218" t="s">
        <v>21</v>
      </c>
      <c r="Q43" s="224">
        <f t="shared" si="20"/>
        <v>0.29999985000000001</v>
      </c>
    </row>
    <row r="44" spans="1:17" s="83" customFormat="1" ht="24" customHeight="1">
      <c r="A44" s="259">
        <v>25</v>
      </c>
      <c r="B44" s="272" t="s">
        <v>95</v>
      </c>
      <c r="C44" s="198" t="s">
        <v>96</v>
      </c>
      <c r="D44" s="198" t="s">
        <v>97</v>
      </c>
      <c r="E44" s="199" t="s">
        <v>60</v>
      </c>
      <c r="F44" s="200">
        <v>600</v>
      </c>
      <c r="G44" s="201">
        <v>17.2</v>
      </c>
      <c r="H44" s="182">
        <f t="shared" si="18"/>
        <v>1.032</v>
      </c>
      <c r="I44" s="182">
        <f>F44*17.1/10000</f>
        <v>1.026</v>
      </c>
      <c r="J44" s="182">
        <f t="shared" ref="J44:J48" si="22">F44*0/10000</f>
        <v>0</v>
      </c>
      <c r="K44" s="182">
        <f>F44*1/10000</f>
        <v>0.06</v>
      </c>
      <c r="L44" s="182">
        <f t="shared" si="19"/>
        <v>1.0860000000000001</v>
      </c>
      <c r="M44" s="182">
        <f t="shared" si="21"/>
        <v>0</v>
      </c>
      <c r="N44" s="96">
        <v>0</v>
      </c>
      <c r="O44" s="217">
        <v>0</v>
      </c>
      <c r="P44" s="218" t="s">
        <v>21</v>
      </c>
      <c r="Q44" s="224">
        <f t="shared" si="20"/>
        <v>1.026</v>
      </c>
    </row>
    <row r="45" spans="1:17" s="83" customFormat="1" ht="24" customHeight="1">
      <c r="A45" s="259"/>
      <c r="B45" s="272"/>
      <c r="C45" s="245" t="s">
        <v>22</v>
      </c>
      <c r="D45" s="246"/>
      <c r="E45" s="199" t="s">
        <v>60</v>
      </c>
      <c r="F45" s="200">
        <v>1704.77</v>
      </c>
      <c r="G45" s="201">
        <v>16.3</v>
      </c>
      <c r="H45" s="182">
        <f t="shared" si="18"/>
        <v>2.7787750999999998</v>
      </c>
      <c r="I45" s="182">
        <f>F45*16.3/10000</f>
        <v>2.7787750999999998</v>
      </c>
      <c r="J45" s="182">
        <f t="shared" si="22"/>
        <v>0</v>
      </c>
      <c r="K45" s="182">
        <f>F45*0/10000</f>
        <v>0</v>
      </c>
      <c r="L45" s="182">
        <f t="shared" si="19"/>
        <v>2.7787750999999998</v>
      </c>
      <c r="M45" s="182">
        <f t="shared" si="21"/>
        <v>0</v>
      </c>
      <c r="N45" s="96">
        <v>0</v>
      </c>
      <c r="O45" s="217">
        <v>0</v>
      </c>
      <c r="P45" s="218" t="s">
        <v>21</v>
      </c>
      <c r="Q45" s="224">
        <f t="shared" si="20"/>
        <v>2.7787750999999998</v>
      </c>
    </row>
    <row r="46" spans="1:17" s="83" customFormat="1" ht="24" customHeight="1">
      <c r="A46" s="188">
        <v>26</v>
      </c>
      <c r="B46" s="198" t="s">
        <v>98</v>
      </c>
      <c r="C46" s="198" t="s">
        <v>99</v>
      </c>
      <c r="D46" s="198" t="s">
        <v>100</v>
      </c>
      <c r="E46" s="199" t="s">
        <v>60</v>
      </c>
      <c r="F46" s="200">
        <v>833.71</v>
      </c>
      <c r="G46" s="201">
        <v>29.98</v>
      </c>
      <c r="H46" s="182">
        <f t="shared" si="18"/>
        <v>2.4994625799999999</v>
      </c>
      <c r="I46" s="182">
        <f>F46*21.25/10000</f>
        <v>1.7716337499999999</v>
      </c>
      <c r="J46" s="182">
        <f>F46*8.76/10000</f>
        <v>0.73032995999999994</v>
      </c>
      <c r="K46" s="182">
        <f>F46*5.16/10000</f>
        <v>0.43019436</v>
      </c>
      <c r="L46" s="182">
        <f t="shared" si="19"/>
        <v>2.9321580699999998</v>
      </c>
      <c r="M46" s="182">
        <f>F46*0.6/10000</f>
        <v>5.00226E-2</v>
      </c>
      <c r="N46" s="96">
        <v>0</v>
      </c>
      <c r="O46" s="217">
        <v>2</v>
      </c>
      <c r="P46" s="218" t="s">
        <v>21</v>
      </c>
      <c r="Q46" s="224">
        <f t="shared" si="20"/>
        <v>1.7716337499999999</v>
      </c>
    </row>
    <row r="47" spans="1:17" s="83" customFormat="1" ht="24" customHeight="1">
      <c r="A47" s="259">
        <v>27</v>
      </c>
      <c r="B47" s="273" t="s">
        <v>101</v>
      </c>
      <c r="C47" s="202" t="s">
        <v>102</v>
      </c>
      <c r="D47" s="202" t="s">
        <v>103</v>
      </c>
      <c r="E47" s="199" t="s">
        <v>60</v>
      </c>
      <c r="F47" s="200">
        <v>2647.21</v>
      </c>
      <c r="G47" s="201">
        <v>43.12</v>
      </c>
      <c r="H47" s="182">
        <f t="shared" si="18"/>
        <v>11.41476952</v>
      </c>
      <c r="I47" s="182">
        <f>F47*36/10000</f>
        <v>9.5299560000000003</v>
      </c>
      <c r="J47" s="182">
        <f>F47*7.1/10000</f>
        <v>1.8795191</v>
      </c>
      <c r="K47" s="182">
        <f>F47*5.4/10000</f>
        <v>1.4294933999999999</v>
      </c>
      <c r="L47" s="182">
        <f t="shared" si="19"/>
        <v>12.8389685</v>
      </c>
      <c r="M47" s="182">
        <f>F47*5.7/10000</f>
        <v>1.5089097</v>
      </c>
      <c r="N47" s="96">
        <v>0</v>
      </c>
      <c r="O47" s="217">
        <v>4</v>
      </c>
      <c r="P47" s="218" t="s">
        <v>21</v>
      </c>
      <c r="Q47" s="224">
        <f t="shared" si="20"/>
        <v>9.5299560000000003</v>
      </c>
    </row>
    <row r="48" spans="1:17" s="83" customFormat="1" ht="24" customHeight="1">
      <c r="A48" s="259"/>
      <c r="B48" s="270"/>
      <c r="C48" s="247" t="s">
        <v>22</v>
      </c>
      <c r="D48" s="248"/>
      <c r="E48" s="199" t="s">
        <v>60</v>
      </c>
      <c r="F48" s="200">
        <v>1589.19</v>
      </c>
      <c r="G48" s="201">
        <v>18.5</v>
      </c>
      <c r="H48" s="182">
        <f t="shared" si="18"/>
        <v>2.9400015000000002</v>
      </c>
      <c r="I48" s="182">
        <f>F48*18.5/10000</f>
        <v>2.9400015000000002</v>
      </c>
      <c r="J48" s="182">
        <f t="shared" si="22"/>
        <v>0</v>
      </c>
      <c r="K48" s="182">
        <f>F48*0/10000</f>
        <v>0</v>
      </c>
      <c r="L48" s="182">
        <f t="shared" si="19"/>
        <v>2.9400015000000002</v>
      </c>
      <c r="M48" s="182">
        <f>F48*0/10000</f>
        <v>0</v>
      </c>
      <c r="N48" s="96">
        <v>0</v>
      </c>
      <c r="O48" s="217">
        <v>0</v>
      </c>
      <c r="P48" s="218" t="s">
        <v>21</v>
      </c>
      <c r="Q48" s="224">
        <f t="shared" si="20"/>
        <v>2.9400015000000002</v>
      </c>
    </row>
    <row r="49" spans="1:17" s="83" customFormat="1" ht="19">
      <c r="A49" s="188">
        <v>28</v>
      </c>
      <c r="B49" s="198" t="s">
        <v>104</v>
      </c>
      <c r="C49" s="198" t="s">
        <v>105</v>
      </c>
      <c r="D49" s="198" t="s">
        <v>106</v>
      </c>
      <c r="E49" s="199" t="s">
        <v>60</v>
      </c>
      <c r="F49" s="200">
        <v>551.17999999999995</v>
      </c>
      <c r="G49" s="201">
        <v>21.22</v>
      </c>
      <c r="H49" s="182">
        <f t="shared" si="18"/>
        <v>1.1696039600000001</v>
      </c>
      <c r="I49" s="182">
        <f>F49*16.4/10000</f>
        <v>0.90393520000000005</v>
      </c>
      <c r="J49" s="182">
        <f>F49*4.9/10000</f>
        <v>0.27007819999999999</v>
      </c>
      <c r="K49" s="182">
        <f>F49*11.07/10000</f>
        <v>0.61015626000000001</v>
      </c>
      <c r="L49" s="182">
        <f t="shared" si="19"/>
        <v>1.7841696600000001</v>
      </c>
      <c r="M49" s="182">
        <f>F49*0.73/10000</f>
        <v>4.0236139999999997E-2</v>
      </c>
      <c r="N49" s="96">
        <v>0</v>
      </c>
      <c r="O49" s="217">
        <v>0</v>
      </c>
      <c r="P49" s="218" t="s">
        <v>21</v>
      </c>
      <c r="Q49" s="224">
        <f t="shared" si="20"/>
        <v>0.90393520000000005</v>
      </c>
    </row>
    <row r="50" spans="1:17" s="83" customFormat="1" ht="24" customHeight="1">
      <c r="A50" s="242" t="s">
        <v>56</v>
      </c>
      <c r="B50" s="242"/>
      <c r="C50" s="249">
        <f>COUNT(A23:A49)</f>
        <v>16</v>
      </c>
      <c r="D50" s="249"/>
      <c r="E50" s="189"/>
      <c r="F50" s="190">
        <f t="shared" ref="F50:O50" si="23">SUM(F23:F49)</f>
        <v>21923.49</v>
      </c>
      <c r="G50" s="190">
        <f t="shared" si="23"/>
        <v>686.35</v>
      </c>
      <c r="H50" s="190">
        <f t="shared" si="23"/>
        <v>72.247138570000004</v>
      </c>
      <c r="I50" s="190">
        <f t="shared" si="23"/>
        <v>60.06291556</v>
      </c>
      <c r="J50" s="190">
        <f t="shared" si="23"/>
        <v>12.196925999999999</v>
      </c>
      <c r="K50" s="190">
        <f t="shared" si="23"/>
        <v>10.511183150000001</v>
      </c>
      <c r="L50" s="190">
        <f t="shared" si="23"/>
        <v>82.887424710000005</v>
      </c>
      <c r="M50" s="190">
        <f t="shared" si="23"/>
        <v>3.9471297600000002</v>
      </c>
      <c r="N50" s="190">
        <f t="shared" si="23"/>
        <v>3</v>
      </c>
      <c r="O50" s="190">
        <f t="shared" si="23"/>
        <v>63</v>
      </c>
      <c r="P50" s="190"/>
      <c r="Q50" s="190">
        <f>SUM(Q23:Q49)</f>
        <v>56.013803559999999</v>
      </c>
    </row>
    <row r="51" spans="1:17" s="83" customFormat="1" ht="24" customHeight="1">
      <c r="A51" s="183">
        <v>29</v>
      </c>
      <c r="B51" s="112" t="s">
        <v>107</v>
      </c>
      <c r="C51" s="112" t="s">
        <v>68</v>
      </c>
      <c r="D51" s="112" t="s">
        <v>53</v>
      </c>
      <c r="E51" s="112" t="s">
        <v>108</v>
      </c>
      <c r="F51" s="114">
        <v>1824.73</v>
      </c>
      <c r="G51" s="114">
        <v>20.38</v>
      </c>
      <c r="H51" s="115">
        <f t="shared" ref="H51:H79" si="24">F51*G51/10000</f>
        <v>3.7187997400000001</v>
      </c>
      <c r="I51" s="115">
        <f>F51*13.86/10000</f>
        <v>2.5290757799999999</v>
      </c>
      <c r="J51" s="114">
        <f>F51*6.52/10000</f>
        <v>1.18972396</v>
      </c>
      <c r="K51" s="114">
        <f>F51*1.37/10000</f>
        <v>0.24998801000000001</v>
      </c>
      <c r="L51" s="114">
        <f t="shared" ref="L51:L63" si="25">SUM(I51:K51)</f>
        <v>3.9687877500000002</v>
      </c>
      <c r="M51" s="115">
        <f t="shared" ref="M51:M56" si="26">F51*0/10000</f>
        <v>0</v>
      </c>
      <c r="N51" s="215">
        <v>0</v>
      </c>
      <c r="O51" s="215">
        <v>0</v>
      </c>
      <c r="P51" s="114" t="s">
        <v>21</v>
      </c>
      <c r="Q51" s="114">
        <f t="shared" ref="Q51:Q56" si="27">I51</f>
        <v>2.5290757799999999</v>
      </c>
    </row>
    <row r="52" spans="1:17" s="83" customFormat="1" ht="24" customHeight="1">
      <c r="A52" s="258">
        <v>30</v>
      </c>
      <c r="B52" s="235" t="s">
        <v>109</v>
      </c>
      <c r="C52" s="112" t="s">
        <v>110</v>
      </c>
      <c r="D52" s="112" t="s">
        <v>111</v>
      </c>
      <c r="E52" s="112" t="s">
        <v>108</v>
      </c>
      <c r="F52" s="114">
        <v>2500</v>
      </c>
      <c r="G52" s="114">
        <v>22</v>
      </c>
      <c r="H52" s="115">
        <f t="shared" si="24"/>
        <v>5.5</v>
      </c>
      <c r="I52" s="115">
        <f>F52*16/10000</f>
        <v>4</v>
      </c>
      <c r="J52" s="114">
        <f>F52*6/10000</f>
        <v>1.5</v>
      </c>
      <c r="K52" s="114">
        <f>F52*0/10000</f>
        <v>0</v>
      </c>
      <c r="L52" s="114">
        <f t="shared" si="25"/>
        <v>5.5</v>
      </c>
      <c r="M52" s="115">
        <f>F52*3.84/10000</f>
        <v>0.96</v>
      </c>
      <c r="N52" s="215">
        <v>0</v>
      </c>
      <c r="O52" s="215">
        <v>0</v>
      </c>
      <c r="P52" s="219" t="s">
        <v>112</v>
      </c>
      <c r="Q52" s="114">
        <f t="shared" si="27"/>
        <v>4</v>
      </c>
    </row>
    <row r="53" spans="1:17" s="83" customFormat="1" ht="24" customHeight="1">
      <c r="A53" s="258"/>
      <c r="B53" s="235"/>
      <c r="C53" s="235" t="s">
        <v>113</v>
      </c>
      <c r="D53" s="235"/>
      <c r="E53" s="112"/>
      <c r="F53" s="204"/>
      <c r="G53" s="205"/>
      <c r="H53" s="205"/>
      <c r="I53" s="205"/>
      <c r="J53" s="205"/>
      <c r="K53" s="114">
        <f>100*200/10000</f>
        <v>2</v>
      </c>
      <c r="L53" s="114">
        <f t="shared" si="25"/>
        <v>2</v>
      </c>
      <c r="M53" s="205"/>
      <c r="N53" s="204"/>
      <c r="O53" s="204"/>
      <c r="P53" s="219"/>
      <c r="Q53" s="114">
        <f t="shared" si="27"/>
        <v>0</v>
      </c>
    </row>
    <row r="54" spans="1:17" s="83" customFormat="1" ht="39" customHeight="1">
      <c r="A54" s="183">
        <v>31</v>
      </c>
      <c r="B54" s="112" t="s">
        <v>25</v>
      </c>
      <c r="C54" s="112" t="s">
        <v>114</v>
      </c>
      <c r="D54" s="112" t="s">
        <v>24</v>
      </c>
      <c r="E54" s="112" t="s">
        <v>108</v>
      </c>
      <c r="F54" s="114">
        <v>372.8</v>
      </c>
      <c r="G54" s="114">
        <v>21.45</v>
      </c>
      <c r="H54" s="115">
        <f t="shared" si="24"/>
        <v>0.79965600000000003</v>
      </c>
      <c r="I54" s="115">
        <f>F54*12.88/10000</f>
        <v>0.48016639999999999</v>
      </c>
      <c r="J54" s="114">
        <f>F54*8.58/10000</f>
        <v>0.31986239999999999</v>
      </c>
      <c r="K54" s="114">
        <f>F54*2.15/10000</f>
        <v>8.0152000000000001E-2</v>
      </c>
      <c r="L54" s="114">
        <f t="shared" si="25"/>
        <v>0.88018079999999999</v>
      </c>
      <c r="M54" s="115">
        <f t="shared" si="26"/>
        <v>0</v>
      </c>
      <c r="N54" s="215">
        <v>0</v>
      </c>
      <c r="O54" s="215">
        <v>0</v>
      </c>
      <c r="P54" s="114" t="s">
        <v>112</v>
      </c>
      <c r="Q54" s="114">
        <f t="shared" si="27"/>
        <v>0.48016639999999999</v>
      </c>
    </row>
    <row r="55" spans="1:17" s="139" customFormat="1" ht="40.9" customHeight="1">
      <c r="A55" s="183">
        <v>32</v>
      </c>
      <c r="B55" s="112" t="s">
        <v>115</v>
      </c>
      <c r="C55" s="112" t="s">
        <v>116</v>
      </c>
      <c r="D55" s="112" t="s">
        <v>52</v>
      </c>
      <c r="E55" s="112" t="s">
        <v>108</v>
      </c>
      <c r="F55" s="114">
        <v>1059</v>
      </c>
      <c r="G55" s="114">
        <v>17.27</v>
      </c>
      <c r="H55" s="115">
        <f t="shared" si="24"/>
        <v>1.8288930000000001</v>
      </c>
      <c r="I55" s="115">
        <f>F55*10.76/10000</f>
        <v>1.1394839999999999</v>
      </c>
      <c r="J55" s="114">
        <f>F55*6.52/10000</f>
        <v>0.69046799999999997</v>
      </c>
      <c r="K55" s="114">
        <f>F55*6.61/10000</f>
        <v>0.69999900000000004</v>
      </c>
      <c r="L55" s="114">
        <f t="shared" si="25"/>
        <v>2.5299510000000001</v>
      </c>
      <c r="M55" s="115">
        <f t="shared" si="26"/>
        <v>0</v>
      </c>
      <c r="N55" s="215">
        <v>0</v>
      </c>
      <c r="O55" s="215">
        <v>0</v>
      </c>
      <c r="P55" s="114" t="s">
        <v>112</v>
      </c>
      <c r="Q55" s="114">
        <f t="shared" si="27"/>
        <v>1.1394839999999999</v>
      </c>
    </row>
    <row r="56" spans="1:17" s="83" customFormat="1" ht="46.5" customHeight="1">
      <c r="A56" s="183">
        <v>33</v>
      </c>
      <c r="B56" s="112" t="s">
        <v>117</v>
      </c>
      <c r="C56" s="112" t="s">
        <v>118</v>
      </c>
      <c r="D56" s="112" t="s">
        <v>119</v>
      </c>
      <c r="E56" s="112" t="s">
        <v>108</v>
      </c>
      <c r="F56" s="114">
        <v>560</v>
      </c>
      <c r="G56" s="114">
        <v>33</v>
      </c>
      <c r="H56" s="115">
        <f t="shared" si="24"/>
        <v>1.8480000000000001</v>
      </c>
      <c r="I56" s="115">
        <f>F56*22/10000</f>
        <v>1.232</v>
      </c>
      <c r="J56" s="114">
        <f>F56*11.07/10000</f>
        <v>0.61992000000000003</v>
      </c>
      <c r="K56" s="114">
        <f>F56*0/10000</f>
        <v>0</v>
      </c>
      <c r="L56" s="114">
        <f t="shared" si="25"/>
        <v>1.85192</v>
      </c>
      <c r="M56" s="115">
        <f t="shared" si="26"/>
        <v>0</v>
      </c>
      <c r="N56" s="215">
        <v>0</v>
      </c>
      <c r="O56" s="215">
        <v>0</v>
      </c>
      <c r="P56" s="114" t="s">
        <v>21</v>
      </c>
      <c r="Q56" s="114">
        <f t="shared" si="27"/>
        <v>1.232</v>
      </c>
    </row>
    <row r="57" spans="1:17" s="83" customFormat="1" ht="24" customHeight="1">
      <c r="A57" s="256">
        <v>34</v>
      </c>
      <c r="B57" s="274" t="s">
        <v>120</v>
      </c>
      <c r="C57" s="206" t="s">
        <v>121</v>
      </c>
      <c r="D57" s="206" t="s">
        <v>122</v>
      </c>
      <c r="E57" s="282" t="s">
        <v>108</v>
      </c>
      <c r="F57" s="207">
        <v>260</v>
      </c>
      <c r="G57" s="207">
        <v>20</v>
      </c>
      <c r="H57" s="206">
        <f t="shared" si="24"/>
        <v>0.52</v>
      </c>
      <c r="I57" s="206">
        <v>0.39439999999999997</v>
      </c>
      <c r="J57" s="206">
        <v>0.1399</v>
      </c>
      <c r="K57" s="208">
        <v>0</v>
      </c>
      <c r="L57" s="220">
        <f t="shared" si="25"/>
        <v>0.5343</v>
      </c>
      <c r="M57" s="208">
        <v>0</v>
      </c>
      <c r="N57" s="208"/>
      <c r="O57" s="208"/>
      <c r="P57" s="208" t="s">
        <v>112</v>
      </c>
      <c r="Q57" s="206">
        <v>0.39439999999999997</v>
      </c>
    </row>
    <row r="58" spans="1:17" ht="24" customHeight="1">
      <c r="A58" s="257"/>
      <c r="B58" s="275"/>
      <c r="C58" s="206" t="s">
        <v>122</v>
      </c>
      <c r="D58" s="208" t="s">
        <v>123</v>
      </c>
      <c r="E58" s="283"/>
      <c r="F58" s="207">
        <v>236</v>
      </c>
      <c r="G58" s="207">
        <v>24</v>
      </c>
      <c r="H58" s="206">
        <f t="shared" si="24"/>
        <v>0.56640000000000001</v>
      </c>
      <c r="I58" s="206">
        <v>0.43380000000000002</v>
      </c>
      <c r="J58" s="206">
        <v>0.14460000000000001</v>
      </c>
      <c r="K58" s="208">
        <v>0</v>
      </c>
      <c r="L58" s="221">
        <f t="shared" si="25"/>
        <v>0.57840000000000003</v>
      </c>
      <c r="M58" s="208">
        <v>0</v>
      </c>
      <c r="N58" s="221"/>
      <c r="O58" s="221"/>
      <c r="P58" s="208" t="s">
        <v>112</v>
      </c>
      <c r="Q58" s="206">
        <v>0.43380000000000002</v>
      </c>
    </row>
    <row r="59" spans="1:17" ht="24" customHeight="1">
      <c r="A59" s="177">
        <v>35</v>
      </c>
      <c r="B59" s="209" t="s">
        <v>124</v>
      </c>
      <c r="C59" s="112" t="s">
        <v>125</v>
      </c>
      <c r="D59" s="112" t="s">
        <v>126</v>
      </c>
      <c r="E59" s="112" t="s">
        <v>108</v>
      </c>
      <c r="F59" s="186">
        <v>350</v>
      </c>
      <c r="G59" s="186">
        <v>25.2</v>
      </c>
      <c r="H59" s="187">
        <f t="shared" si="24"/>
        <v>0.88200000000000001</v>
      </c>
      <c r="I59" s="185">
        <f>F59*18.2/10000</f>
        <v>0.63700000000000001</v>
      </c>
      <c r="J59" s="185">
        <f>F59*7/10000</f>
        <v>0.245</v>
      </c>
      <c r="K59" s="185">
        <f>F59*9.4/10000</f>
        <v>0.32900000000000001</v>
      </c>
      <c r="L59" s="187">
        <f t="shared" si="25"/>
        <v>1.2110000000000001</v>
      </c>
      <c r="M59" s="185">
        <v>0</v>
      </c>
      <c r="N59" s="215">
        <v>0</v>
      </c>
      <c r="O59" s="215">
        <v>0</v>
      </c>
      <c r="P59" s="114" t="s">
        <v>112</v>
      </c>
      <c r="Q59" s="114">
        <f t="shared" ref="Q59:Q63" si="28">I59</f>
        <v>0.63700000000000001</v>
      </c>
    </row>
    <row r="60" spans="1:17" ht="55.5" customHeight="1">
      <c r="A60" s="177">
        <v>36</v>
      </c>
      <c r="B60" s="185" t="s">
        <v>126</v>
      </c>
      <c r="C60" s="185" t="s">
        <v>117</v>
      </c>
      <c r="D60" s="185" t="s">
        <v>127</v>
      </c>
      <c r="E60" s="185" t="s">
        <v>108</v>
      </c>
      <c r="F60" s="186">
        <v>600</v>
      </c>
      <c r="G60" s="186">
        <v>24.7</v>
      </c>
      <c r="H60" s="187">
        <f t="shared" si="24"/>
        <v>1.482</v>
      </c>
      <c r="I60" s="185">
        <f>F60*18.3/10000</f>
        <v>1.0980000000000001</v>
      </c>
      <c r="J60" s="185">
        <f>F60*6.4/10000</f>
        <v>0.38400000000000001</v>
      </c>
      <c r="K60" s="185">
        <v>0</v>
      </c>
      <c r="L60" s="187">
        <f t="shared" si="25"/>
        <v>1.482</v>
      </c>
      <c r="M60" s="185">
        <v>0</v>
      </c>
      <c r="N60" s="186">
        <v>0</v>
      </c>
      <c r="O60" s="186">
        <v>0</v>
      </c>
      <c r="P60" s="114" t="s">
        <v>112</v>
      </c>
      <c r="Q60" s="114">
        <f t="shared" si="28"/>
        <v>1.0980000000000001</v>
      </c>
    </row>
    <row r="61" spans="1:17" s="83" customFormat="1" ht="28.5">
      <c r="A61" s="177">
        <v>37</v>
      </c>
      <c r="B61" s="184" t="s">
        <v>128</v>
      </c>
      <c r="C61" s="184" t="s">
        <v>68</v>
      </c>
      <c r="D61" s="184" t="s">
        <v>129</v>
      </c>
      <c r="E61" s="185" t="s">
        <v>108</v>
      </c>
      <c r="F61" s="186">
        <v>300</v>
      </c>
      <c r="G61" s="186">
        <v>25.3</v>
      </c>
      <c r="H61" s="187">
        <f t="shared" si="24"/>
        <v>0.75900000000000001</v>
      </c>
      <c r="I61" s="185">
        <f>F61*19/10000</f>
        <v>0.56999999999999995</v>
      </c>
      <c r="J61" s="185">
        <f>F61*6.3/10000</f>
        <v>0.189</v>
      </c>
      <c r="K61" s="185">
        <f>F61*8/10000</f>
        <v>0.24</v>
      </c>
      <c r="L61" s="187">
        <f t="shared" si="25"/>
        <v>0.999</v>
      </c>
      <c r="M61" s="185">
        <v>0</v>
      </c>
      <c r="N61" s="186">
        <v>0</v>
      </c>
      <c r="O61" s="186">
        <v>0</v>
      </c>
      <c r="P61" s="114" t="s">
        <v>112</v>
      </c>
      <c r="Q61" s="114">
        <f t="shared" si="28"/>
        <v>0.56999999999999995</v>
      </c>
    </row>
    <row r="62" spans="1:17" s="83" customFormat="1" ht="24" customHeight="1">
      <c r="A62" s="260">
        <v>38</v>
      </c>
      <c r="B62" s="276" t="s">
        <v>130</v>
      </c>
      <c r="C62" s="112" t="s">
        <v>131</v>
      </c>
      <c r="D62" s="112" t="s">
        <v>132</v>
      </c>
      <c r="E62" s="264" t="s">
        <v>108</v>
      </c>
      <c r="F62" s="114">
        <v>463.69</v>
      </c>
      <c r="G62" s="114">
        <v>7.82</v>
      </c>
      <c r="H62" s="115">
        <f t="shared" si="24"/>
        <v>0.36260557999999998</v>
      </c>
      <c r="I62" s="115">
        <f>F62*7.7/10000</f>
        <v>0.35704130000000001</v>
      </c>
      <c r="J62" s="114">
        <f>F62*0/10000</f>
        <v>0</v>
      </c>
      <c r="K62" s="114">
        <f>F62*12.94/10000</f>
        <v>0.60001486000000004</v>
      </c>
      <c r="L62" s="114">
        <f t="shared" si="25"/>
        <v>0.95705616000000004</v>
      </c>
      <c r="M62" s="115">
        <f>F62*0/10000</f>
        <v>0</v>
      </c>
      <c r="N62" s="215">
        <v>0</v>
      </c>
      <c r="O62" s="215">
        <v>0</v>
      </c>
      <c r="P62" s="114" t="s">
        <v>112</v>
      </c>
      <c r="Q62" s="114">
        <f t="shared" si="28"/>
        <v>0.35704130000000001</v>
      </c>
    </row>
    <row r="63" spans="1:17" s="83" customFormat="1" ht="24" customHeight="1">
      <c r="A63" s="261"/>
      <c r="B63" s="277"/>
      <c r="C63" s="185" t="s">
        <v>133</v>
      </c>
      <c r="D63" s="185" t="s">
        <v>68</v>
      </c>
      <c r="E63" s="266"/>
      <c r="F63" s="186">
        <v>700</v>
      </c>
      <c r="G63" s="186">
        <v>24.5</v>
      </c>
      <c r="H63" s="187">
        <f t="shared" si="24"/>
        <v>1.7150000000000001</v>
      </c>
      <c r="I63" s="185">
        <f>F63*16.7/10000</f>
        <v>1.169</v>
      </c>
      <c r="J63" s="185">
        <f>F63*3.9*2/10000</f>
        <v>0.54600000000000004</v>
      </c>
      <c r="K63" s="185">
        <v>0</v>
      </c>
      <c r="L63" s="187">
        <f t="shared" si="25"/>
        <v>1.7150000000000001</v>
      </c>
      <c r="M63" s="185">
        <f>F63*1.8/10000</f>
        <v>0.126</v>
      </c>
      <c r="N63" s="186">
        <v>0</v>
      </c>
      <c r="O63" s="186">
        <v>0</v>
      </c>
      <c r="P63" s="114" t="s">
        <v>112</v>
      </c>
      <c r="Q63" s="114">
        <f t="shared" si="28"/>
        <v>1.169</v>
      </c>
    </row>
    <row r="64" spans="1:17" s="83" customFormat="1" ht="41.25" customHeight="1">
      <c r="A64" s="183">
        <v>39</v>
      </c>
      <c r="B64" s="210" t="s">
        <v>134</v>
      </c>
      <c r="C64" s="211" t="s">
        <v>135</v>
      </c>
      <c r="D64" s="211" t="s">
        <v>136</v>
      </c>
      <c r="E64" s="112" t="s">
        <v>108</v>
      </c>
      <c r="F64" s="212">
        <v>230</v>
      </c>
      <c r="G64" s="212">
        <v>10</v>
      </c>
      <c r="H64" s="213">
        <f t="shared" si="24"/>
        <v>0.23</v>
      </c>
      <c r="I64" s="213">
        <v>0.23</v>
      </c>
      <c r="J64" s="213">
        <v>0.13800000000000001</v>
      </c>
      <c r="K64" s="213">
        <v>0</v>
      </c>
      <c r="L64" s="222">
        <v>0.37</v>
      </c>
      <c r="M64" s="213">
        <v>0</v>
      </c>
      <c r="N64" s="215">
        <v>0</v>
      </c>
      <c r="O64" s="215">
        <v>0</v>
      </c>
      <c r="P64" s="114" t="s">
        <v>112</v>
      </c>
      <c r="Q64" s="114">
        <v>0.23</v>
      </c>
    </row>
    <row r="65" spans="1:214" s="139" customFormat="1" ht="19.899999999999999" customHeight="1">
      <c r="A65" s="183">
        <v>40</v>
      </c>
      <c r="B65" s="112" t="s">
        <v>137</v>
      </c>
      <c r="C65" s="112" t="s">
        <v>78</v>
      </c>
      <c r="D65" s="112" t="s">
        <v>138</v>
      </c>
      <c r="E65" s="112" t="s">
        <v>108</v>
      </c>
      <c r="F65" s="114">
        <v>379.46</v>
      </c>
      <c r="G65" s="114">
        <v>22.17</v>
      </c>
      <c r="H65" s="115">
        <f t="shared" si="24"/>
        <v>0.84126281999999997</v>
      </c>
      <c r="I65" s="115">
        <f>F65*16.08/10000</f>
        <v>0.61017167999999999</v>
      </c>
      <c r="J65" s="114">
        <f>F65*6.06/10000</f>
        <v>0.22995276000000001</v>
      </c>
      <c r="K65" s="114">
        <f>F65*3.9/10000</f>
        <v>0.14798939999999999</v>
      </c>
      <c r="L65" s="114">
        <f>SUM(I65:K65)</f>
        <v>0.98811384000000002</v>
      </c>
      <c r="M65" s="115">
        <f>F65*0/10000</f>
        <v>0</v>
      </c>
      <c r="N65" s="215">
        <v>0</v>
      </c>
      <c r="O65" s="215">
        <v>1</v>
      </c>
      <c r="P65" s="114" t="s">
        <v>21</v>
      </c>
      <c r="Q65" s="114">
        <f>I65</f>
        <v>0.61017167999999999</v>
      </c>
    </row>
    <row r="66" spans="1:214" s="139" customFormat="1" ht="19.5" customHeight="1">
      <c r="A66" s="225">
        <v>41</v>
      </c>
      <c r="B66" s="226" t="s">
        <v>122</v>
      </c>
      <c r="C66" s="226" t="s">
        <v>121</v>
      </c>
      <c r="D66" s="226" t="s">
        <v>139</v>
      </c>
      <c r="E66" s="226" t="s">
        <v>108</v>
      </c>
      <c r="F66" s="227">
        <v>560</v>
      </c>
      <c r="G66" s="227">
        <v>41</v>
      </c>
      <c r="H66" s="227">
        <f t="shared" si="24"/>
        <v>2.2959999999999998</v>
      </c>
      <c r="I66" s="227">
        <f>14*2*F66/10000</f>
        <v>1.5680000000000001</v>
      </c>
      <c r="J66" s="227">
        <f>(3*2*F66)/10000+(3.5*2*F66)/10000</f>
        <v>0.72799999999999998</v>
      </c>
      <c r="K66" s="166">
        <f>(9.1+9.6)*F66/10000</f>
        <v>1.0471999999999999</v>
      </c>
      <c r="L66" s="114">
        <f>SUM(I66:K66)</f>
        <v>3.3431999999999999</v>
      </c>
      <c r="M66" s="166">
        <f>(1.4*2+2.2)*F66/10000</f>
        <v>0.28000000000000003</v>
      </c>
      <c r="N66" s="232">
        <v>0</v>
      </c>
      <c r="O66" s="232">
        <v>0</v>
      </c>
      <c r="P66" s="233" t="s">
        <v>112</v>
      </c>
      <c r="Q66" s="114">
        <f>I66</f>
        <v>1.5680000000000001</v>
      </c>
    </row>
    <row r="67" spans="1:214" s="130" customFormat="1" ht="20.149999999999999" customHeight="1">
      <c r="A67" s="188">
        <v>42</v>
      </c>
      <c r="B67" s="228" t="s">
        <v>140</v>
      </c>
      <c r="C67" s="228" t="s">
        <v>141</v>
      </c>
      <c r="D67" s="228" t="s">
        <v>142</v>
      </c>
      <c r="E67" s="228" t="s">
        <v>108</v>
      </c>
      <c r="F67" s="229">
        <v>237.27</v>
      </c>
      <c r="G67" s="230">
        <v>19.79</v>
      </c>
      <c r="H67" s="182">
        <f t="shared" si="24"/>
        <v>0.46955732999999999</v>
      </c>
      <c r="I67" s="182">
        <f>F67*8.42/10000</f>
        <v>0.19978134</v>
      </c>
      <c r="J67" s="182">
        <f>F67*11.38/10000</f>
        <v>0.27001325999999998</v>
      </c>
      <c r="K67" s="182">
        <f>F67*5.9/10000</f>
        <v>0.13998930000000001</v>
      </c>
      <c r="L67" s="182">
        <f t="shared" ref="L67:L78" si="29">SUM(I67:K67)</f>
        <v>0.60978390000000005</v>
      </c>
      <c r="M67" s="182">
        <f t="shared" ref="M67:M73" si="30">F67*0/10000</f>
        <v>0</v>
      </c>
      <c r="N67" s="96">
        <v>0</v>
      </c>
      <c r="O67" s="217">
        <v>0</v>
      </c>
      <c r="P67" s="234" t="s">
        <v>21</v>
      </c>
      <c r="Q67" s="224">
        <f t="shared" ref="Q67:Q74" si="31">I67</f>
        <v>0.19978134</v>
      </c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39"/>
      <c r="CF67" s="139"/>
      <c r="CG67" s="139"/>
      <c r="CH67" s="139"/>
      <c r="CI67" s="139"/>
      <c r="CJ67" s="139"/>
      <c r="CK67" s="139"/>
      <c r="CL67" s="139"/>
      <c r="CM67" s="139"/>
      <c r="CN67" s="139"/>
      <c r="CO67" s="139"/>
      <c r="CP67" s="139"/>
      <c r="CQ67" s="139"/>
      <c r="CR67" s="139"/>
      <c r="CS67" s="139"/>
      <c r="CT67" s="139"/>
      <c r="CU67" s="139"/>
      <c r="CV67" s="139"/>
      <c r="CW67" s="139"/>
      <c r="CX67" s="139"/>
      <c r="CY67" s="139"/>
      <c r="CZ67" s="139"/>
      <c r="DA67" s="139"/>
      <c r="DB67" s="139"/>
      <c r="DC67" s="139"/>
      <c r="DD67" s="139"/>
      <c r="DE67" s="139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139"/>
      <c r="DQ67" s="139"/>
      <c r="DR67" s="139"/>
      <c r="DS67" s="139"/>
      <c r="DT67" s="139"/>
      <c r="DU67" s="139"/>
      <c r="DV67" s="139"/>
      <c r="DW67" s="139"/>
      <c r="DX67" s="139"/>
      <c r="DY67" s="139"/>
      <c r="DZ67" s="139"/>
      <c r="EA67" s="139"/>
      <c r="EB67" s="139"/>
      <c r="EC67" s="139"/>
      <c r="ED67" s="139"/>
      <c r="EE67" s="139"/>
      <c r="EF67" s="139"/>
      <c r="EG67" s="139"/>
      <c r="EH67" s="139"/>
      <c r="EI67" s="139"/>
      <c r="EJ67" s="139"/>
      <c r="EK67" s="139"/>
      <c r="EL67" s="139"/>
      <c r="EM67" s="139"/>
      <c r="EN67" s="139"/>
      <c r="EO67" s="139"/>
      <c r="EP67" s="139"/>
      <c r="EQ67" s="139"/>
      <c r="ER67" s="139"/>
      <c r="ES67" s="139"/>
      <c r="ET67" s="139"/>
      <c r="EU67" s="139"/>
      <c r="EV67" s="139"/>
      <c r="EW67" s="139"/>
      <c r="EX67" s="139"/>
      <c r="EY67" s="139"/>
      <c r="EZ67" s="139"/>
      <c r="FA67" s="139"/>
      <c r="FB67" s="139"/>
      <c r="FC67" s="139"/>
      <c r="FD67" s="139"/>
      <c r="FE67" s="139"/>
      <c r="FF67" s="139"/>
      <c r="FG67" s="139"/>
      <c r="FH67" s="139"/>
      <c r="FI67" s="139"/>
      <c r="FJ67" s="139"/>
      <c r="FK67" s="139"/>
      <c r="FL67" s="139"/>
      <c r="FM67" s="139"/>
      <c r="FN67" s="139"/>
      <c r="FO67" s="139"/>
      <c r="FP67" s="139"/>
      <c r="FQ67" s="139"/>
      <c r="FR67" s="139"/>
      <c r="FS67" s="139"/>
      <c r="FT67" s="139"/>
      <c r="FU67" s="139"/>
      <c r="FV67" s="139"/>
      <c r="FW67" s="139"/>
      <c r="FX67" s="139"/>
      <c r="FY67" s="139"/>
      <c r="FZ67" s="139"/>
      <c r="GA67" s="139"/>
      <c r="GB67" s="139"/>
      <c r="GC67" s="139"/>
      <c r="GD67" s="139"/>
      <c r="GE67" s="139"/>
      <c r="GF67" s="139"/>
      <c r="GG67" s="139"/>
      <c r="GH67" s="139"/>
      <c r="GI67" s="139"/>
      <c r="GJ67" s="139"/>
      <c r="GK67" s="139"/>
      <c r="GL67" s="139"/>
      <c r="GM67" s="139"/>
      <c r="GN67" s="139"/>
      <c r="GO67" s="139"/>
      <c r="GP67" s="139"/>
      <c r="GQ67" s="139"/>
      <c r="GR67" s="139"/>
      <c r="GS67" s="139"/>
      <c r="GT67" s="139"/>
      <c r="GU67" s="139"/>
      <c r="GV67" s="139"/>
      <c r="GW67" s="139"/>
      <c r="GX67" s="139"/>
      <c r="GY67" s="139"/>
      <c r="GZ67" s="139"/>
      <c r="HA67" s="139"/>
      <c r="HB67" s="139"/>
      <c r="HC67" s="139"/>
      <c r="HD67" s="139"/>
      <c r="HE67" s="139"/>
      <c r="HF67" s="139"/>
    </row>
    <row r="68" spans="1:214" s="130" customFormat="1" ht="20.149999999999999" customHeight="1">
      <c r="A68" s="188">
        <v>43</v>
      </c>
      <c r="B68" s="228" t="s">
        <v>143</v>
      </c>
      <c r="C68" s="228" t="s">
        <v>101</v>
      </c>
      <c r="D68" s="228" t="s">
        <v>40</v>
      </c>
      <c r="E68" s="228" t="s">
        <v>108</v>
      </c>
      <c r="F68" s="229">
        <v>360.03</v>
      </c>
      <c r="G68" s="230">
        <v>29.27</v>
      </c>
      <c r="H68" s="182">
        <f t="shared" si="24"/>
        <v>1.0538078099999999</v>
      </c>
      <c r="I68" s="182">
        <f>F68*22.5/10000</f>
        <v>0.81006750000000005</v>
      </c>
      <c r="J68" s="182">
        <f>F68*6.67/10000</f>
        <v>0.24014000999999999</v>
      </c>
      <c r="K68" s="182">
        <f>F68*43.05/10000</f>
        <v>1.5499291500000001</v>
      </c>
      <c r="L68" s="182">
        <f t="shared" si="29"/>
        <v>2.60013666</v>
      </c>
      <c r="M68" s="182">
        <f t="shared" si="30"/>
        <v>0</v>
      </c>
      <c r="N68" s="96">
        <v>0</v>
      </c>
      <c r="O68" s="217">
        <v>0</v>
      </c>
      <c r="P68" s="234" t="s">
        <v>21</v>
      </c>
      <c r="Q68" s="224">
        <f t="shared" si="31"/>
        <v>0.81006750000000005</v>
      </c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  <c r="BI68" s="139"/>
      <c r="BJ68" s="139"/>
      <c r="BK68" s="139"/>
      <c r="BL68" s="139"/>
      <c r="BM68" s="139"/>
      <c r="BN68" s="139"/>
      <c r="BO68" s="139"/>
      <c r="BP68" s="139"/>
      <c r="BQ68" s="139"/>
      <c r="BR68" s="139"/>
      <c r="BS68" s="139"/>
      <c r="BT68" s="139"/>
      <c r="BU68" s="139"/>
      <c r="BV68" s="139"/>
      <c r="BW68" s="139"/>
      <c r="BX68" s="139"/>
      <c r="BY68" s="139"/>
      <c r="BZ68" s="139"/>
      <c r="CA68" s="139"/>
      <c r="CB68" s="139"/>
      <c r="CC68" s="139"/>
      <c r="CD68" s="139"/>
      <c r="CE68" s="139"/>
      <c r="CF68" s="139"/>
      <c r="CG68" s="139"/>
      <c r="CH68" s="139"/>
      <c r="CI68" s="139"/>
      <c r="CJ68" s="139"/>
      <c r="CK68" s="139"/>
      <c r="CL68" s="139"/>
      <c r="CM68" s="139"/>
      <c r="CN68" s="139"/>
      <c r="CO68" s="139"/>
      <c r="CP68" s="139"/>
      <c r="CQ68" s="139"/>
      <c r="CR68" s="139"/>
      <c r="CS68" s="139"/>
      <c r="CT68" s="139"/>
      <c r="CU68" s="139"/>
      <c r="CV68" s="139"/>
      <c r="CW68" s="139"/>
      <c r="CX68" s="139"/>
      <c r="CY68" s="139"/>
      <c r="CZ68" s="139"/>
      <c r="DA68" s="139"/>
      <c r="DB68" s="139"/>
      <c r="DC68" s="139"/>
      <c r="DD68" s="139"/>
      <c r="DE68" s="139"/>
      <c r="DF68" s="139"/>
      <c r="DG68" s="139"/>
      <c r="DH68" s="139"/>
      <c r="DI68" s="139"/>
      <c r="DJ68" s="139"/>
      <c r="DK68" s="139"/>
      <c r="DL68" s="139"/>
      <c r="DM68" s="139"/>
      <c r="DN68" s="139"/>
      <c r="DO68" s="139"/>
      <c r="DP68" s="139"/>
      <c r="DQ68" s="139"/>
      <c r="DR68" s="139"/>
      <c r="DS68" s="139"/>
      <c r="DT68" s="139"/>
      <c r="DU68" s="139"/>
      <c r="DV68" s="139"/>
      <c r="DW68" s="139"/>
      <c r="DX68" s="139"/>
      <c r="DY68" s="139"/>
      <c r="DZ68" s="139"/>
      <c r="EA68" s="139"/>
      <c r="EB68" s="139"/>
      <c r="EC68" s="139"/>
      <c r="ED68" s="139"/>
      <c r="EE68" s="139"/>
      <c r="EF68" s="139"/>
      <c r="EG68" s="139"/>
      <c r="EH68" s="139"/>
      <c r="EI68" s="139"/>
      <c r="EJ68" s="139"/>
      <c r="EK68" s="139"/>
      <c r="EL68" s="139"/>
      <c r="EM68" s="139"/>
      <c r="EN68" s="139"/>
      <c r="EO68" s="139"/>
      <c r="EP68" s="139"/>
      <c r="EQ68" s="139"/>
      <c r="ER68" s="139"/>
      <c r="ES68" s="139"/>
      <c r="ET68" s="139"/>
      <c r="EU68" s="139"/>
      <c r="EV68" s="139"/>
      <c r="EW68" s="139"/>
      <c r="EX68" s="139"/>
      <c r="EY68" s="139"/>
      <c r="EZ68" s="139"/>
      <c r="FA68" s="139"/>
      <c r="FB68" s="139"/>
      <c r="FC68" s="139"/>
      <c r="FD68" s="139"/>
      <c r="FE68" s="139"/>
      <c r="FF68" s="139"/>
      <c r="FG68" s="139"/>
      <c r="FH68" s="139"/>
      <c r="FI68" s="139"/>
      <c r="FJ68" s="139"/>
      <c r="FK68" s="139"/>
      <c r="FL68" s="139"/>
      <c r="FM68" s="139"/>
      <c r="FN68" s="139"/>
      <c r="FO68" s="139"/>
      <c r="FP68" s="139"/>
      <c r="FQ68" s="139"/>
      <c r="FR68" s="139"/>
      <c r="FS68" s="139"/>
      <c r="FT68" s="139"/>
      <c r="FU68" s="139"/>
      <c r="FV68" s="139"/>
      <c r="FW68" s="139"/>
      <c r="FX68" s="139"/>
      <c r="FY68" s="139"/>
      <c r="FZ68" s="139"/>
      <c r="GA68" s="139"/>
      <c r="GB68" s="139"/>
      <c r="GC68" s="139"/>
      <c r="GD68" s="139"/>
      <c r="GE68" s="139"/>
      <c r="GF68" s="139"/>
      <c r="GG68" s="139"/>
      <c r="GH68" s="139"/>
      <c r="GI68" s="139"/>
      <c r="GJ68" s="139"/>
      <c r="GK68" s="139"/>
      <c r="GL68" s="139"/>
      <c r="GM68" s="139"/>
      <c r="GN68" s="139"/>
      <c r="GO68" s="139"/>
      <c r="GP68" s="139"/>
      <c r="GQ68" s="139"/>
      <c r="GR68" s="139"/>
      <c r="GS68" s="139"/>
      <c r="GT68" s="139"/>
      <c r="GU68" s="139"/>
      <c r="GV68" s="139"/>
      <c r="GW68" s="139"/>
      <c r="GX68" s="139"/>
      <c r="GY68" s="139"/>
      <c r="GZ68" s="139"/>
      <c r="HA68" s="139"/>
      <c r="HB68" s="139"/>
      <c r="HC68" s="139"/>
      <c r="HD68" s="139"/>
      <c r="HE68" s="139"/>
      <c r="HF68" s="139"/>
    </row>
    <row r="69" spans="1:214" s="130" customFormat="1" ht="20.149999999999999" customHeight="1">
      <c r="A69" s="262">
        <v>44</v>
      </c>
      <c r="B69" s="278" t="s">
        <v>144</v>
      </c>
      <c r="C69" s="228" t="s">
        <v>98</v>
      </c>
      <c r="D69" s="228" t="s">
        <v>145</v>
      </c>
      <c r="E69" s="228" t="s">
        <v>108</v>
      </c>
      <c r="F69" s="229">
        <v>400</v>
      </c>
      <c r="G69" s="230">
        <v>35.85</v>
      </c>
      <c r="H69" s="182">
        <f t="shared" si="24"/>
        <v>1.4339999999999999</v>
      </c>
      <c r="I69" s="182">
        <f>F69*25/10000</f>
        <v>1</v>
      </c>
      <c r="J69" s="182">
        <f>F69*10.75/10000</f>
        <v>0.43</v>
      </c>
      <c r="K69" s="182">
        <f>F69*0/10000</f>
        <v>0</v>
      </c>
      <c r="L69" s="182">
        <f t="shared" si="29"/>
        <v>1.43</v>
      </c>
      <c r="M69" s="182">
        <f>F69*3.7/10000</f>
        <v>0.14799999999999999</v>
      </c>
      <c r="N69" s="96">
        <v>0</v>
      </c>
      <c r="O69" s="217">
        <v>0</v>
      </c>
      <c r="P69" s="234" t="s">
        <v>112</v>
      </c>
      <c r="Q69" s="224">
        <f t="shared" si="31"/>
        <v>1</v>
      </c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39"/>
      <c r="BW69" s="139"/>
      <c r="BX69" s="139"/>
      <c r="BY69" s="139"/>
      <c r="BZ69" s="139"/>
      <c r="CA69" s="139"/>
      <c r="CB69" s="139"/>
      <c r="CC69" s="139"/>
      <c r="CD69" s="139"/>
      <c r="CE69" s="139"/>
      <c r="CF69" s="139"/>
      <c r="CG69" s="139"/>
      <c r="CH69" s="139"/>
      <c r="CI69" s="139"/>
      <c r="CJ69" s="139"/>
      <c r="CK69" s="139"/>
      <c r="CL69" s="139"/>
      <c r="CM69" s="139"/>
      <c r="CN69" s="139"/>
      <c r="CO69" s="139"/>
      <c r="CP69" s="139"/>
      <c r="CQ69" s="139"/>
      <c r="CR69" s="139"/>
      <c r="CS69" s="139"/>
      <c r="CT69" s="139"/>
      <c r="CU69" s="139"/>
      <c r="CV69" s="139"/>
      <c r="CW69" s="139"/>
      <c r="CX69" s="139"/>
      <c r="CY69" s="139"/>
      <c r="CZ69" s="139"/>
      <c r="DA69" s="139"/>
      <c r="DB69" s="139"/>
      <c r="DC69" s="139"/>
      <c r="DD69" s="139"/>
      <c r="DE69" s="139"/>
      <c r="DF69" s="139"/>
      <c r="DG69" s="139"/>
      <c r="DH69" s="139"/>
      <c r="DI69" s="139"/>
      <c r="DJ69" s="139"/>
      <c r="DK69" s="139"/>
      <c r="DL69" s="139"/>
      <c r="DM69" s="139"/>
      <c r="DN69" s="139"/>
      <c r="DO69" s="139"/>
      <c r="DP69" s="139"/>
      <c r="DQ69" s="139"/>
      <c r="DR69" s="139"/>
      <c r="DS69" s="139"/>
      <c r="DT69" s="139"/>
      <c r="DU69" s="139"/>
      <c r="DV69" s="139"/>
      <c r="DW69" s="139"/>
      <c r="DX69" s="139"/>
      <c r="DY69" s="139"/>
      <c r="DZ69" s="139"/>
      <c r="EA69" s="139"/>
      <c r="EB69" s="139"/>
      <c r="EC69" s="139"/>
      <c r="ED69" s="139"/>
      <c r="EE69" s="139"/>
      <c r="EF69" s="139"/>
      <c r="EG69" s="139"/>
      <c r="EH69" s="139"/>
      <c r="EI69" s="139"/>
      <c r="EJ69" s="139"/>
      <c r="EK69" s="139"/>
      <c r="EL69" s="139"/>
      <c r="EM69" s="139"/>
      <c r="EN69" s="139"/>
      <c r="EO69" s="139"/>
      <c r="EP69" s="139"/>
      <c r="EQ69" s="139"/>
      <c r="ER69" s="139"/>
      <c r="ES69" s="139"/>
      <c r="ET69" s="139"/>
      <c r="EU69" s="139"/>
      <c r="EV69" s="139"/>
      <c r="EW69" s="139"/>
      <c r="EX69" s="139"/>
      <c r="EY69" s="139"/>
      <c r="EZ69" s="139"/>
      <c r="FA69" s="139"/>
      <c r="FB69" s="139"/>
      <c r="FC69" s="139"/>
      <c r="FD69" s="139"/>
      <c r="FE69" s="139"/>
      <c r="FF69" s="139"/>
      <c r="FG69" s="139"/>
      <c r="FH69" s="139"/>
      <c r="FI69" s="139"/>
      <c r="FJ69" s="139"/>
      <c r="FK69" s="139"/>
      <c r="FL69" s="139"/>
      <c r="FM69" s="139"/>
      <c r="FN69" s="139"/>
      <c r="FO69" s="139"/>
      <c r="FP69" s="139"/>
      <c r="FQ69" s="139"/>
      <c r="FR69" s="139"/>
      <c r="FS69" s="139"/>
      <c r="FT69" s="139"/>
      <c r="FU69" s="139"/>
      <c r="FV69" s="139"/>
      <c r="FW69" s="139"/>
      <c r="FX69" s="139"/>
      <c r="FY69" s="139"/>
      <c r="FZ69" s="139"/>
      <c r="GA69" s="139"/>
      <c r="GB69" s="139"/>
      <c r="GC69" s="139"/>
      <c r="GD69" s="139"/>
      <c r="GE69" s="139"/>
      <c r="GF69" s="139"/>
      <c r="GG69" s="139"/>
      <c r="GH69" s="139"/>
      <c r="GI69" s="139"/>
      <c r="GJ69" s="139"/>
      <c r="GK69" s="139"/>
      <c r="GL69" s="139"/>
      <c r="GM69" s="139"/>
      <c r="GN69" s="139"/>
      <c r="GO69" s="139"/>
      <c r="GP69" s="139"/>
      <c r="GQ69" s="139"/>
      <c r="GR69" s="139"/>
      <c r="GS69" s="139"/>
      <c r="GT69" s="139"/>
      <c r="GU69" s="139"/>
      <c r="GV69" s="139"/>
      <c r="GW69" s="139"/>
      <c r="GX69" s="139"/>
      <c r="GY69" s="139"/>
      <c r="GZ69" s="139"/>
      <c r="HA69" s="139"/>
      <c r="HB69" s="139"/>
      <c r="HC69" s="139"/>
      <c r="HD69" s="139"/>
      <c r="HE69" s="139"/>
      <c r="HF69" s="139"/>
    </row>
    <row r="70" spans="1:214" s="130" customFormat="1" ht="20.149999999999999" customHeight="1">
      <c r="A70" s="263"/>
      <c r="B70" s="279"/>
      <c r="C70" s="228" t="s">
        <v>146</v>
      </c>
      <c r="D70" s="228" t="s">
        <v>100</v>
      </c>
      <c r="E70" s="228" t="s">
        <v>108</v>
      </c>
      <c r="F70" s="229">
        <v>680</v>
      </c>
      <c r="G70" s="230">
        <v>33.4</v>
      </c>
      <c r="H70" s="182">
        <f t="shared" si="24"/>
        <v>2.2711999999999999</v>
      </c>
      <c r="I70" s="182">
        <f>F70*28.6/10000</f>
        <v>1.9448000000000001</v>
      </c>
      <c r="J70" s="182">
        <f>F70*4.85/10000</f>
        <v>0.32979999999999998</v>
      </c>
      <c r="K70" s="182">
        <f>F70*0/10000</f>
        <v>0</v>
      </c>
      <c r="L70" s="182">
        <f t="shared" si="29"/>
        <v>2.2746</v>
      </c>
      <c r="M70" s="182">
        <f>F70*4.7/10000</f>
        <v>0.3196</v>
      </c>
      <c r="N70" s="96">
        <v>0</v>
      </c>
      <c r="O70" s="217">
        <v>0</v>
      </c>
      <c r="P70" s="234" t="s">
        <v>112</v>
      </c>
      <c r="Q70" s="224">
        <f t="shared" si="31"/>
        <v>1.9448000000000001</v>
      </c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39"/>
      <c r="FF70" s="139"/>
      <c r="FG70" s="139"/>
      <c r="FH70" s="139"/>
      <c r="FI70" s="139"/>
      <c r="FJ70" s="139"/>
      <c r="FK70" s="139"/>
      <c r="FL70" s="139"/>
      <c r="FM70" s="139"/>
      <c r="FN70" s="139"/>
      <c r="FO70" s="139"/>
      <c r="FP70" s="139"/>
      <c r="FQ70" s="139"/>
      <c r="FR70" s="139"/>
      <c r="FS70" s="139"/>
      <c r="FT70" s="139"/>
      <c r="FU70" s="139"/>
      <c r="FV70" s="139"/>
      <c r="FW70" s="139"/>
      <c r="FX70" s="139"/>
      <c r="FY70" s="139"/>
      <c r="FZ70" s="139"/>
      <c r="GA70" s="139"/>
      <c r="GB70" s="139"/>
      <c r="GC70" s="139"/>
      <c r="GD70" s="139"/>
      <c r="GE70" s="139"/>
      <c r="GF70" s="139"/>
      <c r="GG70" s="139"/>
      <c r="GH70" s="139"/>
      <c r="GI70" s="139"/>
      <c r="GJ70" s="139"/>
      <c r="GK70" s="139"/>
      <c r="GL70" s="139"/>
      <c r="GM70" s="139"/>
      <c r="GN70" s="139"/>
      <c r="GO70" s="139"/>
      <c r="GP70" s="139"/>
      <c r="GQ70" s="139"/>
      <c r="GR70" s="139"/>
      <c r="GS70" s="139"/>
      <c r="GT70" s="139"/>
      <c r="GU70" s="139"/>
      <c r="GV70" s="139"/>
      <c r="GW70" s="139"/>
      <c r="GX70" s="139"/>
      <c r="GY70" s="139"/>
      <c r="GZ70" s="139"/>
      <c r="HA70" s="139"/>
      <c r="HB70" s="139"/>
      <c r="HC70" s="139"/>
      <c r="HD70" s="139"/>
      <c r="HE70" s="139"/>
      <c r="HF70" s="139"/>
    </row>
    <row r="71" spans="1:214" s="130" customFormat="1" ht="20.149999999999999" customHeight="1">
      <c r="A71" s="188">
        <v>45</v>
      </c>
      <c r="B71" s="228" t="s">
        <v>147</v>
      </c>
      <c r="C71" s="228" t="s">
        <v>40</v>
      </c>
      <c r="D71" s="228" t="s">
        <v>148</v>
      </c>
      <c r="E71" s="228" t="s">
        <v>108</v>
      </c>
      <c r="F71" s="229">
        <v>376.17</v>
      </c>
      <c r="G71" s="230">
        <v>31.63</v>
      </c>
      <c r="H71" s="182">
        <f t="shared" si="24"/>
        <v>1.18982571</v>
      </c>
      <c r="I71" s="182">
        <f>F71*25.5/10000</f>
        <v>0.95923349999999996</v>
      </c>
      <c r="J71" s="182">
        <f>F71*6.1/10000</f>
        <v>0.22946369999999999</v>
      </c>
      <c r="K71" s="182">
        <f>F71*0.53/10000</f>
        <v>1.9937010000000002E-2</v>
      </c>
      <c r="L71" s="182">
        <f t="shared" si="29"/>
        <v>1.20863421</v>
      </c>
      <c r="M71" s="182">
        <f>F71*6.38/10000</f>
        <v>0.23999645999999999</v>
      </c>
      <c r="N71" s="96">
        <v>0</v>
      </c>
      <c r="O71" s="217">
        <v>0</v>
      </c>
      <c r="P71" s="234" t="s">
        <v>21</v>
      </c>
      <c r="Q71" s="224">
        <f t="shared" si="31"/>
        <v>0.95923349999999996</v>
      </c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39"/>
      <c r="DY71" s="139"/>
      <c r="DZ71" s="139"/>
      <c r="EA71" s="139"/>
      <c r="EB71" s="139"/>
      <c r="EC71" s="139"/>
      <c r="ED71" s="139"/>
      <c r="EE71" s="139"/>
      <c r="EF71" s="139"/>
      <c r="EG71" s="139"/>
      <c r="EH71" s="139"/>
      <c r="EI71" s="139"/>
      <c r="EJ71" s="139"/>
      <c r="EK71" s="139"/>
      <c r="EL71" s="139"/>
      <c r="EM71" s="139"/>
      <c r="EN71" s="139"/>
      <c r="EO71" s="139"/>
      <c r="EP71" s="139"/>
      <c r="EQ71" s="139"/>
      <c r="ER71" s="139"/>
      <c r="ES71" s="139"/>
      <c r="ET71" s="139"/>
      <c r="EU71" s="139"/>
      <c r="EV71" s="139"/>
      <c r="EW71" s="139"/>
      <c r="EX71" s="139"/>
      <c r="EY71" s="139"/>
      <c r="EZ71" s="139"/>
      <c r="FA71" s="139"/>
      <c r="FB71" s="139"/>
      <c r="FC71" s="139"/>
      <c r="FD71" s="139"/>
      <c r="FE71" s="139"/>
      <c r="FF71" s="139"/>
      <c r="FG71" s="139"/>
      <c r="FH71" s="139"/>
      <c r="FI71" s="139"/>
      <c r="FJ71" s="139"/>
      <c r="FK71" s="139"/>
      <c r="FL71" s="139"/>
      <c r="FM71" s="139"/>
      <c r="FN71" s="139"/>
      <c r="FO71" s="139"/>
      <c r="FP71" s="139"/>
      <c r="FQ71" s="139"/>
      <c r="FR71" s="139"/>
      <c r="FS71" s="139"/>
      <c r="FT71" s="139"/>
      <c r="FU71" s="139"/>
      <c r="FV71" s="139"/>
      <c r="FW71" s="139"/>
      <c r="FX71" s="139"/>
      <c r="FY71" s="139"/>
      <c r="FZ71" s="139"/>
      <c r="GA71" s="139"/>
      <c r="GB71" s="139"/>
      <c r="GC71" s="139"/>
      <c r="GD71" s="139"/>
      <c r="GE71" s="139"/>
      <c r="GF71" s="139"/>
      <c r="GG71" s="139"/>
      <c r="GH71" s="139"/>
      <c r="GI71" s="139"/>
      <c r="GJ71" s="139"/>
      <c r="GK71" s="139"/>
      <c r="GL71" s="139"/>
      <c r="GM71" s="139"/>
      <c r="GN71" s="139"/>
      <c r="GO71" s="139"/>
      <c r="GP71" s="139"/>
      <c r="GQ71" s="139"/>
      <c r="GR71" s="139"/>
      <c r="GS71" s="139"/>
      <c r="GT71" s="139"/>
      <c r="GU71" s="139"/>
      <c r="GV71" s="139"/>
      <c r="GW71" s="139"/>
      <c r="GX71" s="139"/>
      <c r="GY71" s="139"/>
      <c r="GZ71" s="139"/>
      <c r="HA71" s="139"/>
      <c r="HB71" s="139"/>
      <c r="HC71" s="139"/>
      <c r="HD71" s="139"/>
      <c r="HE71" s="139"/>
      <c r="HF71" s="139"/>
    </row>
    <row r="72" spans="1:214" s="130" customFormat="1" ht="20.149999999999999" customHeight="1">
      <c r="A72" s="188">
        <v>46</v>
      </c>
      <c r="B72" s="228" t="s">
        <v>149</v>
      </c>
      <c r="C72" s="228" t="s">
        <v>43</v>
      </c>
      <c r="D72" s="228" t="s">
        <v>150</v>
      </c>
      <c r="E72" s="228" t="s">
        <v>108</v>
      </c>
      <c r="F72" s="229">
        <v>687.12</v>
      </c>
      <c r="G72" s="230">
        <v>26.88</v>
      </c>
      <c r="H72" s="182">
        <f t="shared" si="24"/>
        <v>1.8469785599999999</v>
      </c>
      <c r="I72" s="182">
        <f>F72*18.2/10000</f>
        <v>1.2505584000000001</v>
      </c>
      <c r="J72" s="182">
        <f>F72*8.73/10000</f>
        <v>0.59985575999999996</v>
      </c>
      <c r="K72" s="182">
        <f>F72*20.08/10000</f>
        <v>1.37973696</v>
      </c>
      <c r="L72" s="182">
        <f t="shared" si="29"/>
        <v>3.2301511199999999</v>
      </c>
      <c r="M72" s="182">
        <f t="shared" si="30"/>
        <v>0</v>
      </c>
      <c r="N72" s="96">
        <v>0</v>
      </c>
      <c r="O72" s="217">
        <v>5</v>
      </c>
      <c r="P72" s="234" t="s">
        <v>21</v>
      </c>
      <c r="Q72" s="224">
        <f t="shared" si="31"/>
        <v>1.2505584000000001</v>
      </c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39"/>
      <c r="DI72" s="139"/>
      <c r="DJ72" s="139"/>
      <c r="DK72" s="139"/>
      <c r="DL72" s="13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39"/>
      <c r="DX72" s="139"/>
      <c r="DY72" s="139"/>
      <c r="DZ72" s="139"/>
      <c r="EA72" s="139"/>
      <c r="EB72" s="139"/>
      <c r="EC72" s="139"/>
      <c r="ED72" s="139"/>
      <c r="EE72" s="139"/>
      <c r="EF72" s="139"/>
      <c r="EG72" s="139"/>
      <c r="EH72" s="139"/>
      <c r="EI72" s="139"/>
      <c r="EJ72" s="139"/>
      <c r="EK72" s="139"/>
      <c r="EL72" s="139"/>
      <c r="EM72" s="139"/>
      <c r="EN72" s="139"/>
      <c r="EO72" s="139"/>
      <c r="EP72" s="139"/>
      <c r="EQ72" s="139"/>
      <c r="ER72" s="139"/>
      <c r="ES72" s="139"/>
      <c r="ET72" s="139"/>
      <c r="EU72" s="139"/>
      <c r="EV72" s="139"/>
      <c r="EW72" s="139"/>
      <c r="EX72" s="139"/>
      <c r="EY72" s="139"/>
      <c r="EZ72" s="139"/>
      <c r="FA72" s="139"/>
      <c r="FB72" s="139"/>
      <c r="FC72" s="139"/>
      <c r="FD72" s="139"/>
      <c r="FE72" s="139"/>
      <c r="FF72" s="139"/>
      <c r="FG72" s="139"/>
      <c r="FH72" s="139"/>
      <c r="FI72" s="139"/>
      <c r="FJ72" s="139"/>
      <c r="FK72" s="139"/>
      <c r="FL72" s="139"/>
      <c r="FM72" s="139"/>
      <c r="FN72" s="139"/>
      <c r="FO72" s="139"/>
      <c r="FP72" s="139"/>
      <c r="FQ72" s="139"/>
      <c r="FR72" s="139"/>
      <c r="FS72" s="139"/>
      <c r="FT72" s="139"/>
      <c r="FU72" s="139"/>
      <c r="FV72" s="139"/>
      <c r="FW72" s="139"/>
      <c r="FX72" s="139"/>
      <c r="FY72" s="139"/>
      <c r="FZ72" s="139"/>
      <c r="GA72" s="139"/>
      <c r="GB72" s="139"/>
      <c r="GC72" s="139"/>
      <c r="GD72" s="139"/>
      <c r="GE72" s="139"/>
      <c r="GF72" s="139"/>
      <c r="GG72" s="139"/>
      <c r="GH72" s="139"/>
      <c r="GI72" s="139"/>
      <c r="GJ72" s="139"/>
      <c r="GK72" s="139"/>
      <c r="GL72" s="139"/>
      <c r="GM72" s="139"/>
      <c r="GN72" s="139"/>
      <c r="GO72" s="139"/>
      <c r="GP72" s="139"/>
      <c r="GQ72" s="139"/>
      <c r="GR72" s="139"/>
      <c r="GS72" s="139"/>
      <c r="GT72" s="139"/>
      <c r="GU72" s="139"/>
      <c r="GV72" s="139"/>
      <c r="GW72" s="139"/>
      <c r="GX72" s="139"/>
      <c r="GY72" s="139"/>
      <c r="GZ72" s="139"/>
      <c r="HA72" s="139"/>
      <c r="HB72" s="139"/>
      <c r="HC72" s="139"/>
      <c r="HD72" s="139"/>
      <c r="HE72" s="139"/>
      <c r="HF72" s="139"/>
    </row>
    <row r="73" spans="1:214" s="130" customFormat="1" ht="20.149999999999999" customHeight="1">
      <c r="A73" s="188">
        <v>47</v>
      </c>
      <c r="B73" s="228" t="s">
        <v>151</v>
      </c>
      <c r="C73" s="228" t="s">
        <v>152</v>
      </c>
      <c r="D73" s="228" t="s">
        <v>42</v>
      </c>
      <c r="E73" s="228" t="s">
        <v>108</v>
      </c>
      <c r="F73" s="229">
        <v>1066.07</v>
      </c>
      <c r="G73" s="230">
        <v>22.21</v>
      </c>
      <c r="H73" s="182">
        <f t="shared" si="24"/>
        <v>2.3677414699999999</v>
      </c>
      <c r="I73" s="182">
        <f>F73*16.5/10000</f>
        <v>1.7590155000000001</v>
      </c>
      <c r="J73" s="182">
        <f>F73*5.72/10000</f>
        <v>0.60979203999999998</v>
      </c>
      <c r="K73" s="182">
        <f>F73*12.1/10000</f>
        <v>1.2899446999999999</v>
      </c>
      <c r="L73" s="182">
        <f t="shared" si="29"/>
        <v>3.6587522400000001</v>
      </c>
      <c r="M73" s="182">
        <f t="shared" si="30"/>
        <v>0</v>
      </c>
      <c r="N73" s="96">
        <v>0</v>
      </c>
      <c r="O73" s="217">
        <v>1</v>
      </c>
      <c r="P73" s="234" t="s">
        <v>21</v>
      </c>
      <c r="Q73" s="224">
        <f t="shared" si="31"/>
        <v>1.7590155000000001</v>
      </c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39"/>
      <c r="CL73" s="139"/>
      <c r="CM73" s="139"/>
      <c r="CN73" s="139"/>
      <c r="CO73" s="139"/>
      <c r="CP73" s="139"/>
      <c r="CQ73" s="139"/>
      <c r="CR73" s="139"/>
      <c r="CS73" s="139"/>
      <c r="CT73" s="139"/>
      <c r="CU73" s="139"/>
      <c r="CV73" s="139"/>
      <c r="CW73" s="139"/>
      <c r="CX73" s="139"/>
      <c r="CY73" s="139"/>
      <c r="CZ73" s="139"/>
      <c r="DA73" s="139"/>
      <c r="DB73" s="139"/>
      <c r="DC73" s="139"/>
      <c r="DD73" s="139"/>
      <c r="DE73" s="139"/>
      <c r="DF73" s="139"/>
      <c r="DG73" s="139"/>
      <c r="DH73" s="139"/>
      <c r="DI73" s="139"/>
      <c r="DJ73" s="139"/>
      <c r="DK73" s="139"/>
      <c r="DL73" s="139"/>
      <c r="DM73" s="139"/>
      <c r="DN73" s="139"/>
      <c r="DO73" s="139"/>
      <c r="DP73" s="139"/>
      <c r="DQ73" s="139"/>
      <c r="DR73" s="139"/>
      <c r="DS73" s="139"/>
      <c r="DT73" s="139"/>
      <c r="DU73" s="139"/>
      <c r="DV73" s="139"/>
      <c r="DW73" s="139"/>
      <c r="DX73" s="139"/>
      <c r="DY73" s="139"/>
      <c r="DZ73" s="139"/>
      <c r="EA73" s="139"/>
      <c r="EB73" s="139"/>
      <c r="EC73" s="139"/>
      <c r="ED73" s="139"/>
      <c r="EE73" s="139"/>
      <c r="EF73" s="139"/>
      <c r="EG73" s="139"/>
      <c r="EH73" s="139"/>
      <c r="EI73" s="139"/>
      <c r="EJ73" s="139"/>
      <c r="EK73" s="139"/>
      <c r="EL73" s="139"/>
      <c r="EM73" s="139"/>
      <c r="EN73" s="139"/>
      <c r="EO73" s="139"/>
      <c r="EP73" s="139"/>
      <c r="EQ73" s="139"/>
      <c r="ER73" s="139"/>
      <c r="ES73" s="139"/>
      <c r="ET73" s="139"/>
      <c r="EU73" s="139"/>
      <c r="EV73" s="139"/>
      <c r="EW73" s="139"/>
      <c r="EX73" s="139"/>
      <c r="EY73" s="139"/>
      <c r="EZ73" s="139"/>
      <c r="FA73" s="139"/>
      <c r="FB73" s="139"/>
      <c r="FC73" s="139"/>
      <c r="FD73" s="139"/>
      <c r="FE73" s="139"/>
      <c r="FF73" s="139"/>
      <c r="FG73" s="139"/>
      <c r="FH73" s="139"/>
      <c r="FI73" s="139"/>
      <c r="FJ73" s="139"/>
      <c r="FK73" s="139"/>
      <c r="FL73" s="139"/>
      <c r="FM73" s="139"/>
      <c r="FN73" s="139"/>
      <c r="FO73" s="139"/>
      <c r="FP73" s="139"/>
      <c r="FQ73" s="139"/>
      <c r="FR73" s="139"/>
      <c r="FS73" s="139"/>
      <c r="FT73" s="139"/>
      <c r="FU73" s="139"/>
      <c r="FV73" s="139"/>
      <c r="FW73" s="139"/>
      <c r="FX73" s="139"/>
      <c r="FY73" s="139"/>
      <c r="FZ73" s="139"/>
      <c r="GA73" s="139"/>
      <c r="GB73" s="139"/>
      <c r="GC73" s="139"/>
      <c r="GD73" s="139"/>
      <c r="GE73" s="139"/>
      <c r="GF73" s="139"/>
      <c r="GG73" s="139"/>
      <c r="GH73" s="139"/>
      <c r="GI73" s="139"/>
      <c r="GJ73" s="139"/>
      <c r="GK73" s="139"/>
      <c r="GL73" s="139"/>
      <c r="GM73" s="139"/>
      <c r="GN73" s="139"/>
      <c r="GO73" s="139"/>
      <c r="GP73" s="139"/>
      <c r="GQ73" s="139"/>
      <c r="GR73" s="139"/>
      <c r="GS73" s="139"/>
      <c r="GT73" s="139"/>
      <c r="GU73" s="139"/>
      <c r="GV73" s="139"/>
      <c r="GW73" s="139"/>
      <c r="GX73" s="139"/>
      <c r="GY73" s="139"/>
      <c r="GZ73" s="139"/>
      <c r="HA73" s="139"/>
      <c r="HB73" s="139"/>
      <c r="HC73" s="139"/>
      <c r="HD73" s="139"/>
      <c r="HE73" s="139"/>
      <c r="HF73" s="139"/>
    </row>
    <row r="74" spans="1:214" s="130" customFormat="1" ht="20.149999999999999" customHeight="1">
      <c r="A74" s="188">
        <v>48</v>
      </c>
      <c r="B74" s="228" t="s">
        <v>153</v>
      </c>
      <c r="C74" s="228" t="s">
        <v>40</v>
      </c>
      <c r="D74" s="228" t="s">
        <v>151</v>
      </c>
      <c r="E74" s="228" t="s">
        <v>108</v>
      </c>
      <c r="F74" s="229">
        <v>270</v>
      </c>
      <c r="G74" s="230">
        <f>14.3+3*2+7+7.3</f>
        <v>34.6</v>
      </c>
      <c r="H74" s="182">
        <f t="shared" si="24"/>
        <v>0.93420000000000003</v>
      </c>
      <c r="I74" s="182">
        <f>14.3*F74/10000</f>
        <v>0.3861</v>
      </c>
      <c r="J74" s="182">
        <f>(7+7.3)*F74/10000+(3*2*F74)/10000</f>
        <v>0.54810000000000003</v>
      </c>
      <c r="K74" s="182">
        <v>0</v>
      </c>
      <c r="L74" s="182">
        <f t="shared" si="29"/>
        <v>0.93420000000000003</v>
      </c>
      <c r="M74" s="182">
        <f>1.7*2*F74/10000</f>
        <v>9.1800000000000007E-2</v>
      </c>
      <c r="N74" s="96">
        <v>0</v>
      </c>
      <c r="O74" s="217">
        <v>0</v>
      </c>
      <c r="P74" s="234" t="s">
        <v>112</v>
      </c>
      <c r="Q74" s="224">
        <f t="shared" si="31"/>
        <v>0.3861</v>
      </c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39"/>
      <c r="CL74" s="139"/>
      <c r="CM74" s="139"/>
      <c r="CN74" s="139"/>
      <c r="CO74" s="139"/>
      <c r="CP74" s="139"/>
      <c r="CQ74" s="139"/>
      <c r="CR74" s="139"/>
      <c r="CS74" s="139"/>
      <c r="CT74" s="139"/>
      <c r="CU74" s="139"/>
      <c r="CV74" s="139"/>
      <c r="CW74" s="139"/>
      <c r="CX74" s="139"/>
      <c r="CY74" s="139"/>
      <c r="CZ74" s="139"/>
      <c r="DA74" s="139"/>
      <c r="DB74" s="139"/>
      <c r="DC74" s="139"/>
      <c r="DD74" s="139"/>
      <c r="DE74" s="139"/>
      <c r="DF74" s="139"/>
      <c r="DG74" s="139"/>
      <c r="DH74" s="139"/>
      <c r="DI74" s="139"/>
      <c r="DJ74" s="139"/>
      <c r="DK74" s="139"/>
      <c r="DL74" s="139"/>
      <c r="DM74" s="139"/>
      <c r="DN74" s="139"/>
      <c r="DO74" s="139"/>
      <c r="DP74" s="139"/>
      <c r="DQ74" s="139"/>
      <c r="DR74" s="139"/>
      <c r="DS74" s="139"/>
      <c r="DT74" s="139"/>
      <c r="DU74" s="139"/>
      <c r="DV74" s="139"/>
      <c r="DW74" s="139"/>
      <c r="DX74" s="139"/>
      <c r="DY74" s="139"/>
      <c r="DZ74" s="139"/>
      <c r="EA74" s="139"/>
      <c r="EB74" s="139"/>
      <c r="EC74" s="139"/>
      <c r="ED74" s="139"/>
      <c r="EE74" s="139"/>
      <c r="EF74" s="139"/>
      <c r="EG74" s="139"/>
      <c r="EH74" s="139"/>
      <c r="EI74" s="139"/>
      <c r="EJ74" s="139"/>
      <c r="EK74" s="139"/>
      <c r="EL74" s="139"/>
      <c r="EM74" s="139"/>
      <c r="EN74" s="139"/>
      <c r="EO74" s="139"/>
      <c r="EP74" s="139"/>
      <c r="EQ74" s="139"/>
      <c r="ER74" s="139"/>
      <c r="ES74" s="139"/>
      <c r="ET74" s="139"/>
      <c r="EU74" s="139"/>
      <c r="EV74" s="139"/>
      <c r="EW74" s="139"/>
      <c r="EX74" s="139"/>
      <c r="EY74" s="139"/>
      <c r="EZ74" s="139"/>
      <c r="FA74" s="139"/>
      <c r="FB74" s="139"/>
      <c r="FC74" s="139"/>
      <c r="FD74" s="139"/>
      <c r="FE74" s="139"/>
      <c r="FF74" s="139"/>
      <c r="FG74" s="139"/>
      <c r="FH74" s="139"/>
      <c r="FI74" s="139"/>
      <c r="FJ74" s="139"/>
      <c r="FK74" s="139"/>
      <c r="FL74" s="139"/>
      <c r="FM74" s="139"/>
      <c r="FN74" s="139"/>
      <c r="FO74" s="139"/>
      <c r="FP74" s="139"/>
      <c r="FQ74" s="139"/>
      <c r="FR74" s="139"/>
      <c r="FS74" s="139"/>
      <c r="FT74" s="139"/>
      <c r="FU74" s="139"/>
      <c r="FV74" s="139"/>
      <c r="FW74" s="139"/>
      <c r="FX74" s="139"/>
      <c r="FY74" s="139"/>
      <c r="FZ74" s="139"/>
      <c r="GA74" s="139"/>
      <c r="GB74" s="139"/>
      <c r="GC74" s="139"/>
      <c r="GD74" s="139"/>
      <c r="GE74" s="139"/>
      <c r="GF74" s="139"/>
      <c r="GG74" s="139"/>
      <c r="GH74" s="139"/>
      <c r="GI74" s="139"/>
      <c r="GJ74" s="139"/>
      <c r="GK74" s="139"/>
      <c r="GL74" s="139"/>
      <c r="GM74" s="139"/>
      <c r="GN74" s="139"/>
      <c r="GO74" s="139"/>
      <c r="GP74" s="139"/>
      <c r="GQ74" s="139"/>
      <c r="GR74" s="139"/>
      <c r="GS74" s="139"/>
      <c r="GT74" s="139"/>
      <c r="GU74" s="139"/>
      <c r="GV74" s="139"/>
      <c r="GW74" s="139"/>
      <c r="GX74" s="139"/>
      <c r="GY74" s="139"/>
      <c r="GZ74" s="139"/>
      <c r="HA74" s="139"/>
      <c r="HB74" s="139"/>
      <c r="HC74" s="139"/>
      <c r="HD74" s="139"/>
      <c r="HE74" s="139"/>
      <c r="HF74" s="139"/>
    </row>
    <row r="75" spans="1:214" s="139" customFormat="1" ht="20.149999999999999" customHeight="1">
      <c r="A75" s="188">
        <v>49</v>
      </c>
      <c r="B75" s="228" t="s">
        <v>154</v>
      </c>
      <c r="C75" s="228" t="s">
        <v>101</v>
      </c>
      <c r="D75" s="228" t="s">
        <v>40</v>
      </c>
      <c r="E75" s="228" t="s">
        <v>108</v>
      </c>
      <c r="F75" s="229">
        <v>185</v>
      </c>
      <c r="G75" s="230">
        <v>16</v>
      </c>
      <c r="H75" s="182">
        <f t="shared" si="24"/>
        <v>0.29599999999999999</v>
      </c>
      <c r="I75" s="182">
        <v>0.19</v>
      </c>
      <c r="J75" s="182">
        <v>0.11</v>
      </c>
      <c r="K75" s="182">
        <v>0</v>
      </c>
      <c r="L75" s="182">
        <f t="shared" si="29"/>
        <v>0.3</v>
      </c>
      <c r="M75" s="182">
        <v>0</v>
      </c>
      <c r="N75" s="96"/>
      <c r="O75" s="217">
        <v>4</v>
      </c>
      <c r="P75" s="234" t="s">
        <v>112</v>
      </c>
      <c r="Q75" s="224">
        <v>0.19</v>
      </c>
    </row>
    <row r="76" spans="1:214" s="130" customFormat="1" ht="20.149999999999999" customHeight="1">
      <c r="A76" s="188">
        <v>50</v>
      </c>
      <c r="B76" s="228" t="s">
        <v>155</v>
      </c>
      <c r="C76" s="228" t="s">
        <v>101</v>
      </c>
      <c r="D76" s="228" t="s">
        <v>39</v>
      </c>
      <c r="E76" s="228" t="s">
        <v>108</v>
      </c>
      <c r="F76" s="229">
        <v>185</v>
      </c>
      <c r="G76" s="230">
        <v>26</v>
      </c>
      <c r="H76" s="182">
        <f t="shared" si="24"/>
        <v>0.48099999999999998</v>
      </c>
      <c r="I76" s="182">
        <v>0.37</v>
      </c>
      <c r="J76" s="182">
        <v>0.11</v>
      </c>
      <c r="K76" s="182">
        <v>0</v>
      </c>
      <c r="L76" s="182">
        <f t="shared" si="29"/>
        <v>0.48</v>
      </c>
      <c r="M76" s="182">
        <v>0</v>
      </c>
      <c r="N76" s="96"/>
      <c r="O76" s="217">
        <v>0</v>
      </c>
      <c r="P76" s="234" t="s">
        <v>112</v>
      </c>
      <c r="Q76" s="224">
        <v>0.37</v>
      </c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39"/>
      <c r="CO76" s="139"/>
      <c r="CP76" s="139"/>
      <c r="CQ76" s="139"/>
      <c r="CR76" s="139"/>
      <c r="CS76" s="139"/>
      <c r="CT76" s="139"/>
      <c r="CU76" s="139"/>
      <c r="CV76" s="139"/>
      <c r="CW76" s="139"/>
      <c r="CX76" s="139"/>
      <c r="CY76" s="139"/>
      <c r="CZ76" s="139"/>
      <c r="DA76" s="139"/>
      <c r="DB76" s="139"/>
      <c r="DC76" s="139"/>
      <c r="DD76" s="139"/>
      <c r="DE76" s="139"/>
      <c r="DF76" s="139"/>
      <c r="DG76" s="139"/>
      <c r="DH76" s="139"/>
      <c r="DI76" s="139"/>
      <c r="DJ76" s="139"/>
      <c r="DK76" s="139"/>
      <c r="DL76" s="139"/>
      <c r="DM76" s="139"/>
      <c r="DN76" s="139"/>
      <c r="DO76" s="139"/>
      <c r="DP76" s="139"/>
      <c r="DQ76" s="139"/>
      <c r="DR76" s="139"/>
      <c r="DS76" s="139"/>
      <c r="DT76" s="139"/>
      <c r="DU76" s="139"/>
      <c r="DV76" s="139"/>
      <c r="DW76" s="139"/>
      <c r="DX76" s="139"/>
      <c r="DY76" s="139"/>
      <c r="DZ76" s="139"/>
      <c r="EA76" s="139"/>
      <c r="EB76" s="139"/>
      <c r="EC76" s="139"/>
      <c r="ED76" s="139"/>
      <c r="EE76" s="139"/>
      <c r="EF76" s="139"/>
      <c r="EG76" s="139"/>
      <c r="EH76" s="139"/>
      <c r="EI76" s="139"/>
      <c r="EJ76" s="139"/>
      <c r="EK76" s="139"/>
      <c r="EL76" s="139"/>
      <c r="EM76" s="139"/>
      <c r="EN76" s="139"/>
      <c r="EO76" s="139"/>
      <c r="EP76" s="139"/>
      <c r="EQ76" s="139"/>
      <c r="ER76" s="139"/>
      <c r="ES76" s="139"/>
      <c r="ET76" s="139"/>
      <c r="EU76" s="139"/>
      <c r="EV76" s="139"/>
      <c r="EW76" s="139"/>
      <c r="EX76" s="139"/>
      <c r="EY76" s="139"/>
      <c r="EZ76" s="139"/>
      <c r="FA76" s="139"/>
      <c r="FB76" s="139"/>
      <c r="FC76" s="139"/>
      <c r="FD76" s="139"/>
      <c r="FE76" s="139"/>
      <c r="FF76" s="139"/>
      <c r="FG76" s="139"/>
      <c r="FH76" s="139"/>
      <c r="FI76" s="139"/>
      <c r="FJ76" s="139"/>
      <c r="FK76" s="139"/>
      <c r="FL76" s="139"/>
      <c r="FM76" s="139"/>
      <c r="FN76" s="139"/>
      <c r="FO76" s="139"/>
      <c r="FP76" s="139"/>
      <c r="FQ76" s="139"/>
      <c r="FR76" s="139"/>
      <c r="FS76" s="139"/>
      <c r="FT76" s="139"/>
      <c r="FU76" s="139"/>
      <c r="FV76" s="139"/>
      <c r="FW76" s="139"/>
      <c r="FX76" s="139"/>
      <c r="FY76" s="139"/>
      <c r="FZ76" s="139"/>
      <c r="GA76" s="139"/>
      <c r="GB76" s="139"/>
      <c r="GC76" s="139"/>
      <c r="GD76" s="139"/>
      <c r="GE76" s="139"/>
      <c r="GF76" s="139"/>
      <c r="GG76" s="139"/>
      <c r="GH76" s="139"/>
      <c r="GI76" s="139"/>
      <c r="GJ76" s="139"/>
      <c r="GK76" s="139"/>
      <c r="GL76" s="139"/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39"/>
      <c r="HA76" s="139"/>
      <c r="HB76" s="139"/>
      <c r="HC76" s="139"/>
      <c r="HD76" s="139"/>
      <c r="HE76" s="139"/>
      <c r="HF76" s="139"/>
    </row>
    <row r="77" spans="1:214" s="130" customFormat="1" ht="20.149999999999999" customHeight="1">
      <c r="A77" s="188">
        <v>51</v>
      </c>
      <c r="B77" s="228" t="s">
        <v>156</v>
      </c>
      <c r="C77" s="228" t="s">
        <v>101</v>
      </c>
      <c r="D77" s="228" t="s">
        <v>157</v>
      </c>
      <c r="E77" s="228" t="s">
        <v>108</v>
      </c>
      <c r="F77" s="229">
        <v>420</v>
      </c>
      <c r="G77" s="230">
        <v>24</v>
      </c>
      <c r="H77" s="182">
        <f t="shared" si="24"/>
        <v>1.008</v>
      </c>
      <c r="I77" s="182">
        <v>0.76</v>
      </c>
      <c r="J77" s="182">
        <v>0.25</v>
      </c>
      <c r="K77" s="182">
        <v>0</v>
      </c>
      <c r="L77" s="182">
        <f t="shared" si="29"/>
        <v>1.01</v>
      </c>
      <c r="M77" s="182">
        <v>0</v>
      </c>
      <c r="N77" s="96"/>
      <c r="O77" s="217">
        <v>12</v>
      </c>
      <c r="P77" s="234" t="s">
        <v>112</v>
      </c>
      <c r="Q77" s="224">
        <v>0.76</v>
      </c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A77" s="139"/>
      <c r="DB77" s="139"/>
      <c r="DC77" s="139"/>
      <c r="DD77" s="139"/>
      <c r="DE77" s="139"/>
      <c r="DF77" s="139"/>
      <c r="DG77" s="139"/>
      <c r="DH77" s="139"/>
      <c r="DI77" s="139"/>
      <c r="DJ77" s="139"/>
      <c r="DK77" s="139"/>
      <c r="DL77" s="139"/>
      <c r="DM77" s="139"/>
      <c r="DN77" s="139"/>
      <c r="DO77" s="139"/>
      <c r="DP77" s="139"/>
      <c r="DQ77" s="139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139"/>
      <c r="EW77" s="139"/>
      <c r="EX77" s="139"/>
      <c r="EY77" s="139"/>
      <c r="EZ77" s="139"/>
      <c r="FA77" s="139"/>
      <c r="FB77" s="139"/>
      <c r="FC77" s="139"/>
      <c r="FD77" s="139"/>
      <c r="FE77" s="139"/>
      <c r="FF77" s="139"/>
      <c r="FG77" s="139"/>
      <c r="FH77" s="139"/>
      <c r="FI77" s="139"/>
      <c r="FJ77" s="139"/>
      <c r="FK77" s="139"/>
      <c r="FL77" s="139"/>
      <c r="FM77" s="139"/>
      <c r="FN77" s="139"/>
      <c r="FO77" s="139"/>
      <c r="FP77" s="139"/>
      <c r="FQ77" s="139"/>
      <c r="FR77" s="139"/>
      <c r="FS77" s="139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</row>
    <row r="78" spans="1:214" s="130" customFormat="1" ht="20.149999999999999" customHeight="1">
      <c r="A78" s="188">
        <v>52</v>
      </c>
      <c r="B78" s="228" t="s">
        <v>158</v>
      </c>
      <c r="C78" s="228" t="s">
        <v>43</v>
      </c>
      <c r="D78" s="228" t="s">
        <v>159</v>
      </c>
      <c r="E78" s="228" t="s">
        <v>108</v>
      </c>
      <c r="F78" s="229">
        <v>948</v>
      </c>
      <c r="G78" s="230">
        <v>18</v>
      </c>
      <c r="H78" s="182">
        <f t="shared" si="24"/>
        <v>1.7063999999999999</v>
      </c>
      <c r="I78" s="182">
        <v>1.7063999999999999</v>
      </c>
      <c r="J78" s="182">
        <v>0</v>
      </c>
      <c r="K78" s="182">
        <v>0</v>
      </c>
      <c r="L78" s="182">
        <f t="shared" si="29"/>
        <v>1.7063999999999999</v>
      </c>
      <c r="M78" s="182">
        <v>0</v>
      </c>
      <c r="N78" s="96">
        <v>0</v>
      </c>
      <c r="O78" s="217">
        <v>0</v>
      </c>
      <c r="P78" s="234" t="s">
        <v>112</v>
      </c>
      <c r="Q78" s="224">
        <v>1.23</v>
      </c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A78" s="139"/>
      <c r="DB78" s="139"/>
      <c r="DC78" s="139"/>
      <c r="DD78" s="139"/>
      <c r="DE78" s="139"/>
      <c r="DF78" s="139"/>
      <c r="DG78" s="139"/>
      <c r="DH78" s="139"/>
      <c r="DI78" s="139"/>
      <c r="DJ78" s="139"/>
      <c r="DK78" s="139"/>
      <c r="DL78" s="139"/>
      <c r="DM78" s="139"/>
      <c r="DN78" s="139"/>
      <c r="DO78" s="139"/>
      <c r="DP78" s="139"/>
      <c r="DQ78" s="139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139"/>
      <c r="EF78" s="139"/>
      <c r="EG78" s="139"/>
      <c r="EH78" s="139"/>
      <c r="EI78" s="139"/>
      <c r="EJ78" s="139"/>
      <c r="EK78" s="139"/>
      <c r="EL78" s="139"/>
      <c r="EM78" s="139"/>
      <c r="EN78" s="139"/>
      <c r="EO78" s="139"/>
      <c r="EP78" s="139"/>
      <c r="EQ78" s="139"/>
      <c r="ER78" s="139"/>
      <c r="ES78" s="139"/>
      <c r="ET78" s="139"/>
      <c r="EU78" s="139"/>
      <c r="EV78" s="139"/>
      <c r="EW78" s="139"/>
      <c r="EX78" s="139"/>
      <c r="EY78" s="139"/>
      <c r="EZ78" s="139"/>
      <c r="FA78" s="139"/>
      <c r="FB78" s="139"/>
      <c r="FC78" s="139"/>
      <c r="FD78" s="139"/>
      <c r="FE78" s="139"/>
      <c r="FF78" s="139"/>
      <c r="FG78" s="139"/>
      <c r="FH78" s="139"/>
      <c r="FI78" s="139"/>
      <c r="FJ78" s="139"/>
      <c r="FK78" s="139"/>
      <c r="FL78" s="139"/>
      <c r="FM78" s="139"/>
      <c r="FN78" s="139"/>
      <c r="FO78" s="139"/>
      <c r="FP78" s="139"/>
      <c r="FQ78" s="139"/>
      <c r="FR78" s="139"/>
      <c r="FS78" s="139"/>
      <c r="FT78" s="139"/>
      <c r="FU78" s="139"/>
      <c r="FV78" s="139"/>
      <c r="FW78" s="139"/>
      <c r="FX78" s="139"/>
      <c r="FY78" s="139"/>
      <c r="FZ78" s="139"/>
      <c r="GA78" s="139"/>
      <c r="GB78" s="139"/>
      <c r="GC78" s="139"/>
      <c r="GD78" s="139"/>
      <c r="GE78" s="139"/>
      <c r="GF78" s="139"/>
      <c r="GG78" s="139"/>
      <c r="GH78" s="139"/>
      <c r="GI78" s="139"/>
      <c r="GJ78" s="139"/>
      <c r="GK78" s="139"/>
      <c r="GL78" s="139"/>
      <c r="GM78" s="139"/>
      <c r="GN78" s="139"/>
      <c r="GO78" s="139"/>
      <c r="GP78" s="139"/>
      <c r="GQ78" s="139"/>
      <c r="GR78" s="139"/>
      <c r="GS78" s="139"/>
      <c r="GT78" s="139"/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</row>
    <row r="79" spans="1:214" s="83" customFormat="1" ht="24" customHeight="1">
      <c r="A79" s="188">
        <v>53</v>
      </c>
      <c r="B79" s="231" t="s">
        <v>160</v>
      </c>
      <c r="C79" s="197" t="s">
        <v>161</v>
      </c>
      <c r="D79" s="197" t="s">
        <v>162</v>
      </c>
      <c r="E79" s="112" t="s">
        <v>108</v>
      </c>
      <c r="F79" s="128">
        <v>550</v>
      </c>
      <c r="G79" s="128">
        <v>39</v>
      </c>
      <c r="H79" s="115">
        <f t="shared" si="24"/>
        <v>2.145</v>
      </c>
      <c r="I79" s="166">
        <v>1.6884999999999999</v>
      </c>
      <c r="J79" s="166">
        <v>0.45650000000000002</v>
      </c>
      <c r="K79" s="166">
        <v>0</v>
      </c>
      <c r="L79" s="114">
        <f t="shared" ref="L79:L93" si="32">SUM(I79:K79)</f>
        <v>2.145</v>
      </c>
      <c r="M79" s="166">
        <v>0</v>
      </c>
      <c r="N79" s="215">
        <v>0</v>
      </c>
      <c r="O79" s="215">
        <v>0</v>
      </c>
      <c r="P79" s="114" t="s">
        <v>112</v>
      </c>
      <c r="Q79" s="114">
        <v>3.23</v>
      </c>
    </row>
    <row r="80" spans="1:214" s="83" customFormat="1" ht="33.75" customHeight="1">
      <c r="A80" s="250" t="s">
        <v>56</v>
      </c>
      <c r="B80" s="251"/>
      <c r="C80" s="249">
        <f>COUNT(A51:A79)</f>
        <v>25</v>
      </c>
      <c r="D80" s="249"/>
      <c r="E80" s="189"/>
      <c r="F80" s="190">
        <f t="shared" ref="F80:O80" si="33">SUM(F51:F79)</f>
        <v>16760.34</v>
      </c>
      <c r="G80" s="190"/>
      <c r="H80" s="190">
        <f t="shared" si="33"/>
        <v>40.553328020000002</v>
      </c>
      <c r="I80" s="190">
        <f t="shared" si="33"/>
        <v>29.472595399999999</v>
      </c>
      <c r="J80" s="190">
        <f t="shared" si="33"/>
        <v>11.24809189</v>
      </c>
      <c r="K80" s="190">
        <f t="shared" si="33"/>
        <v>9.7738803900000004</v>
      </c>
      <c r="L80" s="190">
        <f t="shared" si="33"/>
        <v>50.496567679999998</v>
      </c>
      <c r="M80" s="190">
        <f t="shared" si="33"/>
        <v>2.1653964600000002</v>
      </c>
      <c r="N80" s="190">
        <f t="shared" si="33"/>
        <v>0</v>
      </c>
      <c r="O80" s="190">
        <f t="shared" si="33"/>
        <v>23</v>
      </c>
      <c r="P80" s="190"/>
      <c r="Q80" s="190">
        <f>SUM(Q51:Q79)</f>
        <v>30.5376954</v>
      </c>
    </row>
    <row r="81" spans="1:17" s="83" customFormat="1" ht="24" customHeight="1">
      <c r="A81" s="183">
        <v>54</v>
      </c>
      <c r="B81" s="112" t="s">
        <v>163</v>
      </c>
      <c r="C81" s="112" t="s">
        <v>164</v>
      </c>
      <c r="D81" s="112" t="s">
        <v>165</v>
      </c>
      <c r="E81" s="112" t="s">
        <v>166</v>
      </c>
      <c r="F81" s="114">
        <v>218.85</v>
      </c>
      <c r="G81" s="114">
        <v>18.41</v>
      </c>
      <c r="H81" s="115">
        <f t="shared" ref="H81:H93" si="34">F81*G81/10000</f>
        <v>0.40290284999999998</v>
      </c>
      <c r="I81" s="115">
        <f>F81*15.3/10000</f>
        <v>0.33484049999999999</v>
      </c>
      <c r="J81" s="114">
        <f>F81*3.2/10000</f>
        <v>7.0031999999999997E-2</v>
      </c>
      <c r="K81" s="114">
        <f>F81*34.27/10000</f>
        <v>0.74999895000000005</v>
      </c>
      <c r="L81" s="114">
        <f t="shared" si="32"/>
        <v>1.1548714499999999</v>
      </c>
      <c r="M81" s="115">
        <f t="shared" ref="M81:M91" si="35">F81*0/10000</f>
        <v>0</v>
      </c>
      <c r="N81" s="215">
        <v>0</v>
      </c>
      <c r="O81" s="215">
        <v>0</v>
      </c>
      <c r="P81" s="114" t="s">
        <v>112</v>
      </c>
      <c r="Q81" s="114">
        <f t="shared" ref="Q81:Q93" si="36">I81</f>
        <v>0.33484049999999999</v>
      </c>
    </row>
    <row r="82" spans="1:17" s="83" customFormat="1" ht="24" customHeight="1">
      <c r="A82" s="183">
        <v>55</v>
      </c>
      <c r="B82" s="112" t="s">
        <v>167</v>
      </c>
      <c r="C82" s="112" t="s">
        <v>53</v>
      </c>
      <c r="D82" s="112" t="s">
        <v>168</v>
      </c>
      <c r="E82" s="112" t="s">
        <v>166</v>
      </c>
      <c r="F82" s="114">
        <v>1574.88</v>
      </c>
      <c r="G82" s="114">
        <v>33.03</v>
      </c>
      <c r="H82" s="115">
        <f t="shared" si="34"/>
        <v>5.2018286399999996</v>
      </c>
      <c r="I82" s="115">
        <f>F82*22.52/10000</f>
        <v>3.5466297600000001</v>
      </c>
      <c r="J82" s="114">
        <f>F82*10.48/10000</f>
        <v>1.6504742400000001</v>
      </c>
      <c r="K82" s="114">
        <f>F82*23.43/10000</f>
        <v>3.6899438400000002</v>
      </c>
      <c r="L82" s="114">
        <f t="shared" si="32"/>
        <v>8.8870478399999993</v>
      </c>
      <c r="M82" s="115">
        <f>F82*0.19/10000</f>
        <v>2.992272E-2</v>
      </c>
      <c r="N82" s="215">
        <v>0</v>
      </c>
      <c r="O82" s="215">
        <v>0</v>
      </c>
      <c r="P82" s="114" t="s">
        <v>112</v>
      </c>
      <c r="Q82" s="114">
        <f t="shared" si="36"/>
        <v>3.5466297600000001</v>
      </c>
    </row>
    <row r="83" spans="1:17" s="83" customFormat="1" ht="24" customHeight="1">
      <c r="A83" s="183">
        <v>56</v>
      </c>
      <c r="B83" s="112" t="s">
        <v>169</v>
      </c>
      <c r="C83" s="112" t="s">
        <v>170</v>
      </c>
      <c r="D83" s="112" t="s">
        <v>171</v>
      </c>
      <c r="E83" s="112" t="s">
        <v>166</v>
      </c>
      <c r="F83" s="114">
        <v>599.05999999999995</v>
      </c>
      <c r="G83" s="114">
        <v>31.29</v>
      </c>
      <c r="H83" s="115">
        <f t="shared" si="34"/>
        <v>1.8744587399999999</v>
      </c>
      <c r="I83" s="115">
        <f>F83*24.6/10000</f>
        <v>1.4736876000000001</v>
      </c>
      <c r="J83" s="114">
        <f>F83*6.68/10000</f>
        <v>0.40017207999999999</v>
      </c>
      <c r="K83" s="114">
        <f>F83*6.34/10000</f>
        <v>0.37980404000000001</v>
      </c>
      <c r="L83" s="114">
        <f t="shared" si="32"/>
        <v>2.25366372</v>
      </c>
      <c r="M83" s="115">
        <f>F83*1.67/10000</f>
        <v>0.10004302</v>
      </c>
      <c r="N83" s="215">
        <v>0</v>
      </c>
      <c r="O83" s="215">
        <v>0</v>
      </c>
      <c r="P83" s="114" t="s">
        <v>112</v>
      </c>
      <c r="Q83" s="114">
        <f t="shared" si="36"/>
        <v>1.4736876000000001</v>
      </c>
    </row>
    <row r="84" spans="1:17" s="83" customFormat="1" ht="24" customHeight="1">
      <c r="A84" s="183">
        <v>57</v>
      </c>
      <c r="B84" s="112" t="s">
        <v>172</v>
      </c>
      <c r="C84" s="112" t="s">
        <v>173</v>
      </c>
      <c r="D84" s="112" t="s">
        <v>174</v>
      </c>
      <c r="E84" s="112" t="s">
        <v>166</v>
      </c>
      <c r="F84" s="114">
        <v>419.98</v>
      </c>
      <c r="G84" s="114">
        <v>17.260000000000002</v>
      </c>
      <c r="H84" s="115">
        <f t="shared" si="34"/>
        <v>0.72488547999999997</v>
      </c>
      <c r="I84" s="115">
        <f>F84*11.06/10000</f>
        <v>0.46449787999999997</v>
      </c>
      <c r="J84" s="114">
        <f>F84*6.2/10000</f>
        <v>0.2603876</v>
      </c>
      <c r="K84" s="114">
        <f>F84*0.24/10000</f>
        <v>1.007952E-2</v>
      </c>
      <c r="L84" s="114">
        <f t="shared" si="32"/>
        <v>0.73496499999999998</v>
      </c>
      <c r="M84" s="115">
        <f>F84*14/10000</f>
        <v>0.58797200000000005</v>
      </c>
      <c r="N84" s="215">
        <v>0</v>
      </c>
      <c r="O84" s="215">
        <v>0</v>
      </c>
      <c r="P84" s="114" t="s">
        <v>112</v>
      </c>
      <c r="Q84" s="114">
        <f t="shared" si="36"/>
        <v>0.46449787999999997</v>
      </c>
    </row>
    <row r="85" spans="1:17" s="171" customFormat="1" ht="24" customHeight="1">
      <c r="A85" s="258">
        <v>58</v>
      </c>
      <c r="B85" s="235" t="s">
        <v>175</v>
      </c>
      <c r="C85" s="112" t="s">
        <v>176</v>
      </c>
      <c r="D85" s="112" t="s">
        <v>177</v>
      </c>
      <c r="E85" s="112" t="s">
        <v>166</v>
      </c>
      <c r="F85" s="114">
        <v>1177.76</v>
      </c>
      <c r="G85" s="114">
        <v>5.82</v>
      </c>
      <c r="H85" s="115">
        <f t="shared" si="34"/>
        <v>0.68545632000000001</v>
      </c>
      <c r="I85" s="115">
        <f>F85*5.7/10000</f>
        <v>0.67132320000000001</v>
      </c>
      <c r="J85" s="114">
        <f>F85*0.17/10000</f>
        <v>2.0021919999999999E-2</v>
      </c>
      <c r="K85" s="114">
        <v>0.57999999999999996</v>
      </c>
      <c r="L85" s="114">
        <f t="shared" si="32"/>
        <v>1.2713451200000001</v>
      </c>
      <c r="M85" s="115">
        <f t="shared" si="35"/>
        <v>0</v>
      </c>
      <c r="N85" s="215">
        <v>0</v>
      </c>
      <c r="O85" s="215">
        <v>0</v>
      </c>
      <c r="P85" s="114" t="s">
        <v>112</v>
      </c>
      <c r="Q85" s="114">
        <f t="shared" si="36"/>
        <v>0.67132320000000001</v>
      </c>
    </row>
    <row r="86" spans="1:17" s="171" customFormat="1" ht="24" customHeight="1">
      <c r="A86" s="258"/>
      <c r="B86" s="235"/>
      <c r="C86" s="112" t="s">
        <v>53</v>
      </c>
      <c r="D86" s="112" t="s">
        <v>178</v>
      </c>
      <c r="E86" s="112" t="s">
        <v>166</v>
      </c>
      <c r="F86" s="114">
        <v>1068.24</v>
      </c>
      <c r="G86" s="114">
        <v>7.27</v>
      </c>
      <c r="H86" s="115">
        <f t="shared" si="34"/>
        <v>0.77661047999999999</v>
      </c>
      <c r="I86" s="115">
        <f>F86*6.65/10000</f>
        <v>0.7103796</v>
      </c>
      <c r="J86" s="114">
        <f>F86*0.66/10000</f>
        <v>7.0503839999999998E-2</v>
      </c>
      <c r="K86" s="114">
        <f>F86*8.43/10000</f>
        <v>0.90052631999999999</v>
      </c>
      <c r="L86" s="114">
        <f t="shared" si="32"/>
        <v>1.68140976</v>
      </c>
      <c r="M86" s="115">
        <f t="shared" si="35"/>
        <v>0</v>
      </c>
      <c r="N86" s="215">
        <v>0</v>
      </c>
      <c r="O86" s="215">
        <v>0</v>
      </c>
      <c r="P86" s="114" t="s">
        <v>112</v>
      </c>
      <c r="Q86" s="114">
        <f t="shared" si="36"/>
        <v>0.7103796</v>
      </c>
    </row>
    <row r="87" spans="1:17" ht="17.149999999999999" customHeight="1">
      <c r="A87" s="183">
        <v>59</v>
      </c>
      <c r="B87" s="112" t="s">
        <v>131</v>
      </c>
      <c r="C87" s="112" t="s">
        <v>167</v>
      </c>
      <c r="D87" s="112" t="s">
        <v>68</v>
      </c>
      <c r="E87" s="112" t="s">
        <v>166</v>
      </c>
      <c r="F87" s="114">
        <v>1479.42</v>
      </c>
      <c r="G87" s="114">
        <v>20.14</v>
      </c>
      <c r="H87" s="115">
        <f t="shared" si="34"/>
        <v>2.9795518799999998</v>
      </c>
      <c r="I87" s="115">
        <f>F87*13.02/10000</f>
        <v>1.92620484</v>
      </c>
      <c r="J87" s="114">
        <f>F87*7.1/10000</f>
        <v>1.0503882</v>
      </c>
      <c r="K87" s="114">
        <f>F87*4.06/10000</f>
        <v>0.60064452000000002</v>
      </c>
      <c r="L87" s="114">
        <f t="shared" si="32"/>
        <v>3.5772375599999999</v>
      </c>
      <c r="M87" s="115">
        <f t="shared" si="35"/>
        <v>0</v>
      </c>
      <c r="N87" s="215">
        <v>0</v>
      </c>
      <c r="O87" s="215">
        <v>4</v>
      </c>
      <c r="P87" s="114" t="s">
        <v>112</v>
      </c>
      <c r="Q87" s="114">
        <f t="shared" si="36"/>
        <v>1.92620484</v>
      </c>
    </row>
    <row r="88" spans="1:17" ht="17.149999999999999" customHeight="1">
      <c r="A88" s="183">
        <v>60</v>
      </c>
      <c r="B88" s="112" t="s">
        <v>168</v>
      </c>
      <c r="C88" s="112" t="s">
        <v>179</v>
      </c>
      <c r="D88" s="112" t="s">
        <v>180</v>
      </c>
      <c r="E88" s="112" t="s">
        <v>166</v>
      </c>
      <c r="F88" s="114">
        <v>1158.1400000000001</v>
      </c>
      <c r="G88" s="114">
        <v>13.43</v>
      </c>
      <c r="H88" s="115">
        <f t="shared" si="34"/>
        <v>1.5553820199999999</v>
      </c>
      <c r="I88" s="115">
        <f>F88*8.35/10000</f>
        <v>0.96704690000000004</v>
      </c>
      <c r="J88" s="114">
        <f>F88*5.1/10000</f>
        <v>0.59065140000000005</v>
      </c>
      <c r="K88" s="114">
        <f>F88*11.05/10000</f>
        <v>1.2797447</v>
      </c>
      <c r="L88" s="114">
        <f t="shared" si="32"/>
        <v>2.8374429999999999</v>
      </c>
      <c r="M88" s="115">
        <f t="shared" si="35"/>
        <v>0</v>
      </c>
      <c r="N88" s="215">
        <v>0</v>
      </c>
      <c r="O88" s="215">
        <v>0</v>
      </c>
      <c r="P88" s="114" t="s">
        <v>112</v>
      </c>
      <c r="Q88" s="114">
        <f t="shared" si="36"/>
        <v>0.96704690000000004</v>
      </c>
    </row>
    <row r="89" spans="1:17" ht="19">
      <c r="A89" s="183">
        <v>61</v>
      </c>
      <c r="B89" s="112" t="s">
        <v>179</v>
      </c>
      <c r="C89" s="112" t="s">
        <v>181</v>
      </c>
      <c r="D89" s="112" t="s">
        <v>167</v>
      </c>
      <c r="E89" s="112" t="s">
        <v>166</v>
      </c>
      <c r="F89" s="114">
        <v>1267.47</v>
      </c>
      <c r="G89" s="114">
        <v>10.84</v>
      </c>
      <c r="H89" s="115">
        <f t="shared" si="34"/>
        <v>1.3739374799999999</v>
      </c>
      <c r="I89" s="115">
        <f>F89*9/10000</f>
        <v>1.1407229999999999</v>
      </c>
      <c r="J89" s="114">
        <f>F89*1.74/10000</f>
        <v>0.22053977999999999</v>
      </c>
      <c r="K89" s="114">
        <f>F89*5.68/10000</f>
        <v>0.71992296</v>
      </c>
      <c r="L89" s="114">
        <f t="shared" si="32"/>
        <v>2.08118574</v>
      </c>
      <c r="M89" s="115">
        <f t="shared" si="35"/>
        <v>0</v>
      </c>
      <c r="N89" s="215">
        <v>0</v>
      </c>
      <c r="O89" s="215">
        <v>0</v>
      </c>
      <c r="P89" s="114" t="s">
        <v>112</v>
      </c>
      <c r="Q89" s="114">
        <f t="shared" si="36"/>
        <v>1.1407229999999999</v>
      </c>
    </row>
    <row r="90" spans="1:17" ht="19">
      <c r="A90" s="183">
        <v>62</v>
      </c>
      <c r="B90" s="228" t="s">
        <v>182</v>
      </c>
      <c r="C90" s="228" t="s">
        <v>183</v>
      </c>
      <c r="D90" s="228" t="s">
        <v>184</v>
      </c>
      <c r="E90" s="228" t="s">
        <v>166</v>
      </c>
      <c r="F90" s="229">
        <v>697.14</v>
      </c>
      <c r="G90" s="230">
        <v>28.61</v>
      </c>
      <c r="H90" s="182">
        <f t="shared" si="34"/>
        <v>1.9945175399999999</v>
      </c>
      <c r="I90" s="182">
        <f>F90*17.3/10000</f>
        <v>1.2060522</v>
      </c>
      <c r="J90" s="182">
        <f>F90*11.2/10000</f>
        <v>0.78079679999999996</v>
      </c>
      <c r="K90" s="182">
        <f>F90*10.04/10000</f>
        <v>0.69992856000000003</v>
      </c>
      <c r="L90" s="182">
        <f t="shared" si="32"/>
        <v>2.6867775599999999</v>
      </c>
      <c r="M90" s="182">
        <f t="shared" si="35"/>
        <v>0</v>
      </c>
      <c r="N90" s="96">
        <v>0</v>
      </c>
      <c r="O90" s="217">
        <v>5</v>
      </c>
      <c r="P90" s="234" t="s">
        <v>112</v>
      </c>
      <c r="Q90" s="224">
        <f t="shared" si="36"/>
        <v>1.2060522</v>
      </c>
    </row>
    <row r="91" spans="1:17" ht="20.149999999999999" customHeight="1">
      <c r="A91" s="183">
        <v>63</v>
      </c>
      <c r="B91" s="228" t="s">
        <v>159</v>
      </c>
      <c r="C91" s="228" t="s">
        <v>185</v>
      </c>
      <c r="D91" s="228" t="s">
        <v>101</v>
      </c>
      <c r="E91" s="228" t="s">
        <v>166</v>
      </c>
      <c r="F91" s="229">
        <v>504.87</v>
      </c>
      <c r="G91" s="230">
        <v>24.89</v>
      </c>
      <c r="H91" s="182">
        <f t="shared" si="34"/>
        <v>1.25662143</v>
      </c>
      <c r="I91" s="182">
        <f>F91*19.21/10000</f>
        <v>0.96985527000000005</v>
      </c>
      <c r="J91" s="182">
        <f>F91*5.74/10000</f>
        <v>0.28979537999999999</v>
      </c>
      <c r="K91" s="182">
        <f>F91*2.5/10000</f>
        <v>0.12621750000000001</v>
      </c>
      <c r="L91" s="182">
        <f t="shared" si="32"/>
        <v>1.3858681500000001</v>
      </c>
      <c r="M91" s="182">
        <f t="shared" si="35"/>
        <v>0</v>
      </c>
      <c r="N91" s="96">
        <v>0</v>
      </c>
      <c r="O91" s="217">
        <v>0</v>
      </c>
      <c r="P91" s="234" t="s">
        <v>112</v>
      </c>
      <c r="Q91" s="224">
        <f t="shared" si="36"/>
        <v>0.96985527000000005</v>
      </c>
    </row>
    <row r="92" spans="1:17" ht="20.149999999999999" customHeight="1">
      <c r="A92" s="253">
        <v>64</v>
      </c>
      <c r="B92" s="280" t="s">
        <v>136</v>
      </c>
      <c r="C92" s="197" t="s">
        <v>186</v>
      </c>
      <c r="D92" s="197" t="s">
        <v>187</v>
      </c>
      <c r="E92" s="112" t="s">
        <v>166</v>
      </c>
      <c r="F92" s="128">
        <v>785</v>
      </c>
      <c r="G92" s="128">
        <v>12.5</v>
      </c>
      <c r="H92" s="166">
        <f t="shared" si="34"/>
        <v>0.98124999999999996</v>
      </c>
      <c r="I92" s="166">
        <f>F92*10/10000</f>
        <v>0.78500000000000003</v>
      </c>
      <c r="J92" s="166">
        <f>F92*2.5/10000</f>
        <v>0.19625000000000001</v>
      </c>
      <c r="K92" s="166">
        <f>F92*(3+6)/10000</f>
        <v>0.70650000000000002</v>
      </c>
      <c r="L92" s="166">
        <f t="shared" si="32"/>
        <v>1.6877500000000001</v>
      </c>
      <c r="M92" s="166">
        <f>72*2/10000</f>
        <v>1.44E-2</v>
      </c>
      <c r="N92" s="215">
        <v>0</v>
      </c>
      <c r="O92" s="215">
        <v>0</v>
      </c>
      <c r="P92" s="114" t="s">
        <v>112</v>
      </c>
      <c r="Q92" s="114">
        <f t="shared" si="36"/>
        <v>0.78500000000000003</v>
      </c>
    </row>
    <row r="93" spans="1:17" ht="19" customHeight="1">
      <c r="A93" s="255"/>
      <c r="B93" s="281"/>
      <c r="C93" s="252" t="s">
        <v>186</v>
      </c>
      <c r="D93" s="252"/>
      <c r="E93" s="112" t="s">
        <v>166</v>
      </c>
      <c r="F93" s="128">
        <v>38</v>
      </c>
      <c r="G93" s="128">
        <v>16</v>
      </c>
      <c r="H93" s="166">
        <f t="shared" si="34"/>
        <v>6.08E-2</v>
      </c>
      <c r="I93" s="166">
        <f>F93*10/10000</f>
        <v>3.7999999999999999E-2</v>
      </c>
      <c r="J93" s="166">
        <f>F93*(3+3)/10000</f>
        <v>2.2800000000000001E-2</v>
      </c>
      <c r="K93" s="166">
        <f>F93*0/10000</f>
        <v>0</v>
      </c>
      <c r="L93" s="166">
        <f t="shared" si="32"/>
        <v>6.08E-2</v>
      </c>
      <c r="M93" s="166">
        <v>0</v>
      </c>
      <c r="N93" s="215">
        <v>0</v>
      </c>
      <c r="O93" s="215">
        <v>0</v>
      </c>
      <c r="P93" s="114" t="s">
        <v>112</v>
      </c>
      <c r="Q93" s="114">
        <f t="shared" si="36"/>
        <v>3.7999999999999999E-2</v>
      </c>
    </row>
    <row r="94" spans="1:17" ht="24" customHeight="1">
      <c r="A94" s="242" t="s">
        <v>56</v>
      </c>
      <c r="B94" s="242"/>
      <c r="C94" s="243">
        <f>COUNT(A81:A93)</f>
        <v>11</v>
      </c>
      <c r="D94" s="242"/>
      <c r="E94" s="189"/>
      <c r="F94" s="190">
        <f t="shared" ref="F94:O94" si="37">SUM(F81:F93)</f>
        <v>10988.81</v>
      </c>
      <c r="G94" s="190"/>
      <c r="H94" s="190">
        <f t="shared" si="37"/>
        <v>19.86820286</v>
      </c>
      <c r="I94" s="190">
        <f t="shared" si="37"/>
        <v>14.23424075</v>
      </c>
      <c r="J94" s="190">
        <f t="shared" si="37"/>
        <v>5.6228132400000002</v>
      </c>
      <c r="K94" s="190">
        <f t="shared" si="37"/>
        <v>10.443310909999999</v>
      </c>
      <c r="L94" s="190">
        <f t="shared" si="37"/>
        <v>30.300364900000002</v>
      </c>
      <c r="M94" s="190">
        <f t="shared" si="37"/>
        <v>0.73233773999999996</v>
      </c>
      <c r="N94" s="190">
        <f t="shared" si="37"/>
        <v>0</v>
      </c>
      <c r="O94" s="190">
        <f t="shared" si="37"/>
        <v>9</v>
      </c>
      <c r="P94" s="190"/>
      <c r="Q94" s="190">
        <f>SUM(Q81:Q93)</f>
        <v>14.23424075</v>
      </c>
    </row>
    <row r="95" spans="1:17" ht="25" customHeight="1">
      <c r="A95" s="242" t="s">
        <v>188</v>
      </c>
      <c r="B95" s="242"/>
      <c r="C95" s="249">
        <f>C94+C80+C50+C22</f>
        <v>64</v>
      </c>
      <c r="D95" s="249"/>
      <c r="E95" s="189"/>
      <c r="F95" s="190">
        <f t="shared" ref="F95:O95" si="38">F22+F50+F80+F94</f>
        <v>67418.5</v>
      </c>
      <c r="G95" s="190"/>
      <c r="H95" s="190">
        <f t="shared" si="38"/>
        <v>190.12408224000001</v>
      </c>
      <c r="I95" s="190">
        <f t="shared" si="38"/>
        <v>147.89067854000001</v>
      </c>
      <c r="J95" s="190">
        <f t="shared" si="38"/>
        <v>42.402912120000003</v>
      </c>
      <c r="K95" s="190">
        <f t="shared" si="38"/>
        <v>47.457634949999999</v>
      </c>
      <c r="L95" s="190">
        <f t="shared" si="38"/>
        <v>237.86962561000001</v>
      </c>
      <c r="M95" s="190">
        <f t="shared" si="38"/>
        <v>9.7477394499999992</v>
      </c>
      <c r="N95" s="203">
        <f t="shared" si="38"/>
        <v>5</v>
      </c>
      <c r="O95" s="203">
        <f t="shared" si="38"/>
        <v>210</v>
      </c>
      <c r="P95" s="190"/>
      <c r="Q95" s="190">
        <f>Q22+Q50+Q80+Q94</f>
        <v>144.90666654</v>
      </c>
    </row>
  </sheetData>
  <mergeCells count="61">
    <mergeCell ref="D38:D39"/>
    <mergeCell ref="E11:E12"/>
    <mergeCell ref="E57:E58"/>
    <mergeCell ref="E62:E63"/>
    <mergeCell ref="B62:B63"/>
    <mergeCell ref="B69:B70"/>
    <mergeCell ref="B85:B86"/>
    <mergeCell ref="B92:B93"/>
    <mergeCell ref="C38:C39"/>
    <mergeCell ref="A69:A70"/>
    <mergeCell ref="A85:A86"/>
    <mergeCell ref="A92:A93"/>
    <mergeCell ref="B2:B5"/>
    <mergeCell ref="B6:B7"/>
    <mergeCell ref="B8:B9"/>
    <mergeCell ref="B11:B12"/>
    <mergeCell ref="B17:B18"/>
    <mergeCell ref="B20:B21"/>
    <mergeCell ref="B23:B24"/>
    <mergeCell ref="B26:B30"/>
    <mergeCell ref="B36:B40"/>
    <mergeCell ref="B44:B45"/>
    <mergeCell ref="B47:B48"/>
    <mergeCell ref="B52:B53"/>
    <mergeCell ref="B57:B58"/>
    <mergeCell ref="A95:B95"/>
    <mergeCell ref="C95:D95"/>
    <mergeCell ref="A2:A5"/>
    <mergeCell ref="A6:A7"/>
    <mergeCell ref="A8:A9"/>
    <mergeCell ref="A11:A12"/>
    <mergeCell ref="A17:A18"/>
    <mergeCell ref="A20:A21"/>
    <mergeCell ref="A23:A24"/>
    <mergeCell ref="A26:A30"/>
    <mergeCell ref="A36:A40"/>
    <mergeCell ref="A44:A45"/>
    <mergeCell ref="A47:A48"/>
    <mergeCell ref="A52:A53"/>
    <mergeCell ref="A57:A58"/>
    <mergeCell ref="A62:A63"/>
    <mergeCell ref="A80:B80"/>
    <mergeCell ref="C80:D80"/>
    <mergeCell ref="C93:D93"/>
    <mergeCell ref="A94:B94"/>
    <mergeCell ref="C94:D94"/>
    <mergeCell ref="C45:D45"/>
    <mergeCell ref="C48:D48"/>
    <mergeCell ref="A50:B50"/>
    <mergeCell ref="C50:D50"/>
    <mergeCell ref="C53:D53"/>
    <mergeCell ref="A22:B22"/>
    <mergeCell ref="C22:D22"/>
    <mergeCell ref="C24:D24"/>
    <mergeCell ref="C28:D28"/>
    <mergeCell ref="C29:D29"/>
    <mergeCell ref="C3:D3"/>
    <mergeCell ref="C4:D4"/>
    <mergeCell ref="C5:D5"/>
    <mergeCell ref="C9:D9"/>
    <mergeCell ref="C18:D18"/>
  </mergeCells>
  <phoneticPr fontId="2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4"/>
  <sheetViews>
    <sheetView topLeftCell="A177" workbookViewId="0">
      <selection activeCell="F190" sqref="F190"/>
    </sheetView>
  </sheetViews>
  <sheetFormatPr defaultColWidth="8.7265625" defaultRowHeight="9.5"/>
  <cols>
    <col min="1" max="1" width="5.7265625" style="88" customWidth="1"/>
    <col min="2" max="2" width="13" style="89" customWidth="1"/>
    <col min="3" max="3" width="17" style="89" customWidth="1"/>
    <col min="4" max="4" width="14.7265625" style="89" customWidth="1"/>
    <col min="5" max="5" width="9.7265625" style="89" customWidth="1"/>
    <col min="6" max="6" width="8.6328125" style="88" customWidth="1"/>
    <col min="7" max="7" width="6.453125" style="88" customWidth="1"/>
    <col min="8" max="8" width="6.7265625" style="90" customWidth="1"/>
    <col min="9" max="9" width="7.26953125" style="90" customWidth="1"/>
    <col min="10" max="10" width="7.453125" style="90" customWidth="1"/>
    <col min="11" max="11" width="8.7265625" style="90" customWidth="1"/>
    <col min="12" max="12" width="6.7265625" style="90" customWidth="1"/>
    <col min="13" max="13" width="9" style="90" customWidth="1"/>
    <col min="14" max="16384" width="8.7265625" style="88"/>
  </cols>
  <sheetData>
    <row r="1" spans="1:13" ht="35" customHeight="1">
      <c r="A1" s="91" t="s">
        <v>0</v>
      </c>
      <c r="B1" s="91" t="s">
        <v>189</v>
      </c>
      <c r="C1" s="91" t="s">
        <v>190</v>
      </c>
      <c r="D1" s="91" t="s">
        <v>191</v>
      </c>
      <c r="E1" s="92" t="s">
        <v>4</v>
      </c>
      <c r="F1" s="93" t="s">
        <v>192</v>
      </c>
      <c r="G1" s="94" t="s">
        <v>193</v>
      </c>
      <c r="H1" s="94" t="s">
        <v>194</v>
      </c>
      <c r="I1" s="94" t="s">
        <v>195</v>
      </c>
      <c r="J1" s="94" t="s">
        <v>196</v>
      </c>
      <c r="K1" s="94" t="s">
        <v>197</v>
      </c>
      <c r="L1" s="94" t="s">
        <v>198</v>
      </c>
      <c r="M1" s="94" t="s">
        <v>199</v>
      </c>
    </row>
    <row r="2" spans="1:13" ht="21" customHeight="1">
      <c r="A2" s="95">
        <f>MAX($A$1:A1)+1</f>
        <v>1</v>
      </c>
      <c r="B2" s="96" t="s">
        <v>200</v>
      </c>
      <c r="C2" s="97" t="s">
        <v>201</v>
      </c>
      <c r="D2" s="98" t="s">
        <v>202</v>
      </c>
      <c r="E2" s="287" t="s">
        <v>203</v>
      </c>
      <c r="F2" s="95">
        <v>500</v>
      </c>
      <c r="G2" s="95">
        <v>9</v>
      </c>
      <c r="H2" s="100">
        <f t="shared" ref="H2:H60" si="0">F2*G2/10000</f>
        <v>0.45</v>
      </c>
      <c r="I2" s="100">
        <f>F2*9/10000</f>
        <v>0.45</v>
      </c>
      <c r="J2" s="103">
        <f t="shared" ref="J2:J8" si="1">F2*0/10000</f>
        <v>0</v>
      </c>
      <c r="K2" s="103">
        <f t="shared" ref="K2:K26" si="2">F2*0/10000</f>
        <v>0</v>
      </c>
      <c r="L2" s="103">
        <f t="shared" ref="L2:L26" si="3">SUM(I2:K2)</f>
        <v>0.45</v>
      </c>
      <c r="M2" s="105">
        <f t="shared" ref="M2:M47" si="4">F2*0/10000</f>
        <v>0</v>
      </c>
    </row>
    <row r="3" spans="1:13" ht="21" customHeight="1">
      <c r="A3" s="295">
        <f>MAX($A$1:A2)+1</f>
        <v>2</v>
      </c>
      <c r="B3" s="267" t="s">
        <v>204</v>
      </c>
      <c r="C3" s="97" t="s">
        <v>201</v>
      </c>
      <c r="D3" s="98" t="s">
        <v>53</v>
      </c>
      <c r="E3" s="287"/>
      <c r="F3" s="95">
        <v>800</v>
      </c>
      <c r="G3" s="95">
        <v>20</v>
      </c>
      <c r="H3" s="100">
        <f t="shared" si="0"/>
        <v>1.6</v>
      </c>
      <c r="I3" s="100">
        <f>F3*20/10000</f>
        <v>1.6</v>
      </c>
      <c r="J3" s="103">
        <f t="shared" si="1"/>
        <v>0</v>
      </c>
      <c r="K3" s="103">
        <f t="shared" si="2"/>
        <v>0</v>
      </c>
      <c r="L3" s="103">
        <f t="shared" si="3"/>
        <v>1.6</v>
      </c>
      <c r="M3" s="105">
        <f t="shared" si="4"/>
        <v>0</v>
      </c>
    </row>
    <row r="4" spans="1:13" ht="21" customHeight="1">
      <c r="A4" s="295"/>
      <c r="B4" s="270"/>
      <c r="C4" s="284" t="s">
        <v>205</v>
      </c>
      <c r="D4" s="285"/>
      <c r="E4" s="287"/>
      <c r="F4" s="95">
        <v>360</v>
      </c>
      <c r="G4" s="95">
        <v>7</v>
      </c>
      <c r="H4" s="100">
        <f t="shared" si="0"/>
        <v>0.252</v>
      </c>
      <c r="I4" s="100">
        <f>F4*7/10000</f>
        <v>0.252</v>
      </c>
      <c r="J4" s="103">
        <f t="shared" si="1"/>
        <v>0</v>
      </c>
      <c r="K4" s="103">
        <f t="shared" si="2"/>
        <v>0</v>
      </c>
      <c r="L4" s="103">
        <f t="shared" si="3"/>
        <v>0.252</v>
      </c>
      <c r="M4" s="105">
        <f t="shared" si="4"/>
        <v>0</v>
      </c>
    </row>
    <row r="5" spans="1:13" ht="39.75" customHeight="1">
      <c r="A5" s="295">
        <f>MAX($A$1:A4)+1</f>
        <v>3</v>
      </c>
      <c r="B5" s="267" t="s">
        <v>206</v>
      </c>
      <c r="C5" s="97" t="s">
        <v>207</v>
      </c>
      <c r="D5" s="98" t="s">
        <v>208</v>
      </c>
      <c r="E5" s="287"/>
      <c r="F5" s="95">
        <v>500</v>
      </c>
      <c r="G5" s="95">
        <v>20</v>
      </c>
      <c r="H5" s="100">
        <f t="shared" si="0"/>
        <v>1</v>
      </c>
      <c r="I5" s="100">
        <f>F5*14/10000</f>
        <v>0.7</v>
      </c>
      <c r="J5" s="103">
        <f>F5*6/10000</f>
        <v>0.3</v>
      </c>
      <c r="K5" s="103">
        <f t="shared" si="2"/>
        <v>0</v>
      </c>
      <c r="L5" s="103">
        <f t="shared" si="3"/>
        <v>1</v>
      </c>
      <c r="M5" s="105">
        <f t="shared" si="4"/>
        <v>0</v>
      </c>
    </row>
    <row r="6" spans="1:13" ht="21" customHeight="1">
      <c r="A6" s="295"/>
      <c r="B6" s="268"/>
      <c r="C6" s="284" t="s">
        <v>209</v>
      </c>
      <c r="D6" s="285"/>
      <c r="E6" s="287"/>
      <c r="F6" s="95">
        <v>160</v>
      </c>
      <c r="G6" s="95">
        <v>4</v>
      </c>
      <c r="H6" s="100">
        <f t="shared" si="0"/>
        <v>6.4000000000000001E-2</v>
      </c>
      <c r="I6" s="100">
        <f>F6*4/10000</f>
        <v>6.4000000000000001E-2</v>
      </c>
      <c r="J6" s="103">
        <f t="shared" si="1"/>
        <v>0</v>
      </c>
      <c r="K6" s="103">
        <f t="shared" si="2"/>
        <v>0</v>
      </c>
      <c r="L6" s="103">
        <f t="shared" si="3"/>
        <v>6.4000000000000001E-2</v>
      </c>
      <c r="M6" s="105">
        <f t="shared" si="4"/>
        <v>0</v>
      </c>
    </row>
    <row r="7" spans="1:13" ht="21" customHeight="1">
      <c r="A7" s="295">
        <f>MAX($A$1:A6)+1</f>
        <v>4</v>
      </c>
      <c r="B7" s="284" t="s">
        <v>210</v>
      </c>
      <c r="C7" s="97" t="s">
        <v>52</v>
      </c>
      <c r="D7" s="98" t="s">
        <v>211</v>
      </c>
      <c r="E7" s="287"/>
      <c r="F7" s="95">
        <v>400</v>
      </c>
      <c r="G7" s="95">
        <v>15</v>
      </c>
      <c r="H7" s="100">
        <f t="shared" si="0"/>
        <v>0.6</v>
      </c>
      <c r="I7" s="100">
        <f>F7*15/10000</f>
        <v>0.6</v>
      </c>
      <c r="J7" s="103">
        <f t="shared" si="1"/>
        <v>0</v>
      </c>
      <c r="K7" s="103">
        <f t="shared" si="2"/>
        <v>0</v>
      </c>
      <c r="L7" s="103">
        <f t="shared" si="3"/>
        <v>0.6</v>
      </c>
      <c r="M7" s="105">
        <f t="shared" si="4"/>
        <v>0</v>
      </c>
    </row>
    <row r="8" spans="1:13" ht="21" customHeight="1">
      <c r="A8" s="295"/>
      <c r="B8" s="284"/>
      <c r="C8" s="284" t="s">
        <v>212</v>
      </c>
      <c r="D8" s="285"/>
      <c r="E8" s="287"/>
      <c r="F8" s="95">
        <v>20</v>
      </c>
      <c r="G8" s="95">
        <v>5</v>
      </c>
      <c r="H8" s="100">
        <f t="shared" si="0"/>
        <v>0.01</v>
      </c>
      <c r="I8" s="100">
        <f t="shared" ref="I8:I12" si="5">F8*5/10000</f>
        <v>0.01</v>
      </c>
      <c r="J8" s="103">
        <f t="shared" si="1"/>
        <v>0</v>
      </c>
      <c r="K8" s="103">
        <f t="shared" si="2"/>
        <v>0</v>
      </c>
      <c r="L8" s="103">
        <f t="shared" si="3"/>
        <v>0.01</v>
      </c>
      <c r="M8" s="105">
        <f t="shared" si="4"/>
        <v>0</v>
      </c>
    </row>
    <row r="9" spans="1:13" ht="19">
      <c r="A9" s="295">
        <f>MAX($A$1:A8)+1</f>
        <v>5</v>
      </c>
      <c r="B9" s="284" t="s">
        <v>213</v>
      </c>
      <c r="C9" s="97" t="s">
        <v>214</v>
      </c>
      <c r="D9" s="98" t="s">
        <v>215</v>
      </c>
      <c r="E9" s="287"/>
      <c r="F9" s="95">
        <v>700</v>
      </c>
      <c r="G9" s="95">
        <v>17.5</v>
      </c>
      <c r="H9" s="100">
        <f t="shared" si="0"/>
        <v>1.2250000000000001</v>
      </c>
      <c r="I9" s="100">
        <f>F9*9/10000</f>
        <v>0.63</v>
      </c>
      <c r="J9" s="103">
        <f>F9*8.5/10000</f>
        <v>0.59499999999999997</v>
      </c>
      <c r="K9" s="103">
        <f t="shared" si="2"/>
        <v>0</v>
      </c>
      <c r="L9" s="103">
        <f t="shared" si="3"/>
        <v>1.2250000000000001</v>
      </c>
      <c r="M9" s="105">
        <f t="shared" si="4"/>
        <v>0</v>
      </c>
    </row>
    <row r="10" spans="1:13" ht="21" customHeight="1">
      <c r="A10" s="295"/>
      <c r="B10" s="284"/>
      <c r="C10" s="284" t="s">
        <v>216</v>
      </c>
      <c r="D10" s="285"/>
      <c r="E10" s="287"/>
      <c r="F10" s="95">
        <v>280</v>
      </c>
      <c r="G10" s="95">
        <v>5</v>
      </c>
      <c r="H10" s="100">
        <f t="shared" si="0"/>
        <v>0.14000000000000001</v>
      </c>
      <c r="I10" s="100">
        <f t="shared" si="5"/>
        <v>0.14000000000000001</v>
      </c>
      <c r="J10" s="103">
        <f t="shared" ref="J10:J18" si="6">F10*0/10000</f>
        <v>0</v>
      </c>
      <c r="K10" s="103">
        <f t="shared" si="2"/>
        <v>0</v>
      </c>
      <c r="L10" s="103">
        <f t="shared" si="3"/>
        <v>0.14000000000000001</v>
      </c>
      <c r="M10" s="105">
        <f t="shared" si="4"/>
        <v>0</v>
      </c>
    </row>
    <row r="11" spans="1:13" ht="47.25" customHeight="1">
      <c r="A11" s="295">
        <f>MAX($A$1:A10)+1</f>
        <v>6</v>
      </c>
      <c r="B11" s="284" t="s">
        <v>217</v>
      </c>
      <c r="C11" s="97" t="s">
        <v>218</v>
      </c>
      <c r="D11" s="98" t="s">
        <v>219</v>
      </c>
      <c r="E11" s="287"/>
      <c r="F11" s="95">
        <v>900</v>
      </c>
      <c r="G11" s="95">
        <v>21</v>
      </c>
      <c r="H11" s="100">
        <f t="shared" si="0"/>
        <v>1.89</v>
      </c>
      <c r="I11" s="100">
        <f>F11*15/10000</f>
        <v>1.35</v>
      </c>
      <c r="J11" s="103">
        <f>F11*6/10000</f>
        <v>0.54</v>
      </c>
      <c r="K11" s="103">
        <f t="shared" si="2"/>
        <v>0</v>
      </c>
      <c r="L11" s="103">
        <f t="shared" si="3"/>
        <v>1.89</v>
      </c>
      <c r="M11" s="105">
        <f t="shared" si="4"/>
        <v>0</v>
      </c>
    </row>
    <row r="12" spans="1:13" ht="21" customHeight="1">
      <c r="A12" s="295"/>
      <c r="B12" s="284"/>
      <c r="C12" s="284" t="s">
        <v>220</v>
      </c>
      <c r="D12" s="285"/>
      <c r="E12" s="287"/>
      <c r="F12" s="95">
        <v>40</v>
      </c>
      <c r="G12" s="95">
        <v>5</v>
      </c>
      <c r="H12" s="100">
        <f t="shared" si="0"/>
        <v>0.02</v>
      </c>
      <c r="I12" s="100">
        <f t="shared" si="5"/>
        <v>0.02</v>
      </c>
      <c r="J12" s="103">
        <f t="shared" si="6"/>
        <v>0</v>
      </c>
      <c r="K12" s="103">
        <f t="shared" si="2"/>
        <v>0</v>
      </c>
      <c r="L12" s="103">
        <f t="shared" si="3"/>
        <v>0.02</v>
      </c>
      <c r="M12" s="105">
        <f t="shared" si="4"/>
        <v>0</v>
      </c>
    </row>
    <row r="13" spans="1:13" ht="21" customHeight="1">
      <c r="A13" s="295">
        <f>MAX($A$1:A12)+1</f>
        <v>7</v>
      </c>
      <c r="B13" s="267" t="s">
        <v>221</v>
      </c>
      <c r="C13" s="285" t="s">
        <v>222</v>
      </c>
      <c r="D13" s="286"/>
      <c r="E13" s="287"/>
      <c r="F13" s="95">
        <v>500</v>
      </c>
      <c r="G13" s="95">
        <v>17.8</v>
      </c>
      <c r="H13" s="100">
        <f t="shared" si="0"/>
        <v>0.89</v>
      </c>
      <c r="I13" s="100">
        <f>F13*15/10000</f>
        <v>0.75</v>
      </c>
      <c r="J13" s="103">
        <f>400*3.5/10000</f>
        <v>0.14000000000000001</v>
      </c>
      <c r="K13" s="103">
        <f t="shared" si="2"/>
        <v>0</v>
      </c>
      <c r="L13" s="103">
        <f t="shared" si="3"/>
        <v>0.89</v>
      </c>
      <c r="M13" s="105">
        <f t="shared" si="4"/>
        <v>0</v>
      </c>
    </row>
    <row r="14" spans="1:13" ht="21" customHeight="1">
      <c r="A14" s="295"/>
      <c r="B14" s="270"/>
      <c r="C14" s="284" t="s">
        <v>223</v>
      </c>
      <c r="D14" s="285"/>
      <c r="E14" s="287"/>
      <c r="F14" s="95">
        <v>80</v>
      </c>
      <c r="G14" s="95">
        <v>5</v>
      </c>
      <c r="H14" s="100">
        <f t="shared" si="0"/>
        <v>0.04</v>
      </c>
      <c r="I14" s="100">
        <f>F14*5/10000</f>
        <v>0.04</v>
      </c>
      <c r="J14" s="103">
        <f t="shared" si="6"/>
        <v>0</v>
      </c>
      <c r="K14" s="103">
        <f t="shared" si="2"/>
        <v>0</v>
      </c>
      <c r="L14" s="103">
        <f t="shared" si="3"/>
        <v>0.04</v>
      </c>
      <c r="M14" s="105">
        <f t="shared" si="4"/>
        <v>0</v>
      </c>
    </row>
    <row r="15" spans="1:13" ht="35.25" customHeight="1">
      <c r="A15" s="95">
        <f>MAX($A$1:A14)+1</f>
        <v>8</v>
      </c>
      <c r="B15" s="96" t="s">
        <v>224</v>
      </c>
      <c r="C15" s="97" t="s">
        <v>225</v>
      </c>
      <c r="D15" s="98" t="s">
        <v>226</v>
      </c>
      <c r="E15" s="287"/>
      <c r="F15" s="95">
        <v>310</v>
      </c>
      <c r="G15" s="95">
        <v>9</v>
      </c>
      <c r="H15" s="100">
        <f t="shared" si="0"/>
        <v>0.27900000000000003</v>
      </c>
      <c r="I15" s="100">
        <f>F15*9/10000</f>
        <v>0.27900000000000003</v>
      </c>
      <c r="J15" s="103">
        <f t="shared" si="6"/>
        <v>0</v>
      </c>
      <c r="K15" s="103">
        <f t="shared" si="2"/>
        <v>0</v>
      </c>
      <c r="L15" s="103">
        <f t="shared" si="3"/>
        <v>0.27900000000000003</v>
      </c>
      <c r="M15" s="105">
        <f t="shared" si="4"/>
        <v>0</v>
      </c>
    </row>
    <row r="16" spans="1:13" ht="31" customHeight="1">
      <c r="A16" s="95">
        <f>MAX($A$1:A15)+1</f>
        <v>9</v>
      </c>
      <c r="B16" s="96" t="s">
        <v>227</v>
      </c>
      <c r="C16" s="97" t="s">
        <v>228</v>
      </c>
      <c r="D16" s="98" t="s">
        <v>229</v>
      </c>
      <c r="E16" s="287"/>
      <c r="F16" s="95">
        <v>120</v>
      </c>
      <c r="G16" s="95">
        <v>5</v>
      </c>
      <c r="H16" s="100">
        <f t="shared" si="0"/>
        <v>0.06</v>
      </c>
      <c r="I16" s="100">
        <f>F16*5/10000</f>
        <v>0.06</v>
      </c>
      <c r="J16" s="103">
        <f t="shared" si="6"/>
        <v>0</v>
      </c>
      <c r="K16" s="103">
        <f t="shared" si="2"/>
        <v>0</v>
      </c>
      <c r="L16" s="103">
        <f t="shared" si="3"/>
        <v>0.06</v>
      </c>
      <c r="M16" s="105">
        <f t="shared" si="4"/>
        <v>0</v>
      </c>
    </row>
    <row r="17" spans="1:13" ht="40.5" customHeight="1">
      <c r="A17" s="95">
        <f>MAX($A$1:A16)+1</f>
        <v>10</v>
      </c>
      <c r="B17" s="96" t="s">
        <v>230</v>
      </c>
      <c r="C17" s="97" t="s">
        <v>231</v>
      </c>
      <c r="D17" s="101" t="s">
        <v>232</v>
      </c>
      <c r="E17" s="287"/>
      <c r="F17" s="95">
        <v>80</v>
      </c>
      <c r="G17" s="95">
        <v>7</v>
      </c>
      <c r="H17" s="100">
        <f t="shared" si="0"/>
        <v>5.6000000000000001E-2</v>
      </c>
      <c r="I17" s="100">
        <f t="shared" ref="I17:I19" si="7">F17*7/10000</f>
        <v>5.6000000000000001E-2</v>
      </c>
      <c r="J17" s="103">
        <f t="shared" si="6"/>
        <v>0</v>
      </c>
      <c r="K17" s="103">
        <f t="shared" si="2"/>
        <v>0</v>
      </c>
      <c r="L17" s="103">
        <f t="shared" si="3"/>
        <v>5.6000000000000001E-2</v>
      </c>
      <c r="M17" s="105">
        <f t="shared" si="4"/>
        <v>0</v>
      </c>
    </row>
    <row r="18" spans="1:13" ht="33" customHeight="1">
      <c r="A18" s="95">
        <f>MAX($A$1:A17)+1</f>
        <v>11</v>
      </c>
      <c r="B18" s="96" t="s">
        <v>233</v>
      </c>
      <c r="C18" s="97" t="s">
        <v>234</v>
      </c>
      <c r="D18" s="101" t="s">
        <v>235</v>
      </c>
      <c r="E18" s="287"/>
      <c r="F18" s="95">
        <v>20</v>
      </c>
      <c r="G18" s="95">
        <v>7</v>
      </c>
      <c r="H18" s="100">
        <f t="shared" si="0"/>
        <v>1.4E-2</v>
      </c>
      <c r="I18" s="100">
        <f t="shared" si="7"/>
        <v>1.4E-2</v>
      </c>
      <c r="J18" s="103">
        <f t="shared" si="6"/>
        <v>0</v>
      </c>
      <c r="K18" s="103">
        <f t="shared" si="2"/>
        <v>0</v>
      </c>
      <c r="L18" s="103">
        <f t="shared" si="3"/>
        <v>1.4E-2</v>
      </c>
      <c r="M18" s="105">
        <f t="shared" si="4"/>
        <v>0</v>
      </c>
    </row>
    <row r="19" spans="1:13" ht="21" customHeight="1">
      <c r="A19" s="295">
        <f>MAX($A$1:A18)+1</f>
        <v>12</v>
      </c>
      <c r="B19" s="284" t="s">
        <v>236</v>
      </c>
      <c r="C19" s="97" t="s">
        <v>237</v>
      </c>
      <c r="D19" s="98" t="s">
        <v>238</v>
      </c>
      <c r="E19" s="287"/>
      <c r="F19" s="95">
        <v>650</v>
      </c>
      <c r="G19" s="95">
        <v>10.69</v>
      </c>
      <c r="H19" s="103">
        <f t="shared" si="0"/>
        <v>0.69484999999999997</v>
      </c>
      <c r="I19" s="100">
        <f t="shared" si="7"/>
        <v>0.45500000000000002</v>
      </c>
      <c r="J19" s="103">
        <f>600*4/10000</f>
        <v>0.24</v>
      </c>
      <c r="K19" s="103">
        <f t="shared" si="2"/>
        <v>0</v>
      </c>
      <c r="L19" s="103">
        <f t="shared" si="3"/>
        <v>0.69499999999999995</v>
      </c>
      <c r="M19" s="105">
        <f t="shared" si="4"/>
        <v>0</v>
      </c>
    </row>
    <row r="20" spans="1:13" ht="21" customHeight="1">
      <c r="A20" s="295"/>
      <c r="B20" s="284"/>
      <c r="C20" s="284" t="s">
        <v>239</v>
      </c>
      <c r="D20" s="285"/>
      <c r="E20" s="287"/>
      <c r="F20" s="95">
        <v>140</v>
      </c>
      <c r="G20" s="95">
        <v>4.5</v>
      </c>
      <c r="H20" s="103">
        <f t="shared" si="0"/>
        <v>6.3E-2</v>
      </c>
      <c r="I20" s="100">
        <f>F20*4.5/10000</f>
        <v>6.3E-2</v>
      </c>
      <c r="J20" s="103">
        <f t="shared" ref="J20:J22" si="8">F20*0/10000</f>
        <v>0</v>
      </c>
      <c r="K20" s="103">
        <f t="shared" si="2"/>
        <v>0</v>
      </c>
      <c r="L20" s="103">
        <f t="shared" si="3"/>
        <v>6.3E-2</v>
      </c>
      <c r="M20" s="105">
        <f t="shared" si="4"/>
        <v>0</v>
      </c>
    </row>
    <row r="21" spans="1:13" ht="21" customHeight="1">
      <c r="A21" s="295">
        <f>MAX($A$1:A20)+1</f>
        <v>13</v>
      </c>
      <c r="B21" s="284" t="s">
        <v>240</v>
      </c>
      <c r="C21" s="97" t="s">
        <v>241</v>
      </c>
      <c r="D21" s="98" t="s">
        <v>242</v>
      </c>
      <c r="E21" s="287"/>
      <c r="F21" s="95">
        <v>400</v>
      </c>
      <c r="G21" s="95">
        <v>8</v>
      </c>
      <c r="H21" s="103">
        <f t="shared" si="0"/>
        <v>0.32</v>
      </c>
      <c r="I21" s="100">
        <f>F21*8/10000</f>
        <v>0.32</v>
      </c>
      <c r="J21" s="103">
        <f t="shared" si="8"/>
        <v>0</v>
      </c>
      <c r="K21" s="103">
        <f t="shared" si="2"/>
        <v>0</v>
      </c>
      <c r="L21" s="103">
        <f t="shared" si="3"/>
        <v>0.32</v>
      </c>
      <c r="M21" s="105">
        <f t="shared" si="4"/>
        <v>0</v>
      </c>
    </row>
    <row r="22" spans="1:13" ht="21" customHeight="1">
      <c r="A22" s="295"/>
      <c r="B22" s="284"/>
      <c r="C22" s="284" t="s">
        <v>243</v>
      </c>
      <c r="D22" s="285"/>
      <c r="E22" s="287"/>
      <c r="F22" s="95">
        <v>140</v>
      </c>
      <c r="G22" s="95">
        <v>4</v>
      </c>
      <c r="H22" s="103">
        <f t="shared" si="0"/>
        <v>5.6000000000000001E-2</v>
      </c>
      <c r="I22" s="100">
        <f>F22*4/10000</f>
        <v>5.6000000000000001E-2</v>
      </c>
      <c r="J22" s="103">
        <f t="shared" si="8"/>
        <v>0</v>
      </c>
      <c r="K22" s="103">
        <f t="shared" si="2"/>
        <v>0</v>
      </c>
      <c r="L22" s="103">
        <f t="shared" si="3"/>
        <v>5.6000000000000001E-2</v>
      </c>
      <c r="M22" s="105">
        <f t="shared" si="4"/>
        <v>0</v>
      </c>
    </row>
    <row r="23" spans="1:13" ht="21" customHeight="1">
      <c r="A23" s="287">
        <f>MAX($A$1:A22)+1</f>
        <v>14</v>
      </c>
      <c r="B23" s="287" t="s">
        <v>244</v>
      </c>
      <c r="C23" s="99" t="s">
        <v>245</v>
      </c>
      <c r="D23" s="104" t="s">
        <v>53</v>
      </c>
      <c r="E23" s="287"/>
      <c r="F23" s="99">
        <v>1600</v>
      </c>
      <c r="G23" s="99">
        <v>9</v>
      </c>
      <c r="H23" s="105">
        <f t="shared" si="0"/>
        <v>1.44</v>
      </c>
      <c r="I23" s="105">
        <f>F23*6/10000</f>
        <v>0.96</v>
      </c>
      <c r="J23" s="105">
        <f>F23*3/10000</f>
        <v>0.48</v>
      </c>
      <c r="K23" s="100">
        <f t="shared" si="2"/>
        <v>0</v>
      </c>
      <c r="L23" s="100">
        <f t="shared" si="3"/>
        <v>1.44</v>
      </c>
      <c r="M23" s="100">
        <f t="shared" si="4"/>
        <v>0</v>
      </c>
    </row>
    <row r="24" spans="1:13" ht="21" customHeight="1">
      <c r="A24" s="287"/>
      <c r="B24" s="287"/>
      <c r="C24" s="287" t="s">
        <v>246</v>
      </c>
      <c r="D24" s="288"/>
      <c r="E24" s="287"/>
      <c r="F24" s="99">
        <v>960</v>
      </c>
      <c r="G24" s="99">
        <v>4</v>
      </c>
      <c r="H24" s="105">
        <f t="shared" si="0"/>
        <v>0.38400000000000001</v>
      </c>
      <c r="I24" s="105">
        <f>F24*4/10000</f>
        <v>0.38400000000000001</v>
      </c>
      <c r="J24" s="105">
        <f t="shared" ref="J24:J26" si="9">F24*0/10000</f>
        <v>0</v>
      </c>
      <c r="K24" s="100">
        <f t="shared" si="2"/>
        <v>0</v>
      </c>
      <c r="L24" s="100">
        <f t="shared" si="3"/>
        <v>0.38400000000000001</v>
      </c>
      <c r="M24" s="100">
        <f t="shared" si="4"/>
        <v>0</v>
      </c>
    </row>
    <row r="25" spans="1:13" ht="21" customHeight="1">
      <c r="A25" s="287">
        <f>MAX($A$1:A24)+1</f>
        <v>15</v>
      </c>
      <c r="B25" s="287" t="s">
        <v>247</v>
      </c>
      <c r="C25" s="99" t="s">
        <v>248</v>
      </c>
      <c r="D25" s="104" t="s">
        <v>249</v>
      </c>
      <c r="E25" s="287"/>
      <c r="F25" s="99">
        <v>500</v>
      </c>
      <c r="G25" s="99">
        <v>5</v>
      </c>
      <c r="H25" s="105">
        <f t="shared" si="0"/>
        <v>0.25</v>
      </c>
      <c r="I25" s="105">
        <f>F25*5/10000</f>
        <v>0.25</v>
      </c>
      <c r="J25" s="105">
        <f t="shared" si="9"/>
        <v>0</v>
      </c>
      <c r="K25" s="100">
        <f t="shared" si="2"/>
        <v>0</v>
      </c>
      <c r="L25" s="100">
        <f t="shared" si="3"/>
        <v>0.25</v>
      </c>
      <c r="M25" s="100">
        <f t="shared" si="4"/>
        <v>0</v>
      </c>
    </row>
    <row r="26" spans="1:13" ht="21" customHeight="1">
      <c r="A26" s="287"/>
      <c r="B26" s="287"/>
      <c r="C26" s="287" t="s">
        <v>250</v>
      </c>
      <c r="D26" s="288"/>
      <c r="E26" s="287"/>
      <c r="F26" s="99">
        <v>240</v>
      </c>
      <c r="G26" s="99">
        <v>3</v>
      </c>
      <c r="H26" s="105">
        <f t="shared" si="0"/>
        <v>7.1999999999999995E-2</v>
      </c>
      <c r="I26" s="105">
        <f>F26*3/10000</f>
        <v>7.1999999999999995E-2</v>
      </c>
      <c r="J26" s="105">
        <f t="shared" si="9"/>
        <v>0</v>
      </c>
      <c r="K26" s="100">
        <f t="shared" si="2"/>
        <v>0</v>
      </c>
      <c r="L26" s="100">
        <f t="shared" si="3"/>
        <v>7.1999999999999995E-2</v>
      </c>
      <c r="M26" s="100">
        <f t="shared" si="4"/>
        <v>0</v>
      </c>
    </row>
    <row r="27" spans="1:13" ht="21" customHeight="1">
      <c r="A27" s="106">
        <f>MAX($A$1:A26)+1</f>
        <v>16</v>
      </c>
      <c r="B27" s="106" t="s">
        <v>251</v>
      </c>
      <c r="C27" s="106" t="s">
        <v>68</v>
      </c>
      <c r="D27" s="107" t="s">
        <v>252</v>
      </c>
      <c r="E27" s="287"/>
      <c r="F27" s="108">
        <v>170</v>
      </c>
      <c r="G27" s="108">
        <v>21</v>
      </c>
      <c r="H27" s="108">
        <f t="shared" si="0"/>
        <v>0.35699999999999998</v>
      </c>
      <c r="I27" s="108">
        <v>0.4</v>
      </c>
      <c r="J27" s="108">
        <v>0</v>
      </c>
      <c r="K27" s="108">
        <v>0</v>
      </c>
      <c r="L27" s="108">
        <v>0.4</v>
      </c>
      <c r="M27" s="108">
        <f t="shared" si="4"/>
        <v>0</v>
      </c>
    </row>
    <row r="28" spans="1:13" ht="21" customHeight="1">
      <c r="A28" s="106">
        <f>MAX($A$1:A27)+1</f>
        <v>17</v>
      </c>
      <c r="B28" s="106" t="s">
        <v>253</v>
      </c>
      <c r="C28" s="106" t="s">
        <v>68</v>
      </c>
      <c r="D28" s="107" t="s">
        <v>254</v>
      </c>
      <c r="E28" s="287"/>
      <c r="F28" s="108">
        <v>150</v>
      </c>
      <c r="G28" s="108">
        <v>8.1999999999999993</v>
      </c>
      <c r="H28" s="108">
        <f t="shared" si="0"/>
        <v>0.123</v>
      </c>
      <c r="I28" s="108">
        <f>F28*G28/10000</f>
        <v>0.123</v>
      </c>
      <c r="J28" s="108">
        <v>0</v>
      </c>
      <c r="K28" s="108">
        <v>0</v>
      </c>
      <c r="L28" s="108">
        <f>I28+J28</f>
        <v>0.123</v>
      </c>
      <c r="M28" s="108">
        <f t="shared" si="4"/>
        <v>0</v>
      </c>
    </row>
    <row r="29" spans="1:13" ht="21" customHeight="1">
      <c r="A29" s="106">
        <f>MAX($A$1:A28)+1</f>
        <v>18</v>
      </c>
      <c r="B29" s="109" t="s">
        <v>255</v>
      </c>
      <c r="C29" s="109" t="s">
        <v>68</v>
      </c>
      <c r="D29" s="110" t="s">
        <v>256</v>
      </c>
      <c r="E29" s="287"/>
      <c r="F29" s="109">
        <v>300</v>
      </c>
      <c r="G29" s="109">
        <v>12.7</v>
      </c>
      <c r="H29" s="108">
        <f t="shared" si="0"/>
        <v>0.38100000000000001</v>
      </c>
      <c r="I29" s="108">
        <f>F29*G29/10000</f>
        <v>0.38100000000000001</v>
      </c>
      <c r="J29" s="109">
        <v>0</v>
      </c>
      <c r="K29" s="109">
        <v>0</v>
      </c>
      <c r="L29" s="108">
        <f>I29+J29</f>
        <v>0.38100000000000001</v>
      </c>
      <c r="M29" s="108">
        <f t="shared" si="4"/>
        <v>0</v>
      </c>
    </row>
    <row r="30" spans="1:13" ht="21" customHeight="1">
      <c r="A30" s="106">
        <f>MAX($A$1:A29)+1</f>
        <v>19</v>
      </c>
      <c r="B30" s="111" t="s">
        <v>124</v>
      </c>
      <c r="C30" s="112" t="s">
        <v>63</v>
      </c>
      <c r="D30" s="113" t="s">
        <v>257</v>
      </c>
      <c r="E30" s="287"/>
      <c r="F30" s="114">
        <v>415.35</v>
      </c>
      <c r="G30" s="114">
        <v>7.58</v>
      </c>
      <c r="H30" s="115">
        <f t="shared" si="0"/>
        <v>0.31483529999999998</v>
      </c>
      <c r="I30" s="115">
        <f>F30*7.46/10000</f>
        <v>0.30985109999999999</v>
      </c>
      <c r="J30" s="114">
        <f>F30*0/10000</f>
        <v>0</v>
      </c>
      <c r="K30" s="114">
        <f>F30*34.43/10000</f>
        <v>1.43005005</v>
      </c>
      <c r="L30" s="114">
        <f>SUM(I30:K30)</f>
        <v>1.7399011499999999</v>
      </c>
      <c r="M30" s="115">
        <f t="shared" si="4"/>
        <v>0</v>
      </c>
    </row>
    <row r="31" spans="1:13" ht="27" customHeight="1">
      <c r="A31" s="106">
        <f>MAX($A$1:A30)+1</f>
        <v>20</v>
      </c>
      <c r="B31" s="112" t="s">
        <v>258</v>
      </c>
      <c r="C31" s="112" t="s">
        <v>259</v>
      </c>
      <c r="D31" s="113" t="s">
        <v>260</v>
      </c>
      <c r="E31" s="287"/>
      <c r="F31" s="114">
        <v>156</v>
      </c>
      <c r="G31" s="114">
        <v>4.5999999999999996</v>
      </c>
      <c r="H31" s="115">
        <f t="shared" si="0"/>
        <v>7.1760000000000004E-2</v>
      </c>
      <c r="I31" s="115">
        <f>F31*3.85/10000</f>
        <v>6.0060000000000002E-2</v>
      </c>
      <c r="J31" s="114">
        <f>F31*0.64/10000</f>
        <v>9.9839999999999998E-3</v>
      </c>
      <c r="K31" s="114">
        <f>F31*26.28/10000</f>
        <v>0.409968</v>
      </c>
      <c r="L31" s="114">
        <f>SUM(I31:K31)</f>
        <v>0.48001199999999999</v>
      </c>
      <c r="M31" s="115">
        <f t="shared" si="4"/>
        <v>0</v>
      </c>
    </row>
    <row r="32" spans="1:13" ht="21" customHeight="1">
      <c r="A32" s="106">
        <f>MAX($A$1:A31)+1</f>
        <v>21</v>
      </c>
      <c r="B32" s="112" t="s">
        <v>162</v>
      </c>
      <c r="C32" s="112" t="s">
        <v>52</v>
      </c>
      <c r="D32" s="113" t="s">
        <v>261</v>
      </c>
      <c r="E32" s="287"/>
      <c r="F32" s="114">
        <v>360.05</v>
      </c>
      <c r="G32" s="114">
        <v>13.43</v>
      </c>
      <c r="H32" s="115">
        <f t="shared" si="0"/>
        <v>0.48354714999999998</v>
      </c>
      <c r="I32" s="115">
        <f>F32*6.1/10000</f>
        <v>0.21963050000000001</v>
      </c>
      <c r="J32" s="114">
        <f>F32*7.22/10000</f>
        <v>0.25995610000000002</v>
      </c>
      <c r="K32" s="114">
        <f>F32*0.56/10000</f>
        <v>2.0162800000000002E-2</v>
      </c>
      <c r="L32" s="114">
        <f t="shared" ref="L32:L40" si="10">SUM(I32:K32)</f>
        <v>0.49974940000000001</v>
      </c>
      <c r="M32" s="115">
        <f t="shared" si="4"/>
        <v>0</v>
      </c>
    </row>
    <row r="33" spans="1:13" ht="21" customHeight="1">
      <c r="A33" s="106">
        <f>MAX($A$1:A32)+1</f>
        <v>22</v>
      </c>
      <c r="B33" s="112" t="s">
        <v>262</v>
      </c>
      <c r="C33" s="112" t="s">
        <v>263</v>
      </c>
      <c r="D33" s="113" t="s">
        <v>264</v>
      </c>
      <c r="E33" s="287"/>
      <c r="F33" s="114">
        <v>349.06</v>
      </c>
      <c r="G33" s="114">
        <v>9.19</v>
      </c>
      <c r="H33" s="115">
        <f t="shared" si="0"/>
        <v>0.32078614</v>
      </c>
      <c r="I33" s="115">
        <f>F33*6.58/10000</f>
        <v>0.22968147999999999</v>
      </c>
      <c r="J33" s="114">
        <f>F33*2.58/10000</f>
        <v>9.0057479999999995E-2</v>
      </c>
      <c r="K33" s="114">
        <f t="shared" ref="K33:K40" si="11">F33*0/10000</f>
        <v>0</v>
      </c>
      <c r="L33" s="114">
        <f t="shared" si="10"/>
        <v>0.31973896000000002</v>
      </c>
      <c r="M33" s="115">
        <f t="shared" si="4"/>
        <v>0</v>
      </c>
    </row>
    <row r="34" spans="1:13" ht="21" customHeight="1">
      <c r="A34" s="106">
        <f>MAX($A$1:A33)+1</f>
        <v>23</v>
      </c>
      <c r="B34" s="112" t="s">
        <v>265</v>
      </c>
      <c r="C34" s="112" t="s">
        <v>266</v>
      </c>
      <c r="D34" s="113" t="s">
        <v>162</v>
      </c>
      <c r="E34" s="287"/>
      <c r="F34" s="114">
        <v>280.76</v>
      </c>
      <c r="G34" s="114">
        <v>6.69</v>
      </c>
      <c r="H34" s="115">
        <f t="shared" si="0"/>
        <v>0.18782844000000001</v>
      </c>
      <c r="I34" s="115">
        <f>F34*5/10000</f>
        <v>0.14038</v>
      </c>
      <c r="J34" s="114">
        <f>F34*1.78/10000</f>
        <v>4.9975279999999997E-2</v>
      </c>
      <c r="K34" s="114">
        <f>F34*1.07/10000</f>
        <v>3.004132E-2</v>
      </c>
      <c r="L34" s="114">
        <f t="shared" si="10"/>
        <v>0.2203966</v>
      </c>
      <c r="M34" s="115">
        <f t="shared" si="4"/>
        <v>0</v>
      </c>
    </row>
    <row r="35" spans="1:13" ht="21" customHeight="1">
      <c r="A35" s="106">
        <f>MAX($A$1:A34)+1</f>
        <v>24</v>
      </c>
      <c r="B35" s="112" t="s">
        <v>267</v>
      </c>
      <c r="C35" s="112" t="s">
        <v>268</v>
      </c>
      <c r="D35" s="113" t="s">
        <v>269</v>
      </c>
      <c r="E35" s="287"/>
      <c r="F35" s="114">
        <v>599.85</v>
      </c>
      <c r="G35" s="114">
        <v>5.04</v>
      </c>
      <c r="H35" s="115">
        <f t="shared" si="0"/>
        <v>0.30232439999999999</v>
      </c>
      <c r="I35" s="115">
        <f>F35*5.05/10000</f>
        <v>0.30292425000000001</v>
      </c>
      <c r="J35" s="114">
        <f t="shared" ref="J35:J40" si="12">F35*0/10000</f>
        <v>0</v>
      </c>
      <c r="K35" s="114">
        <f>F35*0.5/10000</f>
        <v>2.9992499999999998E-2</v>
      </c>
      <c r="L35" s="114">
        <f t="shared" si="10"/>
        <v>0.33291674999999998</v>
      </c>
      <c r="M35" s="115">
        <f t="shared" si="4"/>
        <v>0</v>
      </c>
    </row>
    <row r="36" spans="1:13" ht="21" customHeight="1">
      <c r="A36" s="106">
        <f>MAX($A$1:A35)+1</f>
        <v>25</v>
      </c>
      <c r="B36" s="99" t="s">
        <v>157</v>
      </c>
      <c r="C36" s="99" t="s">
        <v>270</v>
      </c>
      <c r="D36" s="98" t="s">
        <v>271</v>
      </c>
      <c r="E36" s="287"/>
      <c r="F36" s="105">
        <v>1000</v>
      </c>
      <c r="G36" s="105">
        <v>12</v>
      </c>
      <c r="H36" s="105">
        <f t="shared" si="0"/>
        <v>1.2</v>
      </c>
      <c r="I36" s="100">
        <f>F36*12/10000</f>
        <v>1.2</v>
      </c>
      <c r="J36" s="105">
        <f t="shared" si="12"/>
        <v>0</v>
      </c>
      <c r="K36" s="100">
        <f t="shared" si="11"/>
        <v>0</v>
      </c>
      <c r="L36" s="100">
        <f t="shared" si="10"/>
        <v>1.2</v>
      </c>
      <c r="M36" s="100">
        <f t="shared" si="4"/>
        <v>0</v>
      </c>
    </row>
    <row r="37" spans="1:13" ht="21" customHeight="1">
      <c r="A37" s="106">
        <f>MAX($A$1:A36)+1</f>
        <v>26</v>
      </c>
      <c r="B37" s="99" t="s">
        <v>272</v>
      </c>
      <c r="C37" s="99" t="s">
        <v>273</v>
      </c>
      <c r="D37" s="98" t="s">
        <v>274</v>
      </c>
      <c r="E37" s="287"/>
      <c r="F37" s="105">
        <v>580</v>
      </c>
      <c r="G37" s="105">
        <v>8</v>
      </c>
      <c r="H37" s="105">
        <f t="shared" si="0"/>
        <v>0.46400000000000002</v>
      </c>
      <c r="I37" s="100">
        <f>F37*8/10000</f>
        <v>0.46400000000000002</v>
      </c>
      <c r="J37" s="105">
        <f t="shared" si="12"/>
        <v>0</v>
      </c>
      <c r="K37" s="100">
        <f t="shared" si="11"/>
        <v>0</v>
      </c>
      <c r="L37" s="100">
        <f t="shared" si="10"/>
        <v>0.46400000000000002</v>
      </c>
      <c r="M37" s="100">
        <f t="shared" si="4"/>
        <v>0</v>
      </c>
    </row>
    <row r="38" spans="1:13" ht="21" customHeight="1">
      <c r="A38" s="267">
        <f>MAX($A$1:A37)+1</f>
        <v>27</v>
      </c>
      <c r="B38" s="284" t="s">
        <v>275</v>
      </c>
      <c r="C38" s="99" t="s">
        <v>276</v>
      </c>
      <c r="D38" s="101" t="s">
        <v>277</v>
      </c>
      <c r="E38" s="287"/>
      <c r="F38" s="103">
        <v>130</v>
      </c>
      <c r="G38" s="103">
        <v>11</v>
      </c>
      <c r="H38" s="103">
        <f t="shared" si="0"/>
        <v>0.14299999999999999</v>
      </c>
      <c r="I38" s="103">
        <f>F38*11/10000</f>
        <v>0.14299999999999999</v>
      </c>
      <c r="J38" s="105">
        <f t="shared" si="12"/>
        <v>0</v>
      </c>
      <c r="K38" s="100">
        <f t="shared" si="11"/>
        <v>0</v>
      </c>
      <c r="L38" s="100">
        <f t="shared" si="10"/>
        <v>0.14299999999999999</v>
      </c>
      <c r="M38" s="100">
        <f t="shared" si="4"/>
        <v>0</v>
      </c>
    </row>
    <row r="39" spans="1:13" ht="21" customHeight="1">
      <c r="A39" s="268"/>
      <c r="B39" s="284"/>
      <c r="C39" s="284" t="s">
        <v>220</v>
      </c>
      <c r="D39" s="285"/>
      <c r="E39" s="287"/>
      <c r="F39" s="103">
        <v>40</v>
      </c>
      <c r="G39" s="103">
        <v>12</v>
      </c>
      <c r="H39" s="103">
        <f t="shared" si="0"/>
        <v>4.8000000000000001E-2</v>
      </c>
      <c r="I39" s="103">
        <f>F39*12/10000</f>
        <v>4.8000000000000001E-2</v>
      </c>
      <c r="J39" s="105">
        <f t="shared" si="12"/>
        <v>0</v>
      </c>
      <c r="K39" s="100">
        <f t="shared" si="11"/>
        <v>0</v>
      </c>
      <c r="L39" s="100">
        <f t="shared" si="10"/>
        <v>4.8000000000000001E-2</v>
      </c>
      <c r="M39" s="100">
        <f t="shared" si="4"/>
        <v>0</v>
      </c>
    </row>
    <row r="40" spans="1:13" ht="21" customHeight="1">
      <c r="A40" s="96">
        <f>MAX($A$1:A39)+1</f>
        <v>28</v>
      </c>
      <c r="B40" s="97" t="s">
        <v>278</v>
      </c>
      <c r="C40" s="99" t="s">
        <v>279</v>
      </c>
      <c r="D40" s="101" t="s">
        <v>280</v>
      </c>
      <c r="E40" s="287"/>
      <c r="F40" s="103">
        <v>180</v>
      </c>
      <c r="G40" s="103">
        <v>18</v>
      </c>
      <c r="H40" s="103">
        <f t="shared" si="0"/>
        <v>0.32400000000000001</v>
      </c>
      <c r="I40" s="103">
        <f>F40*18/10000</f>
        <v>0.32400000000000001</v>
      </c>
      <c r="J40" s="105">
        <f t="shared" si="12"/>
        <v>0</v>
      </c>
      <c r="K40" s="100">
        <f t="shared" si="11"/>
        <v>0</v>
      </c>
      <c r="L40" s="100">
        <f t="shared" si="10"/>
        <v>0.32400000000000001</v>
      </c>
      <c r="M40" s="100">
        <f t="shared" si="4"/>
        <v>0</v>
      </c>
    </row>
    <row r="41" spans="1:13" ht="21" customHeight="1">
      <c r="A41" s="96">
        <f>MAX($A$1:A40)+1</f>
        <v>29</v>
      </c>
      <c r="B41" s="97" t="s">
        <v>281</v>
      </c>
      <c r="C41" s="116" t="s">
        <v>282</v>
      </c>
      <c r="D41" s="117" t="s">
        <v>283</v>
      </c>
      <c r="E41" s="287"/>
      <c r="F41" s="118">
        <v>1500</v>
      </c>
      <c r="G41" s="118">
        <f>5+2.8+3.4</f>
        <v>11.2</v>
      </c>
      <c r="H41" s="118">
        <f t="shared" si="0"/>
        <v>1.68</v>
      </c>
      <c r="I41" s="118">
        <f>F41*5/10000</f>
        <v>0.75</v>
      </c>
      <c r="J41" s="118">
        <f>F41*(2.8+3.4)/10000</f>
        <v>0.93</v>
      </c>
      <c r="K41" s="118">
        <f>1.7*2/10000</f>
        <v>3.4000000000000002E-4</v>
      </c>
      <c r="L41" s="118">
        <f>I41+J41+K41</f>
        <v>1.6803399999999999</v>
      </c>
      <c r="M41" s="118">
        <f t="shared" si="4"/>
        <v>0</v>
      </c>
    </row>
    <row r="42" spans="1:13" ht="38">
      <c r="A42" s="296">
        <f>MAX($A$1:A41)+1</f>
        <v>30</v>
      </c>
      <c r="B42" s="284" t="s">
        <v>284</v>
      </c>
      <c r="C42" s="97" t="s">
        <v>285</v>
      </c>
      <c r="D42" s="98" t="s">
        <v>286</v>
      </c>
      <c r="E42" s="287"/>
      <c r="F42" s="103">
        <v>140</v>
      </c>
      <c r="G42" s="103">
        <v>10</v>
      </c>
      <c r="H42" s="103">
        <f t="shared" si="0"/>
        <v>0.14000000000000001</v>
      </c>
      <c r="I42" s="103">
        <f>F42*10/10000</f>
        <v>0.14000000000000001</v>
      </c>
      <c r="J42" s="105">
        <f t="shared" ref="J42:J48" si="13">F42*0/10000</f>
        <v>0</v>
      </c>
      <c r="K42" s="100">
        <f t="shared" ref="K42:K47" si="14">F42*0/10000</f>
        <v>0</v>
      </c>
      <c r="L42" s="100">
        <f t="shared" ref="L42:L48" si="15">SUM(I42:K42)</f>
        <v>0.14000000000000001</v>
      </c>
      <c r="M42" s="100">
        <f t="shared" si="4"/>
        <v>0</v>
      </c>
    </row>
    <row r="43" spans="1:13" ht="21" customHeight="1">
      <c r="A43" s="297"/>
      <c r="B43" s="284"/>
      <c r="C43" s="284" t="s">
        <v>212</v>
      </c>
      <c r="D43" s="285"/>
      <c r="E43" s="287"/>
      <c r="F43" s="103">
        <v>20</v>
      </c>
      <c r="G43" s="103">
        <v>8</v>
      </c>
      <c r="H43" s="103">
        <f t="shared" si="0"/>
        <v>1.6E-2</v>
      </c>
      <c r="I43" s="103">
        <f>F43*8/10000</f>
        <v>1.6E-2</v>
      </c>
      <c r="J43" s="105">
        <f t="shared" si="13"/>
        <v>0</v>
      </c>
      <c r="K43" s="100">
        <f t="shared" si="14"/>
        <v>0</v>
      </c>
      <c r="L43" s="100">
        <f t="shared" si="15"/>
        <v>1.6E-2</v>
      </c>
      <c r="M43" s="100">
        <f t="shared" si="4"/>
        <v>0</v>
      </c>
    </row>
    <row r="44" spans="1:13" ht="28.5">
      <c r="A44" s="95">
        <f>MAX($A$1:A43)+1</f>
        <v>31</v>
      </c>
      <c r="B44" s="97" t="s">
        <v>287</v>
      </c>
      <c r="C44" s="99" t="s">
        <v>288</v>
      </c>
      <c r="D44" s="98" t="s">
        <v>289</v>
      </c>
      <c r="E44" s="287"/>
      <c r="F44" s="103">
        <v>200</v>
      </c>
      <c r="G44" s="103">
        <v>16</v>
      </c>
      <c r="H44" s="103">
        <f t="shared" si="0"/>
        <v>0.32</v>
      </c>
      <c r="I44" s="103">
        <f>F44*16/10000</f>
        <v>0.32</v>
      </c>
      <c r="J44" s="105">
        <f t="shared" si="13"/>
        <v>0</v>
      </c>
      <c r="K44" s="100">
        <f t="shared" si="14"/>
        <v>0</v>
      </c>
      <c r="L44" s="100">
        <f t="shared" si="15"/>
        <v>0.32</v>
      </c>
      <c r="M44" s="100">
        <f t="shared" si="4"/>
        <v>0</v>
      </c>
    </row>
    <row r="45" spans="1:13" ht="19">
      <c r="A45" s="95">
        <f>MAX($A$1:A44)+1</f>
        <v>32</v>
      </c>
      <c r="B45" s="97" t="s">
        <v>290</v>
      </c>
      <c r="C45" s="97" t="s">
        <v>291</v>
      </c>
      <c r="D45" s="98" t="s">
        <v>292</v>
      </c>
      <c r="E45" s="287"/>
      <c r="F45" s="103">
        <v>260</v>
      </c>
      <c r="G45" s="103">
        <v>15</v>
      </c>
      <c r="H45" s="103">
        <f t="shared" si="0"/>
        <v>0.39</v>
      </c>
      <c r="I45" s="103">
        <f>F45*15/10000</f>
        <v>0.39</v>
      </c>
      <c r="J45" s="105">
        <f t="shared" si="13"/>
        <v>0</v>
      </c>
      <c r="K45" s="100">
        <f t="shared" si="14"/>
        <v>0</v>
      </c>
      <c r="L45" s="100">
        <f t="shared" si="15"/>
        <v>0.39</v>
      </c>
      <c r="M45" s="100">
        <f t="shared" si="4"/>
        <v>0</v>
      </c>
    </row>
    <row r="46" spans="1:13" ht="39" customHeight="1">
      <c r="A46" s="95">
        <f>MAX($A$1:A45)+1</f>
        <v>33</v>
      </c>
      <c r="B46" s="96" t="s">
        <v>293</v>
      </c>
      <c r="C46" s="99" t="s">
        <v>294</v>
      </c>
      <c r="D46" s="98" t="s">
        <v>295</v>
      </c>
      <c r="E46" s="287"/>
      <c r="F46" s="103">
        <v>110</v>
      </c>
      <c r="G46" s="103">
        <v>22</v>
      </c>
      <c r="H46" s="103">
        <f t="shared" si="0"/>
        <v>0.24199999999999999</v>
      </c>
      <c r="I46" s="103">
        <f>F46*22/10000</f>
        <v>0.24199999999999999</v>
      </c>
      <c r="J46" s="105">
        <f t="shared" si="13"/>
        <v>0</v>
      </c>
      <c r="K46" s="100">
        <f t="shared" si="14"/>
        <v>0</v>
      </c>
      <c r="L46" s="100">
        <f t="shared" si="15"/>
        <v>0.24199999999999999</v>
      </c>
      <c r="M46" s="100">
        <f t="shared" si="4"/>
        <v>0</v>
      </c>
    </row>
    <row r="47" spans="1:13" ht="36" customHeight="1">
      <c r="A47" s="95">
        <f>MAX($A$1:A46)+1</f>
        <v>34</v>
      </c>
      <c r="B47" s="96" t="s">
        <v>296</v>
      </c>
      <c r="C47" s="99" t="s">
        <v>297</v>
      </c>
      <c r="D47" s="98" t="s">
        <v>298</v>
      </c>
      <c r="E47" s="287"/>
      <c r="F47" s="103">
        <v>110</v>
      </c>
      <c r="G47" s="103">
        <v>25</v>
      </c>
      <c r="H47" s="103">
        <f t="shared" si="0"/>
        <v>0.27500000000000002</v>
      </c>
      <c r="I47" s="103">
        <f>F47*25/10000</f>
        <v>0.27500000000000002</v>
      </c>
      <c r="J47" s="105">
        <f t="shared" si="13"/>
        <v>0</v>
      </c>
      <c r="K47" s="100">
        <f t="shared" si="14"/>
        <v>0</v>
      </c>
      <c r="L47" s="100">
        <f t="shared" si="15"/>
        <v>0.27500000000000002</v>
      </c>
      <c r="M47" s="100">
        <f t="shared" si="4"/>
        <v>0</v>
      </c>
    </row>
    <row r="48" spans="1:13" ht="21" customHeight="1">
      <c r="A48" s="95">
        <f>MAX($A$1:A47)+1</f>
        <v>35</v>
      </c>
      <c r="B48" s="106" t="s">
        <v>299</v>
      </c>
      <c r="C48" s="106" t="s">
        <v>300</v>
      </c>
      <c r="D48" s="107" t="s">
        <v>301</v>
      </c>
      <c r="E48" s="287"/>
      <c r="F48" s="108">
        <v>488.14</v>
      </c>
      <c r="G48" s="108">
        <v>6.3</v>
      </c>
      <c r="H48" s="108">
        <f t="shared" si="0"/>
        <v>0.30752819999999997</v>
      </c>
      <c r="I48" s="108">
        <f>F48*6.35/10000</f>
        <v>0.30996889999999999</v>
      </c>
      <c r="J48" s="108">
        <f t="shared" si="13"/>
        <v>0</v>
      </c>
      <c r="K48" s="108">
        <f>F48*10.45/10000</f>
        <v>0.51010630000000001</v>
      </c>
      <c r="L48" s="108">
        <f t="shared" si="15"/>
        <v>0.8200752</v>
      </c>
      <c r="M48" s="108">
        <f>F48*0.2/10000</f>
        <v>9.7628000000000003E-3</v>
      </c>
    </row>
    <row r="49" spans="1:13" ht="21" customHeight="1">
      <c r="A49" s="95">
        <f>MAX($A$1:A48)+1</f>
        <v>36</v>
      </c>
      <c r="B49" s="106" t="s">
        <v>302</v>
      </c>
      <c r="C49" s="106" t="s">
        <v>303</v>
      </c>
      <c r="D49" s="107" t="s">
        <v>304</v>
      </c>
      <c r="E49" s="287"/>
      <c r="F49" s="108">
        <v>70</v>
      </c>
      <c r="G49" s="108">
        <f>5.6+10.6</f>
        <v>16.2</v>
      </c>
      <c r="H49" s="108">
        <f t="shared" si="0"/>
        <v>0.1134</v>
      </c>
      <c r="I49" s="108">
        <f>F49*10.6/10000</f>
        <v>7.4200000000000002E-2</v>
      </c>
      <c r="J49" s="108">
        <f>F49*5.6/10000</f>
        <v>3.9199999999999999E-2</v>
      </c>
      <c r="K49" s="108">
        <v>4</v>
      </c>
      <c r="L49" s="108">
        <f>I49+J49</f>
        <v>0.1134</v>
      </c>
      <c r="M49" s="108">
        <v>0</v>
      </c>
    </row>
    <row r="50" spans="1:13" ht="21" customHeight="1">
      <c r="A50" s="95">
        <f>MAX($A$1:A49)+1</f>
        <v>37</v>
      </c>
      <c r="B50" s="96" t="s">
        <v>305</v>
      </c>
      <c r="C50" s="106" t="s">
        <v>306</v>
      </c>
      <c r="D50" s="107" t="s">
        <v>307</v>
      </c>
      <c r="E50" s="287"/>
      <c r="F50" s="108">
        <v>150</v>
      </c>
      <c r="G50" s="108">
        <v>12</v>
      </c>
      <c r="H50" s="108">
        <f t="shared" si="0"/>
        <v>0.18</v>
      </c>
      <c r="I50" s="108">
        <v>0.18</v>
      </c>
      <c r="J50" s="108">
        <v>0</v>
      </c>
      <c r="K50" s="108">
        <v>0</v>
      </c>
      <c r="L50" s="108">
        <v>0.18</v>
      </c>
      <c r="M50" s="108">
        <f t="shared" ref="M50:M54" si="16">F50*0/10000</f>
        <v>0</v>
      </c>
    </row>
    <row r="51" spans="1:13" ht="21" customHeight="1">
      <c r="A51" s="95">
        <f>MAX($A$1:A50)+1</f>
        <v>38</v>
      </c>
      <c r="B51" s="119" t="s">
        <v>308</v>
      </c>
      <c r="C51" s="119" t="s">
        <v>309</v>
      </c>
      <c r="D51" s="120" t="s">
        <v>17</v>
      </c>
      <c r="E51" s="287"/>
      <c r="F51" s="121">
        <v>188.78</v>
      </c>
      <c r="G51" s="121">
        <v>13.53</v>
      </c>
      <c r="H51" s="121">
        <f t="shared" si="0"/>
        <v>0.25541933999999999</v>
      </c>
      <c r="I51" s="121">
        <f>F51*11.1/10000</f>
        <v>0.2095458</v>
      </c>
      <c r="J51" s="121">
        <f>F51*2.65/10000</f>
        <v>5.00267E-2</v>
      </c>
      <c r="K51" s="121">
        <f>F51*0/10000</f>
        <v>0</v>
      </c>
      <c r="L51" s="121">
        <f t="shared" ref="L51:L60" si="17">SUM(I51:K51)</f>
        <v>0.25957249999999998</v>
      </c>
      <c r="M51" s="121">
        <f t="shared" si="16"/>
        <v>0</v>
      </c>
    </row>
    <row r="52" spans="1:13" ht="21" customHeight="1">
      <c r="A52" s="95">
        <f>MAX($A$1:A51)+1</f>
        <v>39</v>
      </c>
      <c r="B52" s="119" t="s">
        <v>310</v>
      </c>
      <c r="C52" s="119" t="s">
        <v>311</v>
      </c>
      <c r="D52" s="120" t="s">
        <v>312</v>
      </c>
      <c r="E52" s="287"/>
      <c r="F52" s="121">
        <v>599.71</v>
      </c>
      <c r="G52" s="121">
        <v>12.89</v>
      </c>
      <c r="H52" s="121">
        <f t="shared" si="0"/>
        <v>0.77302618999999995</v>
      </c>
      <c r="I52" s="121">
        <f>F52*6.5/10000</f>
        <v>0.38981149999999998</v>
      </c>
      <c r="J52" s="121">
        <f>F52*6.34/10000</f>
        <v>0.38021613999999998</v>
      </c>
      <c r="K52" s="121">
        <f>F52*15.67/10000</f>
        <v>0.93974557000000003</v>
      </c>
      <c r="L52" s="121">
        <f t="shared" si="17"/>
        <v>1.70977321</v>
      </c>
      <c r="M52" s="121">
        <f t="shared" si="16"/>
        <v>0</v>
      </c>
    </row>
    <row r="53" spans="1:13" ht="21" customHeight="1">
      <c r="A53" s="296">
        <f>MAX($A$1:A52)+1</f>
        <v>40</v>
      </c>
      <c r="B53" s="306" t="s">
        <v>93</v>
      </c>
      <c r="C53" s="119" t="s">
        <v>94</v>
      </c>
      <c r="D53" s="120" t="s">
        <v>310</v>
      </c>
      <c r="E53" s="287"/>
      <c r="F53" s="121">
        <v>175.26</v>
      </c>
      <c r="G53" s="121">
        <v>10.29</v>
      </c>
      <c r="H53" s="121">
        <f t="shared" si="0"/>
        <v>0.18034254</v>
      </c>
      <c r="I53" s="121">
        <f>F53*6.4/10000</f>
        <v>0.1121664</v>
      </c>
      <c r="J53" s="121">
        <f>F53*4/10000</f>
        <v>7.0104E-2</v>
      </c>
      <c r="K53" s="121">
        <f>F53*27.96/10000</f>
        <v>0.49002696000000001</v>
      </c>
      <c r="L53" s="121">
        <f t="shared" si="17"/>
        <v>0.67229735999999995</v>
      </c>
      <c r="M53" s="121">
        <f t="shared" si="16"/>
        <v>0</v>
      </c>
    </row>
    <row r="54" spans="1:13" ht="21" customHeight="1">
      <c r="A54" s="297"/>
      <c r="B54" s="306"/>
      <c r="C54" s="119" t="s">
        <v>313</v>
      </c>
      <c r="D54" s="122" t="s">
        <v>310</v>
      </c>
      <c r="E54" s="287"/>
      <c r="F54" s="108">
        <v>183</v>
      </c>
      <c r="G54" s="108">
        <v>11.2</v>
      </c>
      <c r="H54" s="121">
        <f t="shared" si="0"/>
        <v>0.20496</v>
      </c>
      <c r="I54" s="121">
        <f>F54*6/10000</f>
        <v>0.10979999999999999</v>
      </c>
      <c r="J54" s="121">
        <f>F54*5/10000</f>
        <v>9.1499999999999998E-2</v>
      </c>
      <c r="K54" s="121">
        <f>F54*0/10000</f>
        <v>0</v>
      </c>
      <c r="L54" s="121">
        <f t="shared" si="17"/>
        <v>0.20130000000000001</v>
      </c>
      <c r="M54" s="121">
        <f t="shared" si="16"/>
        <v>0</v>
      </c>
    </row>
    <row r="55" spans="1:13" ht="38">
      <c r="A55" s="95">
        <f>MAX($A$1:A54)+1</f>
        <v>41</v>
      </c>
      <c r="B55" s="119" t="s">
        <v>314</v>
      </c>
      <c r="C55" s="119" t="s">
        <v>315</v>
      </c>
      <c r="D55" s="120" t="s">
        <v>316</v>
      </c>
      <c r="E55" s="287"/>
      <c r="F55" s="121">
        <v>488.14</v>
      </c>
      <c r="G55" s="121">
        <v>6.3</v>
      </c>
      <c r="H55" s="121">
        <f t="shared" si="0"/>
        <v>0.30752819999999997</v>
      </c>
      <c r="I55" s="121">
        <f>F55*6.35/10000</f>
        <v>0.30996889999999999</v>
      </c>
      <c r="J55" s="121">
        <f>F55*0/10000</f>
        <v>0</v>
      </c>
      <c r="K55" s="121">
        <f>F55*10.45/10000</f>
        <v>0.51010630000000001</v>
      </c>
      <c r="L55" s="121">
        <f t="shared" si="17"/>
        <v>0.8200752</v>
      </c>
      <c r="M55" s="121">
        <f>F55*0.2/10000</f>
        <v>9.7628000000000003E-3</v>
      </c>
    </row>
    <row r="56" spans="1:13" ht="21" customHeight="1">
      <c r="A56" s="95">
        <f>MAX($A$1:A55)+1</f>
        <v>42</v>
      </c>
      <c r="B56" s="123" t="s">
        <v>317</v>
      </c>
      <c r="C56" s="119" t="s">
        <v>98</v>
      </c>
      <c r="D56" s="120" t="s">
        <v>318</v>
      </c>
      <c r="E56" s="287"/>
      <c r="F56" s="121">
        <v>284.58</v>
      </c>
      <c r="G56" s="121">
        <v>9.77</v>
      </c>
      <c r="H56" s="121">
        <f t="shared" si="0"/>
        <v>0.27803465999999999</v>
      </c>
      <c r="I56" s="121">
        <f>F56*8.78/10000</f>
        <v>0.24986124000000001</v>
      </c>
      <c r="J56" s="121">
        <f>F56*1.05/10000</f>
        <v>2.9880899999999998E-2</v>
      </c>
      <c r="K56" s="121">
        <f>F56*8.43/10000</f>
        <v>0.23990094000000001</v>
      </c>
      <c r="L56" s="121">
        <f t="shared" si="17"/>
        <v>0.51964308000000003</v>
      </c>
      <c r="M56" s="121">
        <f t="shared" ref="M56:M60" si="18">F56*0/10000</f>
        <v>0</v>
      </c>
    </row>
    <row r="57" spans="1:13" ht="21" customHeight="1">
      <c r="A57" s="95">
        <f>MAX($A$1:A56)+1</f>
        <v>43</v>
      </c>
      <c r="B57" s="119" t="s">
        <v>185</v>
      </c>
      <c r="C57" s="119" t="s">
        <v>159</v>
      </c>
      <c r="D57" s="120" t="s">
        <v>101</v>
      </c>
      <c r="E57" s="287"/>
      <c r="F57" s="121">
        <v>672.99</v>
      </c>
      <c r="G57" s="121">
        <v>8.9600000000000009</v>
      </c>
      <c r="H57" s="121">
        <f t="shared" si="0"/>
        <v>0.60299904000000004</v>
      </c>
      <c r="I57" s="121">
        <f>F57*7/10000</f>
        <v>0.47109299999999998</v>
      </c>
      <c r="J57" s="121">
        <f>F57*1.93/10000</f>
        <v>0.12988706999999999</v>
      </c>
      <c r="K57" s="121">
        <f>F57*31/10000</f>
        <v>2.0862690000000002</v>
      </c>
      <c r="L57" s="121">
        <f t="shared" si="17"/>
        <v>2.68724907</v>
      </c>
      <c r="M57" s="121">
        <f t="shared" si="18"/>
        <v>0</v>
      </c>
    </row>
    <row r="58" spans="1:13" ht="21" customHeight="1">
      <c r="A58" s="95">
        <f>MAX($A$1:A57)+1</f>
        <v>44</v>
      </c>
      <c r="B58" s="119" t="s">
        <v>42</v>
      </c>
      <c r="C58" s="119" t="s">
        <v>319</v>
      </c>
      <c r="D58" s="120" t="s">
        <v>100</v>
      </c>
      <c r="E58" s="287"/>
      <c r="F58" s="121">
        <v>1005.64</v>
      </c>
      <c r="G58" s="121">
        <v>9.09</v>
      </c>
      <c r="H58" s="121">
        <f t="shared" si="0"/>
        <v>0.91412676000000004</v>
      </c>
      <c r="I58" s="121">
        <f>F58*7.46/10000</f>
        <v>0.75020743999999995</v>
      </c>
      <c r="J58" s="121">
        <f>F58*1.6/10000</f>
        <v>0.1609024</v>
      </c>
      <c r="K58" s="121">
        <f>F58*5.37/10000</f>
        <v>0.54002868000000004</v>
      </c>
      <c r="L58" s="121">
        <f t="shared" si="17"/>
        <v>1.45113852</v>
      </c>
      <c r="M58" s="121">
        <f t="shared" si="18"/>
        <v>0</v>
      </c>
    </row>
    <row r="59" spans="1:13" ht="21" customHeight="1">
      <c r="A59" s="95">
        <f>MAX($A$1:A58)+1</f>
        <v>45</v>
      </c>
      <c r="B59" s="119" t="s">
        <v>320</v>
      </c>
      <c r="C59" s="119" t="s">
        <v>89</v>
      </c>
      <c r="D59" s="120" t="s">
        <v>321</v>
      </c>
      <c r="E59" s="287"/>
      <c r="F59" s="121">
        <v>71.12</v>
      </c>
      <c r="G59" s="121">
        <v>7.15</v>
      </c>
      <c r="H59" s="121">
        <f t="shared" si="0"/>
        <v>5.0850800000000002E-2</v>
      </c>
      <c r="I59" s="121">
        <f>F59*7.1/10000</f>
        <v>5.0495199999999997E-2</v>
      </c>
      <c r="J59" s="121">
        <f t="shared" ref="J59:J81" si="19">F59*0/10000</f>
        <v>0</v>
      </c>
      <c r="K59" s="121">
        <f t="shared" ref="K59:K69" si="20">F59*0/10000</f>
        <v>0</v>
      </c>
      <c r="L59" s="121">
        <f t="shared" si="17"/>
        <v>5.0495199999999997E-2</v>
      </c>
      <c r="M59" s="121">
        <f t="shared" si="18"/>
        <v>0</v>
      </c>
    </row>
    <row r="60" spans="1:13" ht="39" customHeight="1">
      <c r="A60" s="106">
        <f>MAX($A$1:A59)+1</f>
        <v>46</v>
      </c>
      <c r="B60" s="123" t="s">
        <v>322</v>
      </c>
      <c r="C60" s="112" t="s">
        <v>323</v>
      </c>
      <c r="D60" s="113" t="s">
        <v>324</v>
      </c>
      <c r="E60" s="287"/>
      <c r="F60" s="114">
        <v>288.99</v>
      </c>
      <c r="G60" s="114">
        <v>10.01</v>
      </c>
      <c r="H60" s="115">
        <f t="shared" si="0"/>
        <v>0.28927899000000001</v>
      </c>
      <c r="I60" s="115">
        <f>F60*6.9/10000</f>
        <v>0.1994031</v>
      </c>
      <c r="J60" s="114">
        <f>F60*3.11/10000</f>
        <v>8.987589E-2</v>
      </c>
      <c r="K60" s="114">
        <f>F60*5.19/10000</f>
        <v>0.14998581</v>
      </c>
      <c r="L60" s="114">
        <f t="shared" si="17"/>
        <v>0.43926480000000001</v>
      </c>
      <c r="M60" s="115">
        <f t="shared" si="18"/>
        <v>0</v>
      </c>
    </row>
    <row r="61" spans="1:13" ht="21" customHeight="1">
      <c r="A61" s="124"/>
      <c r="B61" s="125" t="s">
        <v>325</v>
      </c>
      <c r="C61" s="125">
        <f>A60</f>
        <v>46</v>
      </c>
      <c r="D61" s="126"/>
      <c r="E61" s="125"/>
      <c r="F61" s="127">
        <f t="shared" ref="F61:M61" si="21">SUM(F2:F60)</f>
        <v>22117.42</v>
      </c>
      <c r="G61" s="127"/>
      <c r="H61" s="127">
        <f t="shared" si="21"/>
        <v>24.11142615</v>
      </c>
      <c r="I61" s="127">
        <f t="shared" si="21"/>
        <v>19.470048810000002</v>
      </c>
      <c r="J61" s="127">
        <f t="shared" si="21"/>
        <v>4.6765659599999996</v>
      </c>
      <c r="K61" s="127">
        <f t="shared" si="21"/>
        <v>11.38672423</v>
      </c>
      <c r="L61" s="127">
        <f t="shared" si="21"/>
        <v>31.533339000000002</v>
      </c>
      <c r="M61" s="127">
        <f t="shared" si="21"/>
        <v>1.9525600000000001E-2</v>
      </c>
    </row>
    <row r="62" spans="1:13" ht="21" customHeight="1">
      <c r="A62" s="95">
        <f>MAX($A$1:A61)+1</f>
        <v>47</v>
      </c>
      <c r="B62" s="97" t="s">
        <v>326</v>
      </c>
      <c r="C62" s="97" t="s">
        <v>327</v>
      </c>
      <c r="D62" s="98" t="s">
        <v>328</v>
      </c>
      <c r="E62" s="287" t="s">
        <v>329</v>
      </c>
      <c r="F62" s="95">
        <v>650</v>
      </c>
      <c r="G62" s="95">
        <v>14.7</v>
      </c>
      <c r="H62" s="100">
        <f t="shared" ref="H62:H125" si="22">F62*G62/10000</f>
        <v>0.95550000000000002</v>
      </c>
      <c r="I62" s="100">
        <f>F62*14.7/10000</f>
        <v>0.95550000000000002</v>
      </c>
      <c r="J62" s="103">
        <f t="shared" si="19"/>
        <v>0</v>
      </c>
      <c r="K62" s="103">
        <f t="shared" si="20"/>
        <v>0</v>
      </c>
      <c r="L62" s="103">
        <f t="shared" ref="L62:L69" si="23">SUM(I62:K62)</f>
        <v>0.95550000000000002</v>
      </c>
      <c r="M62" s="105">
        <f t="shared" ref="M62:M125" si="24">F62*0/10000</f>
        <v>0</v>
      </c>
    </row>
    <row r="63" spans="1:13" ht="21" customHeight="1">
      <c r="A63" s="295">
        <f>MAX($A$1:A62)+1</f>
        <v>48</v>
      </c>
      <c r="B63" s="284" t="s">
        <v>330</v>
      </c>
      <c r="C63" s="97" t="s">
        <v>331</v>
      </c>
      <c r="D63" s="98" t="s">
        <v>332</v>
      </c>
      <c r="E63" s="287"/>
      <c r="F63" s="95">
        <v>1200</v>
      </c>
      <c r="G63" s="95">
        <v>12</v>
      </c>
      <c r="H63" s="100">
        <f t="shared" si="22"/>
        <v>1.44</v>
      </c>
      <c r="I63" s="100">
        <f>F63*12/10000</f>
        <v>1.44</v>
      </c>
      <c r="J63" s="103">
        <f t="shared" si="19"/>
        <v>0</v>
      </c>
      <c r="K63" s="103">
        <f t="shared" si="20"/>
        <v>0</v>
      </c>
      <c r="L63" s="103">
        <f t="shared" si="23"/>
        <v>1.44</v>
      </c>
      <c r="M63" s="105">
        <f t="shared" si="24"/>
        <v>0</v>
      </c>
    </row>
    <row r="64" spans="1:13" ht="21" customHeight="1">
      <c r="A64" s="295"/>
      <c r="B64" s="284"/>
      <c r="C64" s="284" t="s">
        <v>250</v>
      </c>
      <c r="D64" s="285"/>
      <c r="E64" s="287"/>
      <c r="F64" s="95">
        <v>180</v>
      </c>
      <c r="G64" s="95">
        <v>13</v>
      </c>
      <c r="H64" s="100">
        <f t="shared" si="22"/>
        <v>0.23400000000000001</v>
      </c>
      <c r="I64" s="100">
        <f>F64*13/10000</f>
        <v>0.23400000000000001</v>
      </c>
      <c r="J64" s="103">
        <f t="shared" si="19"/>
        <v>0</v>
      </c>
      <c r="K64" s="103">
        <f t="shared" si="20"/>
        <v>0</v>
      </c>
      <c r="L64" s="103">
        <f t="shared" si="23"/>
        <v>0.23400000000000001</v>
      </c>
      <c r="M64" s="105">
        <f t="shared" si="24"/>
        <v>0</v>
      </c>
    </row>
    <row r="65" spans="1:13" ht="21" customHeight="1">
      <c r="A65" s="95">
        <f>MAX($A$1:A64)+1</f>
        <v>49</v>
      </c>
      <c r="B65" s="96" t="s">
        <v>333</v>
      </c>
      <c r="C65" s="97" t="s">
        <v>53</v>
      </c>
      <c r="D65" s="98" t="s">
        <v>334</v>
      </c>
      <c r="E65" s="287"/>
      <c r="F65" s="95">
        <v>900</v>
      </c>
      <c r="G65" s="95">
        <v>9</v>
      </c>
      <c r="H65" s="100">
        <f t="shared" si="22"/>
        <v>0.81</v>
      </c>
      <c r="I65" s="100">
        <f>F65*9/10000</f>
        <v>0.81</v>
      </c>
      <c r="J65" s="103">
        <f t="shared" si="19"/>
        <v>0</v>
      </c>
      <c r="K65" s="103">
        <f t="shared" si="20"/>
        <v>0</v>
      </c>
      <c r="L65" s="103">
        <f t="shared" si="23"/>
        <v>0.81</v>
      </c>
      <c r="M65" s="105">
        <f t="shared" si="24"/>
        <v>0</v>
      </c>
    </row>
    <row r="66" spans="1:13" ht="21" customHeight="1">
      <c r="A66" s="295">
        <f>MAX($A$1:A65)+1</f>
        <v>50</v>
      </c>
      <c r="B66" s="284" t="s">
        <v>115</v>
      </c>
      <c r="C66" s="97" t="s">
        <v>335</v>
      </c>
      <c r="D66" s="98" t="s">
        <v>52</v>
      </c>
      <c r="E66" s="287"/>
      <c r="F66" s="95">
        <v>600</v>
      </c>
      <c r="G66" s="95">
        <v>30</v>
      </c>
      <c r="H66" s="100">
        <f t="shared" si="22"/>
        <v>1.8</v>
      </c>
      <c r="I66" s="100">
        <f>F66*30/10000</f>
        <v>1.8</v>
      </c>
      <c r="J66" s="103">
        <f t="shared" si="19"/>
        <v>0</v>
      </c>
      <c r="K66" s="103">
        <f t="shared" si="20"/>
        <v>0</v>
      </c>
      <c r="L66" s="103">
        <f t="shared" si="23"/>
        <v>1.8</v>
      </c>
      <c r="M66" s="105">
        <f t="shared" si="24"/>
        <v>0</v>
      </c>
    </row>
    <row r="67" spans="1:13" ht="21" customHeight="1">
      <c r="A67" s="295"/>
      <c r="B67" s="284"/>
      <c r="C67" s="284" t="s">
        <v>223</v>
      </c>
      <c r="D67" s="285"/>
      <c r="E67" s="287"/>
      <c r="F67" s="95">
        <v>80</v>
      </c>
      <c r="G67" s="95">
        <v>12</v>
      </c>
      <c r="H67" s="100">
        <f t="shared" si="22"/>
        <v>9.6000000000000002E-2</v>
      </c>
      <c r="I67" s="100">
        <f>F67*12/10000</f>
        <v>9.6000000000000002E-2</v>
      </c>
      <c r="J67" s="103">
        <f t="shared" si="19"/>
        <v>0</v>
      </c>
      <c r="K67" s="103">
        <f t="shared" si="20"/>
        <v>0</v>
      </c>
      <c r="L67" s="103">
        <f t="shared" si="23"/>
        <v>9.6000000000000002E-2</v>
      </c>
      <c r="M67" s="105">
        <f t="shared" si="24"/>
        <v>0</v>
      </c>
    </row>
    <row r="68" spans="1:13" ht="21" customHeight="1">
      <c r="A68" s="95">
        <f>MAX($A$1:A67)+1</f>
        <v>51</v>
      </c>
      <c r="B68" s="96" t="s">
        <v>336</v>
      </c>
      <c r="C68" s="97" t="s">
        <v>53</v>
      </c>
      <c r="D68" s="98" t="s">
        <v>337</v>
      </c>
      <c r="E68" s="287"/>
      <c r="F68" s="95">
        <v>534</v>
      </c>
      <c r="G68" s="95">
        <v>4.5</v>
      </c>
      <c r="H68" s="100">
        <f t="shared" si="22"/>
        <v>0.24030000000000001</v>
      </c>
      <c r="I68" s="100">
        <f>F68*4.5/10000</f>
        <v>0.24030000000000001</v>
      </c>
      <c r="J68" s="103">
        <f t="shared" si="19"/>
        <v>0</v>
      </c>
      <c r="K68" s="103">
        <f t="shared" si="20"/>
        <v>0</v>
      </c>
      <c r="L68" s="103">
        <f t="shared" si="23"/>
        <v>0.24030000000000001</v>
      </c>
      <c r="M68" s="105">
        <f t="shared" si="24"/>
        <v>0</v>
      </c>
    </row>
    <row r="69" spans="1:13" ht="21" customHeight="1">
      <c r="A69" s="95">
        <f>MAX($A$1:A68)+1</f>
        <v>52</v>
      </c>
      <c r="B69" s="96" t="s">
        <v>338</v>
      </c>
      <c r="C69" s="97" t="s">
        <v>52</v>
      </c>
      <c r="D69" s="98" t="s">
        <v>339</v>
      </c>
      <c r="E69" s="287"/>
      <c r="F69" s="95">
        <v>700</v>
      </c>
      <c r="G69" s="95">
        <v>15</v>
      </c>
      <c r="H69" s="100">
        <f t="shared" si="22"/>
        <v>1.05</v>
      </c>
      <c r="I69" s="100">
        <f>F69*15/10000</f>
        <v>1.05</v>
      </c>
      <c r="J69" s="103">
        <f t="shared" si="19"/>
        <v>0</v>
      </c>
      <c r="K69" s="103">
        <f t="shared" si="20"/>
        <v>0</v>
      </c>
      <c r="L69" s="103">
        <f t="shared" si="23"/>
        <v>1.05</v>
      </c>
      <c r="M69" s="105">
        <f t="shared" si="24"/>
        <v>0</v>
      </c>
    </row>
    <row r="70" spans="1:13" ht="21" customHeight="1">
      <c r="A70" s="95">
        <f>MAX($A$1:A69)+1</f>
        <v>53</v>
      </c>
      <c r="B70" s="128" t="s">
        <v>340</v>
      </c>
      <c r="C70" s="289" t="s">
        <v>340</v>
      </c>
      <c r="D70" s="290"/>
      <c r="E70" s="287"/>
      <c r="F70" s="128">
        <v>50</v>
      </c>
      <c r="G70" s="128">
        <v>30</v>
      </c>
      <c r="H70" s="129">
        <f t="shared" si="22"/>
        <v>0.15</v>
      </c>
      <c r="I70" s="105">
        <f>F70*30/10000</f>
        <v>0.15</v>
      </c>
      <c r="J70" s="105">
        <f t="shared" si="19"/>
        <v>0</v>
      </c>
      <c r="K70" s="105">
        <f>G70*0/10000</f>
        <v>0</v>
      </c>
      <c r="L70" s="129">
        <f>H70</f>
        <v>0.15</v>
      </c>
      <c r="M70" s="100">
        <f t="shared" si="24"/>
        <v>0</v>
      </c>
    </row>
    <row r="71" spans="1:13" ht="21" customHeight="1">
      <c r="A71" s="295">
        <f>MAX($A$1:A70)+1</f>
        <v>54</v>
      </c>
      <c r="B71" s="284" t="s">
        <v>341</v>
      </c>
      <c r="C71" s="97" t="s">
        <v>342</v>
      </c>
      <c r="D71" s="98" t="s">
        <v>343</v>
      </c>
      <c r="E71" s="287"/>
      <c r="F71" s="95">
        <v>500</v>
      </c>
      <c r="G71" s="95">
        <v>6</v>
      </c>
      <c r="H71" s="103">
        <f t="shared" si="22"/>
        <v>0.3</v>
      </c>
      <c r="I71" s="100">
        <f t="shared" ref="I71:I75" si="25">F71*6/10000</f>
        <v>0.3</v>
      </c>
      <c r="J71" s="103">
        <f t="shared" si="19"/>
        <v>0</v>
      </c>
      <c r="K71" s="103">
        <f t="shared" ref="K71:K134" si="26">F71*0/10000</f>
        <v>0</v>
      </c>
      <c r="L71" s="103">
        <f t="shared" ref="L71:L134" si="27">SUM(I71:K71)</f>
        <v>0.3</v>
      </c>
      <c r="M71" s="105">
        <f t="shared" si="24"/>
        <v>0</v>
      </c>
    </row>
    <row r="72" spans="1:13" ht="21" customHeight="1">
      <c r="A72" s="295"/>
      <c r="B72" s="284"/>
      <c r="C72" s="284" t="s">
        <v>344</v>
      </c>
      <c r="D72" s="285"/>
      <c r="E72" s="287"/>
      <c r="F72" s="95">
        <v>160</v>
      </c>
      <c r="G72" s="95">
        <v>2.5</v>
      </c>
      <c r="H72" s="103">
        <f t="shared" si="22"/>
        <v>0.04</v>
      </c>
      <c r="I72" s="100">
        <f>F72*2.5/10000</f>
        <v>0.04</v>
      </c>
      <c r="J72" s="103">
        <f t="shared" si="19"/>
        <v>0</v>
      </c>
      <c r="K72" s="103">
        <f t="shared" si="26"/>
        <v>0</v>
      </c>
      <c r="L72" s="103">
        <f t="shared" si="27"/>
        <v>0.04</v>
      </c>
      <c r="M72" s="105">
        <f t="shared" si="24"/>
        <v>0</v>
      </c>
    </row>
    <row r="73" spans="1:13" ht="21" customHeight="1">
      <c r="A73" s="95">
        <f>MAX($A$1:A72)+1</f>
        <v>55</v>
      </c>
      <c r="B73" s="97" t="s">
        <v>345</v>
      </c>
      <c r="C73" s="97" t="s">
        <v>346</v>
      </c>
      <c r="D73" s="98" t="s">
        <v>347</v>
      </c>
      <c r="E73" s="287"/>
      <c r="F73" s="95">
        <v>2300</v>
      </c>
      <c r="G73" s="95">
        <v>15</v>
      </c>
      <c r="H73" s="103">
        <f t="shared" si="22"/>
        <v>3.45</v>
      </c>
      <c r="I73" s="100">
        <f>F73*15/10000</f>
        <v>3.45</v>
      </c>
      <c r="J73" s="103">
        <f t="shared" si="19"/>
        <v>0</v>
      </c>
      <c r="K73" s="103">
        <f t="shared" si="26"/>
        <v>0</v>
      </c>
      <c r="L73" s="103">
        <f t="shared" si="27"/>
        <v>3.45</v>
      </c>
      <c r="M73" s="105">
        <f t="shared" si="24"/>
        <v>0</v>
      </c>
    </row>
    <row r="74" spans="1:13" ht="21" customHeight="1">
      <c r="A74" s="95">
        <f>MAX($A$1:A73)+1</f>
        <v>56</v>
      </c>
      <c r="B74" s="97" t="s">
        <v>348</v>
      </c>
      <c r="C74" s="97" t="s">
        <v>349</v>
      </c>
      <c r="D74" s="98" t="s">
        <v>350</v>
      </c>
      <c r="E74" s="287"/>
      <c r="F74" s="95">
        <v>200</v>
      </c>
      <c r="G74" s="95">
        <v>6</v>
      </c>
      <c r="H74" s="103">
        <f t="shared" si="22"/>
        <v>0.12</v>
      </c>
      <c r="I74" s="100">
        <f t="shared" si="25"/>
        <v>0.12</v>
      </c>
      <c r="J74" s="103">
        <f t="shared" si="19"/>
        <v>0</v>
      </c>
      <c r="K74" s="103">
        <f t="shared" si="26"/>
        <v>0</v>
      </c>
      <c r="L74" s="103">
        <f t="shared" si="27"/>
        <v>0.12</v>
      </c>
      <c r="M74" s="105">
        <f t="shared" si="24"/>
        <v>0</v>
      </c>
    </row>
    <row r="75" spans="1:13" ht="21" customHeight="1">
      <c r="A75" s="295">
        <f>MAX($A$1:A74)+1</f>
        <v>57</v>
      </c>
      <c r="B75" s="284" t="s">
        <v>351</v>
      </c>
      <c r="C75" s="97" t="s">
        <v>352</v>
      </c>
      <c r="D75" s="98" t="s">
        <v>353</v>
      </c>
      <c r="E75" s="287"/>
      <c r="F75" s="95">
        <v>500</v>
      </c>
      <c r="G75" s="95">
        <v>6</v>
      </c>
      <c r="H75" s="103">
        <f t="shared" si="22"/>
        <v>0.3</v>
      </c>
      <c r="I75" s="100">
        <f t="shared" si="25"/>
        <v>0.3</v>
      </c>
      <c r="J75" s="103">
        <f t="shared" si="19"/>
        <v>0</v>
      </c>
      <c r="K75" s="103">
        <f t="shared" si="26"/>
        <v>0</v>
      </c>
      <c r="L75" s="103">
        <f t="shared" si="27"/>
        <v>0.3</v>
      </c>
      <c r="M75" s="105">
        <f t="shared" si="24"/>
        <v>0</v>
      </c>
    </row>
    <row r="76" spans="1:13" ht="21" customHeight="1">
      <c r="A76" s="295"/>
      <c r="B76" s="284"/>
      <c r="C76" s="284" t="s">
        <v>354</v>
      </c>
      <c r="D76" s="285"/>
      <c r="E76" s="287"/>
      <c r="F76" s="95">
        <v>100</v>
      </c>
      <c r="G76" s="95">
        <v>2</v>
      </c>
      <c r="H76" s="103">
        <f t="shared" si="22"/>
        <v>0.02</v>
      </c>
      <c r="I76" s="100">
        <f>F76*2/10000</f>
        <v>0.02</v>
      </c>
      <c r="J76" s="103">
        <f t="shared" si="19"/>
        <v>0</v>
      </c>
      <c r="K76" s="103">
        <f t="shared" si="26"/>
        <v>0</v>
      </c>
      <c r="L76" s="103">
        <f t="shared" si="27"/>
        <v>0.02</v>
      </c>
      <c r="M76" s="105">
        <f t="shared" si="24"/>
        <v>0</v>
      </c>
    </row>
    <row r="77" spans="1:13" ht="21" customHeight="1">
      <c r="A77" s="95">
        <f>MAX($A$1:A76)+1</f>
        <v>58</v>
      </c>
      <c r="B77" s="97" t="s">
        <v>355</v>
      </c>
      <c r="C77" s="284" t="s">
        <v>356</v>
      </c>
      <c r="D77" s="285"/>
      <c r="E77" s="287"/>
      <c r="F77" s="95">
        <v>400</v>
      </c>
      <c r="G77" s="95">
        <v>7</v>
      </c>
      <c r="H77" s="103">
        <f t="shared" si="22"/>
        <v>0.28000000000000003</v>
      </c>
      <c r="I77" s="100">
        <f>F77*7/10000</f>
        <v>0.28000000000000003</v>
      </c>
      <c r="J77" s="103">
        <f t="shared" si="19"/>
        <v>0</v>
      </c>
      <c r="K77" s="103">
        <f t="shared" si="26"/>
        <v>0</v>
      </c>
      <c r="L77" s="103">
        <f t="shared" si="27"/>
        <v>0.28000000000000003</v>
      </c>
      <c r="M77" s="105">
        <f t="shared" si="24"/>
        <v>0</v>
      </c>
    </row>
    <row r="78" spans="1:13" ht="21" customHeight="1">
      <c r="A78" s="95">
        <f>MAX($A$1:A77)+1</f>
        <v>59</v>
      </c>
      <c r="B78" s="97" t="s">
        <v>355</v>
      </c>
      <c r="C78" s="97" t="s">
        <v>357</v>
      </c>
      <c r="D78" s="98" t="s">
        <v>358</v>
      </c>
      <c r="E78" s="287"/>
      <c r="F78" s="95">
        <v>800</v>
      </c>
      <c r="G78" s="95">
        <v>7</v>
      </c>
      <c r="H78" s="103">
        <f t="shared" si="22"/>
        <v>0.56000000000000005</v>
      </c>
      <c r="I78" s="100">
        <f>F78*7/10000</f>
        <v>0.56000000000000005</v>
      </c>
      <c r="J78" s="103">
        <f t="shared" si="19"/>
        <v>0</v>
      </c>
      <c r="K78" s="103">
        <f t="shared" si="26"/>
        <v>0</v>
      </c>
      <c r="L78" s="103">
        <f t="shared" si="27"/>
        <v>0.56000000000000005</v>
      </c>
      <c r="M78" s="105">
        <f t="shared" si="24"/>
        <v>0</v>
      </c>
    </row>
    <row r="79" spans="1:13" ht="21" customHeight="1">
      <c r="A79" s="295">
        <f>MAX($A$1:A78)+1</f>
        <v>60</v>
      </c>
      <c r="B79" s="267" t="s">
        <v>359</v>
      </c>
      <c r="C79" s="99" t="s">
        <v>360</v>
      </c>
      <c r="D79" s="101" t="s">
        <v>361</v>
      </c>
      <c r="E79" s="287"/>
      <c r="F79" s="95">
        <v>400</v>
      </c>
      <c r="G79" s="95">
        <v>11</v>
      </c>
      <c r="H79" s="103">
        <f t="shared" si="22"/>
        <v>0.44</v>
      </c>
      <c r="I79" s="100">
        <f>F79*11/10000</f>
        <v>0.44</v>
      </c>
      <c r="J79" s="103">
        <f t="shared" si="19"/>
        <v>0</v>
      </c>
      <c r="K79" s="103">
        <f t="shared" si="26"/>
        <v>0</v>
      </c>
      <c r="L79" s="103">
        <f t="shared" si="27"/>
        <v>0.44</v>
      </c>
      <c r="M79" s="105">
        <f t="shared" si="24"/>
        <v>0</v>
      </c>
    </row>
    <row r="80" spans="1:13" ht="21" customHeight="1">
      <c r="A80" s="295"/>
      <c r="B80" s="268"/>
      <c r="C80" s="284" t="s">
        <v>362</v>
      </c>
      <c r="D80" s="285"/>
      <c r="E80" s="287"/>
      <c r="F80" s="95">
        <v>300</v>
      </c>
      <c r="G80" s="95">
        <v>4</v>
      </c>
      <c r="H80" s="103">
        <f t="shared" si="22"/>
        <v>0.12</v>
      </c>
      <c r="I80" s="100">
        <f>F80*4/10000</f>
        <v>0.12</v>
      </c>
      <c r="J80" s="103">
        <f t="shared" si="19"/>
        <v>0</v>
      </c>
      <c r="K80" s="103">
        <f t="shared" si="26"/>
        <v>0</v>
      </c>
      <c r="L80" s="103">
        <f t="shared" si="27"/>
        <v>0.12</v>
      </c>
      <c r="M80" s="105">
        <f t="shared" si="24"/>
        <v>0</v>
      </c>
    </row>
    <row r="81" spans="1:13" ht="21" customHeight="1">
      <c r="A81" s="295">
        <f>MAX($A$1:A80)+1</f>
        <v>61</v>
      </c>
      <c r="B81" s="267" t="s">
        <v>359</v>
      </c>
      <c r="C81" s="97" t="s">
        <v>361</v>
      </c>
      <c r="D81" s="98" t="s">
        <v>363</v>
      </c>
      <c r="E81" s="287"/>
      <c r="F81" s="95">
        <v>30</v>
      </c>
      <c r="G81" s="95">
        <v>15</v>
      </c>
      <c r="H81" s="103">
        <f t="shared" si="22"/>
        <v>4.4999999999999998E-2</v>
      </c>
      <c r="I81" s="100">
        <f>F81*15/10000</f>
        <v>4.4999999999999998E-2</v>
      </c>
      <c r="J81" s="103">
        <f t="shared" si="19"/>
        <v>0</v>
      </c>
      <c r="K81" s="103">
        <f t="shared" si="26"/>
        <v>0</v>
      </c>
      <c r="L81" s="103">
        <f t="shared" si="27"/>
        <v>4.4999999999999998E-2</v>
      </c>
      <c r="M81" s="105">
        <f t="shared" si="24"/>
        <v>0</v>
      </c>
    </row>
    <row r="82" spans="1:13" ht="21" customHeight="1">
      <c r="A82" s="295"/>
      <c r="B82" s="268"/>
      <c r="C82" s="284" t="s">
        <v>364</v>
      </c>
      <c r="D82" s="285"/>
      <c r="E82" s="287"/>
      <c r="F82" s="95">
        <v>300</v>
      </c>
      <c r="G82" s="95">
        <v>6</v>
      </c>
      <c r="H82" s="103">
        <f t="shared" si="22"/>
        <v>0.18</v>
      </c>
      <c r="I82" s="100">
        <f>F82*2/10000</f>
        <v>0.06</v>
      </c>
      <c r="J82" s="103">
        <f>F82*4/10000</f>
        <v>0.12</v>
      </c>
      <c r="K82" s="103">
        <f t="shared" si="26"/>
        <v>0</v>
      </c>
      <c r="L82" s="103">
        <f t="shared" si="27"/>
        <v>0.18</v>
      </c>
      <c r="M82" s="105">
        <f t="shared" si="24"/>
        <v>0</v>
      </c>
    </row>
    <row r="83" spans="1:13" ht="21" customHeight="1">
      <c r="A83" s="295">
        <f>MAX($A$1:A82)+1</f>
        <v>62</v>
      </c>
      <c r="B83" s="267" t="s">
        <v>365</v>
      </c>
      <c r="C83" s="99" t="s">
        <v>366</v>
      </c>
      <c r="D83" s="101" t="s">
        <v>367</v>
      </c>
      <c r="E83" s="287"/>
      <c r="F83" s="95">
        <v>350</v>
      </c>
      <c r="G83" s="95">
        <v>16</v>
      </c>
      <c r="H83" s="103">
        <f t="shared" si="22"/>
        <v>0.56000000000000005</v>
      </c>
      <c r="I83" s="100">
        <f>F83*10/10000</f>
        <v>0.35</v>
      </c>
      <c r="J83" s="103">
        <f>F83*6/10000</f>
        <v>0.21</v>
      </c>
      <c r="K83" s="103">
        <f t="shared" si="26"/>
        <v>0</v>
      </c>
      <c r="L83" s="103">
        <f t="shared" si="27"/>
        <v>0.56000000000000005</v>
      </c>
      <c r="M83" s="105">
        <f t="shared" si="24"/>
        <v>0</v>
      </c>
    </row>
    <row r="84" spans="1:13" ht="21" customHeight="1">
      <c r="A84" s="295"/>
      <c r="B84" s="268"/>
      <c r="C84" s="284" t="s">
        <v>364</v>
      </c>
      <c r="D84" s="285"/>
      <c r="E84" s="287"/>
      <c r="F84" s="95">
        <v>200</v>
      </c>
      <c r="G84" s="95">
        <v>3</v>
      </c>
      <c r="H84" s="103">
        <f t="shared" si="22"/>
        <v>0.06</v>
      </c>
      <c r="I84" s="100">
        <f t="shared" ref="I84:I88" si="28">F84*3/10000</f>
        <v>0.06</v>
      </c>
      <c r="J84" s="103">
        <f t="shared" ref="J84:J89" si="29">F84*0/10000</f>
        <v>0</v>
      </c>
      <c r="K84" s="103">
        <f t="shared" si="26"/>
        <v>0</v>
      </c>
      <c r="L84" s="103">
        <f t="shared" si="27"/>
        <v>0.06</v>
      </c>
      <c r="M84" s="105">
        <f t="shared" si="24"/>
        <v>0</v>
      </c>
    </row>
    <row r="85" spans="1:13" ht="21" customHeight="1">
      <c r="A85" s="295">
        <f>MAX($A$1:A84)+1</f>
        <v>63</v>
      </c>
      <c r="B85" s="267" t="s">
        <v>365</v>
      </c>
      <c r="C85" s="99" t="s">
        <v>368</v>
      </c>
      <c r="D85" s="101" t="s">
        <v>369</v>
      </c>
      <c r="E85" s="287"/>
      <c r="F85" s="95">
        <v>400</v>
      </c>
      <c r="G85" s="95">
        <v>7</v>
      </c>
      <c r="H85" s="103">
        <f t="shared" si="22"/>
        <v>0.28000000000000003</v>
      </c>
      <c r="I85" s="100">
        <f t="shared" ref="I85:I90" si="30">F85*7/10000</f>
        <v>0.28000000000000003</v>
      </c>
      <c r="J85" s="103">
        <f t="shared" si="29"/>
        <v>0</v>
      </c>
      <c r="K85" s="103">
        <f t="shared" si="26"/>
        <v>0</v>
      </c>
      <c r="L85" s="103">
        <f t="shared" si="27"/>
        <v>0.28000000000000003</v>
      </c>
      <c r="M85" s="105">
        <f t="shared" si="24"/>
        <v>0</v>
      </c>
    </row>
    <row r="86" spans="1:13" ht="21" customHeight="1">
      <c r="A86" s="295"/>
      <c r="B86" s="268"/>
      <c r="C86" s="284" t="s">
        <v>370</v>
      </c>
      <c r="D86" s="285"/>
      <c r="E86" s="287"/>
      <c r="F86" s="95">
        <v>160</v>
      </c>
      <c r="G86" s="95">
        <v>3</v>
      </c>
      <c r="H86" s="103">
        <f t="shared" si="22"/>
        <v>4.8000000000000001E-2</v>
      </c>
      <c r="I86" s="100">
        <f t="shared" si="28"/>
        <v>4.8000000000000001E-2</v>
      </c>
      <c r="J86" s="103">
        <f t="shared" si="29"/>
        <v>0</v>
      </c>
      <c r="K86" s="103">
        <f t="shared" si="26"/>
        <v>0</v>
      </c>
      <c r="L86" s="103">
        <f t="shared" si="27"/>
        <v>4.8000000000000001E-2</v>
      </c>
      <c r="M86" s="105">
        <f t="shared" si="24"/>
        <v>0</v>
      </c>
    </row>
    <row r="87" spans="1:13" ht="21" customHeight="1">
      <c r="A87" s="295">
        <f>MAX($A$1:A86)+1</f>
        <v>64</v>
      </c>
      <c r="B87" s="267" t="s">
        <v>371</v>
      </c>
      <c r="C87" s="97" t="s">
        <v>372</v>
      </c>
      <c r="D87" s="98" t="s">
        <v>373</v>
      </c>
      <c r="E87" s="287"/>
      <c r="F87" s="95">
        <v>300</v>
      </c>
      <c r="G87" s="95">
        <v>7</v>
      </c>
      <c r="H87" s="103">
        <f t="shared" si="22"/>
        <v>0.21</v>
      </c>
      <c r="I87" s="100">
        <f t="shared" si="30"/>
        <v>0.21</v>
      </c>
      <c r="J87" s="103">
        <f t="shared" si="29"/>
        <v>0</v>
      </c>
      <c r="K87" s="103">
        <f t="shared" si="26"/>
        <v>0</v>
      </c>
      <c r="L87" s="103">
        <f t="shared" si="27"/>
        <v>0.21</v>
      </c>
      <c r="M87" s="105">
        <f t="shared" si="24"/>
        <v>0</v>
      </c>
    </row>
    <row r="88" spans="1:13" ht="21" customHeight="1">
      <c r="A88" s="295"/>
      <c r="B88" s="270"/>
      <c r="C88" s="284" t="s">
        <v>362</v>
      </c>
      <c r="D88" s="285"/>
      <c r="E88" s="287"/>
      <c r="F88" s="95">
        <v>300</v>
      </c>
      <c r="G88" s="95">
        <v>3</v>
      </c>
      <c r="H88" s="103">
        <f t="shared" si="22"/>
        <v>0.09</v>
      </c>
      <c r="I88" s="100">
        <f t="shared" si="28"/>
        <v>0.09</v>
      </c>
      <c r="J88" s="103">
        <f t="shared" si="29"/>
        <v>0</v>
      </c>
      <c r="K88" s="103">
        <f t="shared" si="26"/>
        <v>0</v>
      </c>
      <c r="L88" s="103">
        <f t="shared" si="27"/>
        <v>0.09</v>
      </c>
      <c r="M88" s="105">
        <f t="shared" si="24"/>
        <v>0</v>
      </c>
    </row>
    <row r="89" spans="1:13" ht="21" customHeight="1">
      <c r="A89" s="95">
        <f>MAX($A$1:A88)+1</f>
        <v>65</v>
      </c>
      <c r="B89" s="96" t="s">
        <v>374</v>
      </c>
      <c r="C89" s="97" t="s">
        <v>372</v>
      </c>
      <c r="D89" s="98" t="s">
        <v>375</v>
      </c>
      <c r="E89" s="287"/>
      <c r="F89" s="95">
        <v>350</v>
      </c>
      <c r="G89" s="95">
        <v>8</v>
      </c>
      <c r="H89" s="103">
        <f t="shared" si="22"/>
        <v>0.28000000000000003</v>
      </c>
      <c r="I89" s="100">
        <f>F89*8/10000</f>
        <v>0.28000000000000003</v>
      </c>
      <c r="J89" s="103">
        <f t="shared" si="29"/>
        <v>0</v>
      </c>
      <c r="K89" s="103">
        <f t="shared" si="26"/>
        <v>0</v>
      </c>
      <c r="L89" s="103">
        <f t="shared" si="27"/>
        <v>0.28000000000000003</v>
      </c>
      <c r="M89" s="105">
        <f t="shared" si="24"/>
        <v>0</v>
      </c>
    </row>
    <row r="90" spans="1:13" ht="21" customHeight="1">
      <c r="A90" s="95">
        <f>MAX($A$1:A89)+1</f>
        <v>66</v>
      </c>
      <c r="B90" s="97" t="s">
        <v>376</v>
      </c>
      <c r="C90" s="97" t="s">
        <v>377</v>
      </c>
      <c r="D90" s="98" t="s">
        <v>378</v>
      </c>
      <c r="E90" s="287"/>
      <c r="F90" s="95">
        <v>600</v>
      </c>
      <c r="G90" s="95">
        <v>9</v>
      </c>
      <c r="H90" s="103">
        <f t="shared" si="22"/>
        <v>0.54</v>
      </c>
      <c r="I90" s="100">
        <f t="shared" si="30"/>
        <v>0.42</v>
      </c>
      <c r="J90" s="103">
        <f>300*4/10000</f>
        <v>0.12</v>
      </c>
      <c r="K90" s="103">
        <f t="shared" si="26"/>
        <v>0</v>
      </c>
      <c r="L90" s="103">
        <f t="shared" si="27"/>
        <v>0.54</v>
      </c>
      <c r="M90" s="105">
        <f t="shared" si="24"/>
        <v>0</v>
      </c>
    </row>
    <row r="91" spans="1:13" ht="21" customHeight="1">
      <c r="A91" s="95">
        <f>MAX($A$1:A90)+1</f>
        <v>67</v>
      </c>
      <c r="B91" s="97" t="s">
        <v>379</v>
      </c>
      <c r="C91" s="97" t="s">
        <v>24</v>
      </c>
      <c r="D91" s="98" t="s">
        <v>380</v>
      </c>
      <c r="E91" s="287"/>
      <c r="F91" s="95">
        <v>20</v>
      </c>
      <c r="G91" s="95">
        <v>8</v>
      </c>
      <c r="H91" s="103">
        <f t="shared" si="22"/>
        <v>1.6E-2</v>
      </c>
      <c r="I91" s="100">
        <f>F91*8/10000</f>
        <v>1.6E-2</v>
      </c>
      <c r="J91" s="103">
        <f t="shared" ref="J91:J94" si="31">F91*0/10000</f>
        <v>0</v>
      </c>
      <c r="K91" s="103">
        <f t="shared" si="26"/>
        <v>0</v>
      </c>
      <c r="L91" s="103">
        <f t="shared" si="27"/>
        <v>1.6E-2</v>
      </c>
      <c r="M91" s="105">
        <f t="shared" si="24"/>
        <v>0</v>
      </c>
    </row>
    <row r="92" spans="1:13" ht="21" customHeight="1">
      <c r="A92" s="95">
        <f>MAX($A$1:A91)+1</f>
        <v>68</v>
      </c>
      <c r="B92" s="97" t="s">
        <v>24</v>
      </c>
      <c r="C92" s="97" t="s">
        <v>381</v>
      </c>
      <c r="D92" s="98" t="s">
        <v>382</v>
      </c>
      <c r="E92" s="287"/>
      <c r="F92" s="95">
        <v>20</v>
      </c>
      <c r="G92" s="95">
        <v>4</v>
      </c>
      <c r="H92" s="103">
        <f t="shared" si="22"/>
        <v>8.0000000000000002E-3</v>
      </c>
      <c r="I92" s="100">
        <f t="shared" ref="I92:I96" si="32">F92*4/10000</f>
        <v>8.0000000000000002E-3</v>
      </c>
      <c r="J92" s="103">
        <f t="shared" si="31"/>
        <v>0</v>
      </c>
      <c r="K92" s="103">
        <f t="shared" si="26"/>
        <v>0</v>
      </c>
      <c r="L92" s="103">
        <f t="shared" si="27"/>
        <v>8.0000000000000002E-3</v>
      </c>
      <c r="M92" s="105">
        <f t="shared" si="24"/>
        <v>0</v>
      </c>
    </row>
    <row r="93" spans="1:13" ht="21" customHeight="1">
      <c r="A93" s="95">
        <f>MAX($A$1:A92)+1</f>
        <v>69</v>
      </c>
      <c r="B93" s="97" t="s">
        <v>383</v>
      </c>
      <c r="C93" s="97" t="s">
        <v>384</v>
      </c>
      <c r="D93" s="98" t="s">
        <v>385</v>
      </c>
      <c r="E93" s="287"/>
      <c r="F93" s="95">
        <v>70</v>
      </c>
      <c r="G93" s="95">
        <v>3</v>
      </c>
      <c r="H93" s="103">
        <f t="shared" si="22"/>
        <v>2.1000000000000001E-2</v>
      </c>
      <c r="I93" s="100">
        <f>F93*3/10000</f>
        <v>2.1000000000000001E-2</v>
      </c>
      <c r="J93" s="103">
        <f t="shared" si="31"/>
        <v>0</v>
      </c>
      <c r="K93" s="103">
        <f t="shared" si="26"/>
        <v>0</v>
      </c>
      <c r="L93" s="103">
        <f t="shared" si="27"/>
        <v>2.1000000000000001E-2</v>
      </c>
      <c r="M93" s="105">
        <f t="shared" si="24"/>
        <v>0</v>
      </c>
    </row>
    <row r="94" spans="1:13" ht="32.5" customHeight="1">
      <c r="A94" s="95">
        <f>MAX($A$1:A93)+1</f>
        <v>70</v>
      </c>
      <c r="B94" s="96" t="s">
        <v>386</v>
      </c>
      <c r="C94" s="97" t="s">
        <v>387</v>
      </c>
      <c r="D94" s="98" t="s">
        <v>388</v>
      </c>
      <c r="E94" s="287"/>
      <c r="F94" s="95">
        <v>119</v>
      </c>
      <c r="G94" s="95">
        <v>17</v>
      </c>
      <c r="H94" s="103">
        <f t="shared" si="22"/>
        <v>0.20230000000000001</v>
      </c>
      <c r="I94" s="100">
        <f>F94*17/10000</f>
        <v>0.20230000000000001</v>
      </c>
      <c r="J94" s="103">
        <f t="shared" si="31"/>
        <v>0</v>
      </c>
      <c r="K94" s="103">
        <f t="shared" si="26"/>
        <v>0</v>
      </c>
      <c r="L94" s="103">
        <f t="shared" si="27"/>
        <v>0.20230000000000001</v>
      </c>
      <c r="M94" s="105">
        <f t="shared" si="24"/>
        <v>0</v>
      </c>
    </row>
    <row r="95" spans="1:13" ht="21" customHeight="1">
      <c r="A95" s="287">
        <f>MAX($A$1:A94)+1</f>
        <v>71</v>
      </c>
      <c r="B95" s="267" t="s">
        <v>389</v>
      </c>
      <c r="C95" s="99" t="s">
        <v>390</v>
      </c>
      <c r="D95" s="104" t="s">
        <v>391</v>
      </c>
      <c r="E95" s="287"/>
      <c r="F95" s="99">
        <v>1800</v>
      </c>
      <c r="G95" s="99">
        <v>8</v>
      </c>
      <c r="H95" s="105">
        <f t="shared" si="22"/>
        <v>1.44</v>
      </c>
      <c r="I95" s="105">
        <f t="shared" si="32"/>
        <v>0.72</v>
      </c>
      <c r="J95" s="105">
        <f>F95*4/10000</f>
        <v>0.72</v>
      </c>
      <c r="K95" s="100">
        <f t="shared" si="26"/>
        <v>0</v>
      </c>
      <c r="L95" s="100">
        <f t="shared" si="27"/>
        <v>1.44</v>
      </c>
      <c r="M95" s="100">
        <f t="shared" si="24"/>
        <v>0</v>
      </c>
    </row>
    <row r="96" spans="1:13" ht="21" customHeight="1">
      <c r="A96" s="287"/>
      <c r="B96" s="268"/>
      <c r="C96" s="287" t="s">
        <v>209</v>
      </c>
      <c r="D96" s="288"/>
      <c r="E96" s="287"/>
      <c r="F96" s="99">
        <v>160</v>
      </c>
      <c r="G96" s="99">
        <v>4</v>
      </c>
      <c r="H96" s="105">
        <f t="shared" si="22"/>
        <v>6.4000000000000001E-2</v>
      </c>
      <c r="I96" s="105">
        <f t="shared" si="32"/>
        <v>6.4000000000000001E-2</v>
      </c>
      <c r="J96" s="105">
        <f t="shared" ref="J96:J104" si="33">F96*0/10000</f>
        <v>0</v>
      </c>
      <c r="K96" s="100">
        <f t="shared" si="26"/>
        <v>0</v>
      </c>
      <c r="L96" s="100">
        <f t="shared" si="27"/>
        <v>6.4000000000000001E-2</v>
      </c>
      <c r="M96" s="100">
        <f t="shared" si="24"/>
        <v>0</v>
      </c>
    </row>
    <row r="97" spans="1:13" ht="21" customHeight="1">
      <c r="A97" s="287">
        <f>MAX($A$1:A96)+1</f>
        <v>72</v>
      </c>
      <c r="B97" s="267" t="s">
        <v>392</v>
      </c>
      <c r="C97" s="99" t="s">
        <v>393</v>
      </c>
      <c r="D97" s="104" t="s">
        <v>394</v>
      </c>
      <c r="E97" s="287"/>
      <c r="F97" s="99">
        <v>900</v>
      </c>
      <c r="G97" s="99">
        <v>8</v>
      </c>
      <c r="H97" s="105">
        <f t="shared" si="22"/>
        <v>0.72</v>
      </c>
      <c r="I97" s="105">
        <f>F97*8/10000</f>
        <v>0.72</v>
      </c>
      <c r="J97" s="105">
        <f t="shared" si="33"/>
        <v>0</v>
      </c>
      <c r="K97" s="100">
        <f t="shared" si="26"/>
        <v>0</v>
      </c>
      <c r="L97" s="100">
        <f t="shared" si="27"/>
        <v>0.72</v>
      </c>
      <c r="M97" s="100">
        <f t="shared" si="24"/>
        <v>0</v>
      </c>
    </row>
    <row r="98" spans="1:13" ht="21" customHeight="1">
      <c r="A98" s="287"/>
      <c r="B98" s="268"/>
      <c r="C98" s="287" t="s">
        <v>395</v>
      </c>
      <c r="D98" s="288"/>
      <c r="E98" s="287"/>
      <c r="F98" s="99">
        <v>570</v>
      </c>
      <c r="G98" s="99">
        <v>4</v>
      </c>
      <c r="H98" s="105">
        <f t="shared" si="22"/>
        <v>0.22800000000000001</v>
      </c>
      <c r="I98" s="105">
        <f>F98*4/10000</f>
        <v>0.22800000000000001</v>
      </c>
      <c r="J98" s="105">
        <f t="shared" si="33"/>
        <v>0</v>
      </c>
      <c r="K98" s="100">
        <f t="shared" si="26"/>
        <v>0</v>
      </c>
      <c r="L98" s="100">
        <f t="shared" si="27"/>
        <v>0.22800000000000001</v>
      </c>
      <c r="M98" s="100">
        <f t="shared" si="24"/>
        <v>0</v>
      </c>
    </row>
    <row r="99" spans="1:13" ht="21" customHeight="1">
      <c r="A99" s="287">
        <f>MAX($A$1:A98)+1</f>
        <v>73</v>
      </c>
      <c r="B99" s="267" t="s">
        <v>396</v>
      </c>
      <c r="C99" s="99" t="s">
        <v>397</v>
      </c>
      <c r="D99" s="104" t="s">
        <v>398</v>
      </c>
      <c r="E99" s="287"/>
      <c r="F99" s="99">
        <v>700</v>
      </c>
      <c r="G99" s="99">
        <v>8</v>
      </c>
      <c r="H99" s="105">
        <f t="shared" si="22"/>
        <v>0.56000000000000005</v>
      </c>
      <c r="I99" s="105">
        <f>F99*8/10000</f>
        <v>0.56000000000000005</v>
      </c>
      <c r="J99" s="105">
        <f t="shared" si="33"/>
        <v>0</v>
      </c>
      <c r="K99" s="100">
        <f t="shared" si="26"/>
        <v>0</v>
      </c>
      <c r="L99" s="100">
        <f t="shared" si="27"/>
        <v>0.56000000000000005</v>
      </c>
      <c r="M99" s="100">
        <f t="shared" si="24"/>
        <v>0</v>
      </c>
    </row>
    <row r="100" spans="1:13" ht="21" customHeight="1">
      <c r="A100" s="287"/>
      <c r="B100" s="268"/>
      <c r="C100" s="287" t="s">
        <v>399</v>
      </c>
      <c r="D100" s="288"/>
      <c r="E100" s="287"/>
      <c r="F100" s="99">
        <v>400</v>
      </c>
      <c r="G100" s="99">
        <v>3</v>
      </c>
      <c r="H100" s="105">
        <f t="shared" si="22"/>
        <v>0.12</v>
      </c>
      <c r="I100" s="105">
        <f>F100*3/10000</f>
        <v>0.12</v>
      </c>
      <c r="J100" s="105">
        <f t="shared" si="33"/>
        <v>0</v>
      </c>
      <c r="K100" s="100">
        <f t="shared" si="26"/>
        <v>0</v>
      </c>
      <c r="L100" s="100">
        <f t="shared" si="27"/>
        <v>0.12</v>
      </c>
      <c r="M100" s="100">
        <f t="shared" si="24"/>
        <v>0</v>
      </c>
    </row>
    <row r="101" spans="1:13" ht="21" customHeight="1">
      <c r="A101" s="287">
        <f>MAX($A$1:A100)+1</f>
        <v>74</v>
      </c>
      <c r="B101" s="287" t="s">
        <v>400</v>
      </c>
      <c r="C101" s="99" t="s">
        <v>401</v>
      </c>
      <c r="D101" s="104" t="s">
        <v>402</v>
      </c>
      <c r="E101" s="287"/>
      <c r="F101" s="99">
        <v>1000</v>
      </c>
      <c r="G101" s="99">
        <v>12</v>
      </c>
      <c r="H101" s="105">
        <f t="shared" si="22"/>
        <v>1.2</v>
      </c>
      <c r="I101" s="105">
        <f>F101*12/10000</f>
        <v>1.2</v>
      </c>
      <c r="J101" s="105">
        <f t="shared" si="33"/>
        <v>0</v>
      </c>
      <c r="K101" s="100">
        <f t="shared" si="26"/>
        <v>0</v>
      </c>
      <c r="L101" s="100">
        <f t="shared" si="27"/>
        <v>1.2</v>
      </c>
      <c r="M101" s="100">
        <f t="shared" si="24"/>
        <v>0</v>
      </c>
    </row>
    <row r="102" spans="1:13" ht="21" customHeight="1">
      <c r="A102" s="287"/>
      <c r="B102" s="287"/>
      <c r="C102" s="287" t="s">
        <v>403</v>
      </c>
      <c r="D102" s="288"/>
      <c r="E102" s="287"/>
      <c r="F102" s="99">
        <v>680</v>
      </c>
      <c r="G102" s="99">
        <v>4</v>
      </c>
      <c r="H102" s="105">
        <f t="shared" si="22"/>
        <v>0.27200000000000002</v>
      </c>
      <c r="I102" s="105">
        <f t="shared" ref="I102:I107" si="34">F102*4/10000</f>
        <v>0.27200000000000002</v>
      </c>
      <c r="J102" s="105">
        <f t="shared" si="33"/>
        <v>0</v>
      </c>
      <c r="K102" s="100">
        <f t="shared" si="26"/>
        <v>0</v>
      </c>
      <c r="L102" s="100">
        <f t="shared" si="27"/>
        <v>0.27200000000000002</v>
      </c>
      <c r="M102" s="100">
        <f t="shared" si="24"/>
        <v>0</v>
      </c>
    </row>
    <row r="103" spans="1:13" ht="21" customHeight="1">
      <c r="A103" s="99">
        <f>MAX($A$1:A102)+1</f>
        <v>75</v>
      </c>
      <c r="B103" s="96" t="s">
        <v>404</v>
      </c>
      <c r="C103" s="99" t="s">
        <v>405</v>
      </c>
      <c r="D103" s="104" t="s">
        <v>406</v>
      </c>
      <c r="E103" s="287"/>
      <c r="F103" s="99">
        <v>400</v>
      </c>
      <c r="G103" s="99">
        <v>8</v>
      </c>
      <c r="H103" s="105">
        <f t="shared" si="22"/>
        <v>0.32</v>
      </c>
      <c r="I103" s="105">
        <f>F103*8/10000</f>
        <v>0.32</v>
      </c>
      <c r="J103" s="105">
        <f t="shared" si="33"/>
        <v>0</v>
      </c>
      <c r="K103" s="100">
        <f t="shared" si="26"/>
        <v>0</v>
      </c>
      <c r="L103" s="100">
        <f t="shared" si="27"/>
        <v>0.32</v>
      </c>
      <c r="M103" s="100">
        <f t="shared" si="24"/>
        <v>0</v>
      </c>
    </row>
    <row r="104" spans="1:13" ht="21" customHeight="1">
      <c r="A104" s="99">
        <f>MAX($A$1:A103)+1</f>
        <v>76</v>
      </c>
      <c r="B104" s="96" t="s">
        <v>407</v>
      </c>
      <c r="C104" s="99" t="s">
        <v>248</v>
      </c>
      <c r="D104" s="104" t="s">
        <v>249</v>
      </c>
      <c r="E104" s="287"/>
      <c r="F104" s="99">
        <v>500</v>
      </c>
      <c r="G104" s="99">
        <v>5</v>
      </c>
      <c r="H104" s="105">
        <f t="shared" si="22"/>
        <v>0.25</v>
      </c>
      <c r="I104" s="105">
        <f>F104*5/10000</f>
        <v>0.25</v>
      </c>
      <c r="J104" s="105">
        <f t="shared" si="33"/>
        <v>0</v>
      </c>
      <c r="K104" s="100">
        <f t="shared" si="26"/>
        <v>0</v>
      </c>
      <c r="L104" s="100">
        <f t="shared" si="27"/>
        <v>0.25</v>
      </c>
      <c r="M104" s="100">
        <f t="shared" si="24"/>
        <v>0</v>
      </c>
    </row>
    <row r="105" spans="1:13" ht="21" customHeight="1">
      <c r="A105" s="99">
        <f>MAX($A$1:A104)+1</f>
        <v>77</v>
      </c>
      <c r="B105" s="99" t="s">
        <v>408</v>
      </c>
      <c r="C105" s="99" t="s">
        <v>409</v>
      </c>
      <c r="D105" s="104" t="s">
        <v>410</v>
      </c>
      <c r="E105" s="287"/>
      <c r="F105" s="99">
        <v>500</v>
      </c>
      <c r="G105" s="99">
        <v>4.8</v>
      </c>
      <c r="H105" s="105">
        <f t="shared" si="22"/>
        <v>0.24</v>
      </c>
      <c r="I105" s="105">
        <f t="shared" si="34"/>
        <v>0.2</v>
      </c>
      <c r="J105" s="105">
        <f>F105*0.8/10000</f>
        <v>0.04</v>
      </c>
      <c r="K105" s="100">
        <f t="shared" si="26"/>
        <v>0</v>
      </c>
      <c r="L105" s="100">
        <f t="shared" si="27"/>
        <v>0.24</v>
      </c>
      <c r="M105" s="100">
        <f t="shared" si="24"/>
        <v>0</v>
      </c>
    </row>
    <row r="106" spans="1:13" ht="21" customHeight="1">
      <c r="A106" s="287">
        <f>MAX($A$1:A105)+1</f>
        <v>78</v>
      </c>
      <c r="B106" s="287" t="s">
        <v>411</v>
      </c>
      <c r="C106" s="99" t="s">
        <v>412</v>
      </c>
      <c r="D106" s="104" t="s">
        <v>413</v>
      </c>
      <c r="E106" s="287"/>
      <c r="F106" s="99">
        <v>450</v>
      </c>
      <c r="G106" s="99">
        <v>12</v>
      </c>
      <c r="H106" s="105">
        <f t="shared" si="22"/>
        <v>0.54</v>
      </c>
      <c r="I106" s="105">
        <f>F106*12/10000</f>
        <v>0.54</v>
      </c>
      <c r="J106" s="105">
        <f t="shared" ref="J106:J110" si="35">F106*0/10000</f>
        <v>0</v>
      </c>
      <c r="K106" s="100">
        <f t="shared" si="26"/>
        <v>0</v>
      </c>
      <c r="L106" s="100">
        <f t="shared" si="27"/>
        <v>0.54</v>
      </c>
      <c r="M106" s="100">
        <f t="shared" si="24"/>
        <v>0</v>
      </c>
    </row>
    <row r="107" spans="1:13" s="82" customFormat="1" ht="21" customHeight="1">
      <c r="A107" s="287"/>
      <c r="B107" s="287"/>
      <c r="C107" s="287" t="s">
        <v>414</v>
      </c>
      <c r="D107" s="288"/>
      <c r="E107" s="287"/>
      <c r="F107" s="99">
        <v>95</v>
      </c>
      <c r="G107" s="99">
        <v>4</v>
      </c>
      <c r="H107" s="105">
        <f t="shared" si="22"/>
        <v>3.7999999999999999E-2</v>
      </c>
      <c r="I107" s="105">
        <f t="shared" si="34"/>
        <v>3.7999999999999999E-2</v>
      </c>
      <c r="J107" s="105">
        <f t="shared" si="35"/>
        <v>0</v>
      </c>
      <c r="K107" s="100">
        <f t="shared" si="26"/>
        <v>0</v>
      </c>
      <c r="L107" s="100">
        <f t="shared" si="27"/>
        <v>3.7999999999999999E-2</v>
      </c>
      <c r="M107" s="100">
        <f t="shared" si="24"/>
        <v>0</v>
      </c>
    </row>
    <row r="108" spans="1:13" s="82" customFormat="1" ht="21" customHeight="1">
      <c r="A108" s="287">
        <f>MAX($A$1:A107)+1</f>
        <v>79</v>
      </c>
      <c r="B108" s="267" t="s">
        <v>415</v>
      </c>
      <c r="C108" s="99" t="s">
        <v>416</v>
      </c>
      <c r="D108" s="104" t="s">
        <v>417</v>
      </c>
      <c r="E108" s="287"/>
      <c r="F108" s="99">
        <v>380</v>
      </c>
      <c r="G108" s="99">
        <v>13</v>
      </c>
      <c r="H108" s="105">
        <f t="shared" si="22"/>
        <v>0.49399999999999999</v>
      </c>
      <c r="I108" s="105">
        <f>F108*13/10000</f>
        <v>0.49399999999999999</v>
      </c>
      <c r="J108" s="105">
        <f t="shared" si="35"/>
        <v>0</v>
      </c>
      <c r="K108" s="100">
        <f t="shared" si="26"/>
        <v>0</v>
      </c>
      <c r="L108" s="100">
        <f t="shared" si="27"/>
        <v>0.49399999999999999</v>
      </c>
      <c r="M108" s="100">
        <f t="shared" si="24"/>
        <v>0</v>
      </c>
    </row>
    <row r="109" spans="1:13" s="82" customFormat="1" ht="31.5" customHeight="1">
      <c r="A109" s="287"/>
      <c r="B109" s="307"/>
      <c r="C109" s="287" t="s">
        <v>414</v>
      </c>
      <c r="D109" s="288"/>
      <c r="E109" s="287"/>
      <c r="F109" s="99">
        <v>125</v>
      </c>
      <c r="G109" s="99">
        <v>4</v>
      </c>
      <c r="H109" s="105">
        <f t="shared" si="22"/>
        <v>0.05</v>
      </c>
      <c r="I109" s="105">
        <f>F109*4/10000</f>
        <v>0.05</v>
      </c>
      <c r="J109" s="105">
        <f t="shared" si="35"/>
        <v>0</v>
      </c>
      <c r="K109" s="100">
        <f t="shared" si="26"/>
        <v>0</v>
      </c>
      <c r="L109" s="100">
        <f t="shared" si="27"/>
        <v>0.05</v>
      </c>
      <c r="M109" s="100">
        <f t="shared" si="24"/>
        <v>0</v>
      </c>
    </row>
    <row r="110" spans="1:13" s="82" customFormat="1" ht="21" customHeight="1">
      <c r="A110" s="99">
        <f>MAX($A$1:A109)+1</f>
        <v>80</v>
      </c>
      <c r="B110" s="99" t="s">
        <v>418</v>
      </c>
      <c r="C110" s="99" t="s">
        <v>419</v>
      </c>
      <c r="D110" s="104" t="s">
        <v>420</v>
      </c>
      <c r="E110" s="287"/>
      <c r="F110" s="99">
        <v>450</v>
      </c>
      <c r="G110" s="99">
        <v>13</v>
      </c>
      <c r="H110" s="105">
        <f t="shared" si="22"/>
        <v>0.58499999999999996</v>
      </c>
      <c r="I110" s="105">
        <f>F110*13/10000</f>
        <v>0.58499999999999996</v>
      </c>
      <c r="J110" s="105">
        <f t="shared" si="35"/>
        <v>0</v>
      </c>
      <c r="K110" s="100">
        <f t="shared" si="26"/>
        <v>0</v>
      </c>
      <c r="L110" s="100">
        <f t="shared" si="27"/>
        <v>0.58499999999999996</v>
      </c>
      <c r="M110" s="100">
        <f t="shared" si="24"/>
        <v>0</v>
      </c>
    </row>
    <row r="111" spans="1:13" s="82" customFormat="1" ht="21" customHeight="1">
      <c r="A111" s="99">
        <f>MAX($A$1:A110)+1</f>
        <v>81</v>
      </c>
      <c r="B111" s="99" t="s">
        <v>421</v>
      </c>
      <c r="C111" s="131" t="s">
        <v>422</v>
      </c>
      <c r="D111" s="104" t="s">
        <v>423</v>
      </c>
      <c r="E111" s="287"/>
      <c r="F111" s="99">
        <v>1500</v>
      </c>
      <c r="G111" s="99">
        <v>12</v>
      </c>
      <c r="H111" s="105">
        <f t="shared" si="22"/>
        <v>1.8</v>
      </c>
      <c r="I111" s="105">
        <f>F111*6/10000</f>
        <v>0.9</v>
      </c>
      <c r="J111" s="105">
        <f>F111*6/10000</f>
        <v>0.9</v>
      </c>
      <c r="K111" s="100">
        <f t="shared" si="26"/>
        <v>0</v>
      </c>
      <c r="L111" s="100">
        <f t="shared" si="27"/>
        <v>1.8</v>
      </c>
      <c r="M111" s="100">
        <f t="shared" si="24"/>
        <v>0</v>
      </c>
    </row>
    <row r="112" spans="1:13" s="82" customFormat="1" ht="21" customHeight="1">
      <c r="A112" s="99">
        <f>MAX($A$1:A111)+1</f>
        <v>82</v>
      </c>
      <c r="B112" s="99" t="s">
        <v>424</v>
      </c>
      <c r="C112" s="99" t="s">
        <v>425</v>
      </c>
      <c r="D112" s="104" t="s">
        <v>426</v>
      </c>
      <c r="E112" s="287"/>
      <c r="F112" s="99">
        <v>400</v>
      </c>
      <c r="G112" s="99">
        <v>9</v>
      </c>
      <c r="H112" s="105">
        <f t="shared" si="22"/>
        <v>0.36</v>
      </c>
      <c r="I112" s="105">
        <f>F112*9/10000</f>
        <v>0.36</v>
      </c>
      <c r="J112" s="105">
        <f>F112*0/10000</f>
        <v>0</v>
      </c>
      <c r="K112" s="100">
        <f t="shared" si="26"/>
        <v>0</v>
      </c>
      <c r="L112" s="100">
        <f t="shared" si="27"/>
        <v>0.36</v>
      </c>
      <c r="M112" s="100">
        <f t="shared" si="24"/>
        <v>0</v>
      </c>
    </row>
    <row r="113" spans="1:13" s="82" customFormat="1" ht="21" customHeight="1">
      <c r="A113" s="99">
        <f>MAX($A$1:A112)+1</f>
        <v>83</v>
      </c>
      <c r="B113" s="99" t="s">
        <v>427</v>
      </c>
      <c r="C113" s="99" t="s">
        <v>428</v>
      </c>
      <c r="D113" s="104" t="s">
        <v>429</v>
      </c>
      <c r="E113" s="287"/>
      <c r="F113" s="99">
        <v>1500</v>
      </c>
      <c r="G113" s="99">
        <v>8</v>
      </c>
      <c r="H113" s="105">
        <f t="shared" si="22"/>
        <v>1.2</v>
      </c>
      <c r="I113" s="105">
        <f>F113*8/10000</f>
        <v>1.2</v>
      </c>
      <c r="J113" s="105">
        <f>F113*0/10000</f>
        <v>0</v>
      </c>
      <c r="K113" s="100">
        <f t="shared" si="26"/>
        <v>0</v>
      </c>
      <c r="L113" s="100">
        <f t="shared" si="27"/>
        <v>1.2</v>
      </c>
      <c r="M113" s="100">
        <f t="shared" si="24"/>
        <v>0</v>
      </c>
    </row>
    <row r="114" spans="1:13" s="82" customFormat="1" ht="21" customHeight="1">
      <c r="A114" s="99">
        <f>MAX($A$1:A113)+1</f>
        <v>84</v>
      </c>
      <c r="B114" s="99" t="s">
        <v>430</v>
      </c>
      <c r="C114" s="287" t="s">
        <v>431</v>
      </c>
      <c r="D114" s="288"/>
      <c r="E114" s="287"/>
      <c r="F114" s="99">
        <v>490</v>
      </c>
      <c r="G114" s="99">
        <v>9</v>
      </c>
      <c r="H114" s="105">
        <f t="shared" si="22"/>
        <v>0.441</v>
      </c>
      <c r="I114" s="105">
        <f>F114*9/10000</f>
        <v>0.441</v>
      </c>
      <c r="J114" s="105">
        <f t="shared" ref="J114:J121" si="36">F114*0/10000</f>
        <v>0</v>
      </c>
      <c r="K114" s="100">
        <f t="shared" si="26"/>
        <v>0</v>
      </c>
      <c r="L114" s="100">
        <f t="shared" si="27"/>
        <v>0.441</v>
      </c>
      <c r="M114" s="100">
        <f t="shared" si="24"/>
        <v>0</v>
      </c>
    </row>
    <row r="115" spans="1:13" s="82" customFormat="1" ht="21" customHeight="1">
      <c r="A115" s="99">
        <f>MAX($A$1:A114)+1</f>
        <v>85</v>
      </c>
      <c r="B115" s="99" t="s">
        <v>432</v>
      </c>
      <c r="C115" s="99" t="s">
        <v>433</v>
      </c>
      <c r="D115" s="104" t="s">
        <v>434</v>
      </c>
      <c r="E115" s="287"/>
      <c r="F115" s="99">
        <v>1000</v>
      </c>
      <c r="G115" s="99">
        <v>11</v>
      </c>
      <c r="H115" s="105">
        <f t="shared" si="22"/>
        <v>1.1000000000000001</v>
      </c>
      <c r="I115" s="105">
        <f t="shared" ref="I115:I118" si="37">F115*11/10000</f>
        <v>1.1000000000000001</v>
      </c>
      <c r="J115" s="105">
        <f t="shared" si="36"/>
        <v>0</v>
      </c>
      <c r="K115" s="100">
        <f t="shared" si="26"/>
        <v>0</v>
      </c>
      <c r="L115" s="100">
        <f t="shared" si="27"/>
        <v>1.1000000000000001</v>
      </c>
      <c r="M115" s="100">
        <f t="shared" si="24"/>
        <v>0</v>
      </c>
    </row>
    <row r="116" spans="1:13" s="82" customFormat="1" ht="21" customHeight="1">
      <c r="A116" s="99">
        <f>MAX($A$1:A115)+1</f>
        <v>86</v>
      </c>
      <c r="B116" s="99" t="s">
        <v>435</v>
      </c>
      <c r="C116" s="99" t="s">
        <v>436</v>
      </c>
      <c r="D116" s="104" t="s">
        <v>437</v>
      </c>
      <c r="E116" s="287"/>
      <c r="F116" s="99">
        <v>300</v>
      </c>
      <c r="G116" s="99">
        <v>11</v>
      </c>
      <c r="H116" s="105">
        <f t="shared" si="22"/>
        <v>0.33</v>
      </c>
      <c r="I116" s="105">
        <f t="shared" si="37"/>
        <v>0.33</v>
      </c>
      <c r="J116" s="105">
        <f t="shared" si="36"/>
        <v>0</v>
      </c>
      <c r="K116" s="100">
        <f t="shared" si="26"/>
        <v>0</v>
      </c>
      <c r="L116" s="100">
        <f t="shared" si="27"/>
        <v>0.33</v>
      </c>
      <c r="M116" s="100">
        <f t="shared" si="24"/>
        <v>0</v>
      </c>
    </row>
    <row r="117" spans="1:13" s="82" customFormat="1" ht="35" customHeight="1">
      <c r="A117" s="99">
        <f>MAX($A$1:A116)+1</f>
        <v>87</v>
      </c>
      <c r="B117" s="96" t="s">
        <v>438</v>
      </c>
      <c r="C117" s="99" t="s">
        <v>439</v>
      </c>
      <c r="D117" s="104" t="s">
        <v>440</v>
      </c>
      <c r="E117" s="287"/>
      <c r="F117" s="99">
        <v>300</v>
      </c>
      <c r="G117" s="99">
        <v>11</v>
      </c>
      <c r="H117" s="105">
        <f t="shared" si="22"/>
        <v>0.33</v>
      </c>
      <c r="I117" s="105">
        <f t="shared" si="37"/>
        <v>0.33</v>
      </c>
      <c r="J117" s="105">
        <f t="shared" si="36"/>
        <v>0</v>
      </c>
      <c r="K117" s="100">
        <f t="shared" si="26"/>
        <v>0</v>
      </c>
      <c r="L117" s="100">
        <f t="shared" si="27"/>
        <v>0.33</v>
      </c>
      <c r="M117" s="100">
        <f t="shared" si="24"/>
        <v>0</v>
      </c>
    </row>
    <row r="118" spans="1:13" s="82" customFormat="1" ht="32.5" customHeight="1">
      <c r="A118" s="99">
        <f>MAX($A$1:A117)+1</f>
        <v>88</v>
      </c>
      <c r="B118" s="96" t="s">
        <v>441</v>
      </c>
      <c r="C118" s="99" t="s">
        <v>439</v>
      </c>
      <c r="D118" s="104" t="s">
        <v>442</v>
      </c>
      <c r="E118" s="287"/>
      <c r="F118" s="99">
        <v>300</v>
      </c>
      <c r="G118" s="99">
        <v>11</v>
      </c>
      <c r="H118" s="105">
        <f t="shared" si="22"/>
        <v>0.33</v>
      </c>
      <c r="I118" s="105">
        <f t="shared" si="37"/>
        <v>0.33</v>
      </c>
      <c r="J118" s="105">
        <f t="shared" si="36"/>
        <v>0</v>
      </c>
      <c r="K118" s="100">
        <f t="shared" si="26"/>
        <v>0</v>
      </c>
      <c r="L118" s="100">
        <f t="shared" si="27"/>
        <v>0.33</v>
      </c>
      <c r="M118" s="100">
        <f t="shared" si="24"/>
        <v>0</v>
      </c>
    </row>
    <row r="119" spans="1:13" s="82" customFormat="1" ht="21" customHeight="1">
      <c r="A119" s="99">
        <f>MAX($A$1:A118)+1</f>
        <v>89</v>
      </c>
      <c r="B119" s="99" t="s">
        <v>443</v>
      </c>
      <c r="C119" s="99" t="s">
        <v>444</v>
      </c>
      <c r="D119" s="104" t="s">
        <v>445</v>
      </c>
      <c r="E119" s="287"/>
      <c r="F119" s="99">
        <v>100</v>
      </c>
      <c r="G119" s="99">
        <v>4</v>
      </c>
      <c r="H119" s="105">
        <f t="shared" si="22"/>
        <v>0.04</v>
      </c>
      <c r="I119" s="105">
        <f>F119*4/10000</f>
        <v>0.04</v>
      </c>
      <c r="J119" s="105">
        <f t="shared" si="36"/>
        <v>0</v>
      </c>
      <c r="K119" s="100">
        <f t="shared" si="26"/>
        <v>0</v>
      </c>
      <c r="L119" s="100">
        <f t="shared" si="27"/>
        <v>0.04</v>
      </c>
      <c r="M119" s="100">
        <f t="shared" si="24"/>
        <v>0</v>
      </c>
    </row>
    <row r="120" spans="1:13" s="82" customFormat="1" ht="21" customHeight="1">
      <c r="A120" s="99">
        <f>MAX($A$1:A119)+1</f>
        <v>90</v>
      </c>
      <c r="B120" s="96" t="s">
        <v>446</v>
      </c>
      <c r="C120" s="99" t="s">
        <v>447</v>
      </c>
      <c r="D120" s="104" t="s">
        <v>448</v>
      </c>
      <c r="E120" s="287"/>
      <c r="F120" s="99">
        <v>250</v>
      </c>
      <c r="G120" s="99">
        <v>10</v>
      </c>
      <c r="H120" s="105">
        <f t="shared" si="22"/>
        <v>0.25</v>
      </c>
      <c r="I120" s="105">
        <f>F120*10/10000</f>
        <v>0.25</v>
      </c>
      <c r="J120" s="105">
        <f t="shared" si="36"/>
        <v>0</v>
      </c>
      <c r="K120" s="100">
        <f t="shared" si="26"/>
        <v>0</v>
      </c>
      <c r="L120" s="100">
        <f t="shared" si="27"/>
        <v>0.25</v>
      </c>
      <c r="M120" s="100">
        <f t="shared" si="24"/>
        <v>0</v>
      </c>
    </row>
    <row r="121" spans="1:13" s="82" customFormat="1" ht="21" customHeight="1">
      <c r="A121" s="99">
        <f>MAX($A$1:A120)+1</f>
        <v>91</v>
      </c>
      <c r="B121" s="99" t="s">
        <v>449</v>
      </c>
      <c r="C121" s="99" t="s">
        <v>428</v>
      </c>
      <c r="D121" s="104" t="s">
        <v>450</v>
      </c>
      <c r="E121" s="287"/>
      <c r="F121" s="99">
        <v>1500</v>
      </c>
      <c r="G121" s="99">
        <v>6</v>
      </c>
      <c r="H121" s="129">
        <f t="shared" si="22"/>
        <v>0.9</v>
      </c>
      <c r="I121" s="105">
        <f>F121*6/10000</f>
        <v>0.9</v>
      </c>
      <c r="J121" s="129">
        <f t="shared" si="36"/>
        <v>0</v>
      </c>
      <c r="K121" s="129">
        <f t="shared" si="26"/>
        <v>0</v>
      </c>
      <c r="L121" s="129">
        <f t="shared" si="27"/>
        <v>0.9</v>
      </c>
      <c r="M121" s="129">
        <f t="shared" si="24"/>
        <v>0</v>
      </c>
    </row>
    <row r="122" spans="1:13" s="82" customFormat="1" ht="21" customHeight="1">
      <c r="A122" s="99">
        <f>MAX($A$1:A121)+1</f>
        <v>92</v>
      </c>
      <c r="B122" s="96" t="s">
        <v>451</v>
      </c>
      <c r="C122" s="132" t="s">
        <v>452</v>
      </c>
      <c r="D122" s="133" t="s">
        <v>453</v>
      </c>
      <c r="E122" s="287"/>
      <c r="F122" s="132">
        <v>700</v>
      </c>
      <c r="G122" s="132">
        <v>20.8</v>
      </c>
      <c r="H122" s="134">
        <f t="shared" si="22"/>
        <v>1.456</v>
      </c>
      <c r="I122" s="134">
        <f>F122*12.8/10000</f>
        <v>0.89600000000000002</v>
      </c>
      <c r="J122" s="134">
        <f>F122*8/10000</f>
        <v>0.56000000000000005</v>
      </c>
      <c r="K122" s="134">
        <f t="shared" si="26"/>
        <v>0</v>
      </c>
      <c r="L122" s="134">
        <f t="shared" si="27"/>
        <v>1.456</v>
      </c>
      <c r="M122" s="132">
        <f t="shared" si="24"/>
        <v>0</v>
      </c>
    </row>
    <row r="123" spans="1:13" s="82" customFormat="1" ht="21" customHeight="1">
      <c r="A123" s="99">
        <f>MAX($A$1:A122)+1</f>
        <v>93</v>
      </c>
      <c r="B123" s="135" t="s">
        <v>454</v>
      </c>
      <c r="C123" s="291" t="s">
        <v>455</v>
      </c>
      <c r="D123" s="292"/>
      <c r="E123" s="287"/>
      <c r="F123" s="138">
        <v>1200</v>
      </c>
      <c r="G123" s="138">
        <v>20.5</v>
      </c>
      <c r="H123" s="100">
        <f t="shared" si="22"/>
        <v>2.46</v>
      </c>
      <c r="I123" s="100">
        <f>F123*20.5/10000</f>
        <v>2.46</v>
      </c>
      <c r="J123" s="105">
        <f t="shared" ref="J123:J127" si="38">F123*0/10000</f>
        <v>0</v>
      </c>
      <c r="K123" s="100">
        <f t="shared" si="26"/>
        <v>0</v>
      </c>
      <c r="L123" s="100">
        <f t="shared" si="27"/>
        <v>2.46</v>
      </c>
      <c r="M123" s="100">
        <f t="shared" si="24"/>
        <v>0</v>
      </c>
    </row>
    <row r="124" spans="1:13" s="82" customFormat="1" ht="21" customHeight="1">
      <c r="A124" s="298">
        <f>MAX($A$1:A123)+1</f>
        <v>94</v>
      </c>
      <c r="B124" s="267" t="s">
        <v>456</v>
      </c>
      <c r="C124" s="136" t="s">
        <v>457</v>
      </c>
      <c r="D124" s="98" t="s">
        <v>458</v>
      </c>
      <c r="E124" s="287"/>
      <c r="F124" s="138">
        <v>380</v>
      </c>
      <c r="G124" s="138">
        <v>10.5</v>
      </c>
      <c r="H124" s="100">
        <f t="shared" si="22"/>
        <v>0.39900000000000002</v>
      </c>
      <c r="I124" s="100">
        <f>F124*10.5/10000</f>
        <v>0.39900000000000002</v>
      </c>
      <c r="J124" s="105">
        <f t="shared" si="38"/>
        <v>0</v>
      </c>
      <c r="K124" s="100">
        <f t="shared" si="26"/>
        <v>0</v>
      </c>
      <c r="L124" s="100">
        <f t="shared" si="27"/>
        <v>0.39900000000000002</v>
      </c>
      <c r="M124" s="100">
        <f t="shared" si="24"/>
        <v>0</v>
      </c>
    </row>
    <row r="125" spans="1:13" s="82" customFormat="1" ht="16.149999999999999" customHeight="1">
      <c r="A125" s="298"/>
      <c r="B125" s="307"/>
      <c r="C125" s="291" t="s">
        <v>459</v>
      </c>
      <c r="D125" s="292"/>
      <c r="E125" s="287"/>
      <c r="F125" s="138">
        <v>280</v>
      </c>
      <c r="G125" s="138">
        <v>2.7</v>
      </c>
      <c r="H125" s="100">
        <f t="shared" si="22"/>
        <v>7.5600000000000001E-2</v>
      </c>
      <c r="I125" s="100">
        <f>F125*2.7/10000</f>
        <v>7.5600000000000001E-2</v>
      </c>
      <c r="J125" s="105">
        <f t="shared" si="38"/>
        <v>0</v>
      </c>
      <c r="K125" s="100">
        <f t="shared" si="26"/>
        <v>0</v>
      </c>
      <c r="L125" s="100">
        <f t="shared" si="27"/>
        <v>7.5600000000000001E-2</v>
      </c>
      <c r="M125" s="100">
        <f t="shared" si="24"/>
        <v>0</v>
      </c>
    </row>
    <row r="126" spans="1:13" s="82" customFormat="1" ht="21" customHeight="1">
      <c r="A126" s="298">
        <f>MAX($A$1:A125)+1</f>
        <v>95</v>
      </c>
      <c r="B126" s="267" t="s">
        <v>460</v>
      </c>
      <c r="C126" s="136" t="s">
        <v>461</v>
      </c>
      <c r="D126" s="98" t="s">
        <v>462</v>
      </c>
      <c r="E126" s="287"/>
      <c r="F126" s="138">
        <v>360</v>
      </c>
      <c r="G126" s="138">
        <v>8.1</v>
      </c>
      <c r="H126" s="100">
        <f t="shared" ref="H126:H142" si="39">F126*G126/10000</f>
        <v>0.29160000000000003</v>
      </c>
      <c r="I126" s="100">
        <f>F126*8.1/10000</f>
        <v>0.29160000000000003</v>
      </c>
      <c r="J126" s="105">
        <f t="shared" si="38"/>
        <v>0</v>
      </c>
      <c r="K126" s="100">
        <f t="shared" si="26"/>
        <v>0</v>
      </c>
      <c r="L126" s="100">
        <f t="shared" si="27"/>
        <v>0.29160000000000003</v>
      </c>
      <c r="M126" s="100">
        <f t="shared" ref="M126:M143" si="40">F126*0/10000</f>
        <v>0</v>
      </c>
    </row>
    <row r="127" spans="1:13" s="82" customFormat="1" ht="15" customHeight="1">
      <c r="A127" s="298"/>
      <c r="B127" s="307"/>
      <c r="C127" s="291" t="s">
        <v>463</v>
      </c>
      <c r="D127" s="292"/>
      <c r="E127" s="287"/>
      <c r="F127" s="138">
        <v>180</v>
      </c>
      <c r="G127" s="138">
        <v>2</v>
      </c>
      <c r="H127" s="100">
        <f t="shared" si="39"/>
        <v>3.5999999999999997E-2</v>
      </c>
      <c r="I127" s="100">
        <f>F127*2/10000</f>
        <v>3.5999999999999997E-2</v>
      </c>
      <c r="J127" s="105">
        <f t="shared" si="38"/>
        <v>0</v>
      </c>
      <c r="K127" s="100">
        <f t="shared" si="26"/>
        <v>0</v>
      </c>
      <c r="L127" s="100">
        <f t="shared" si="27"/>
        <v>3.5999999999999997E-2</v>
      </c>
      <c r="M127" s="100">
        <f t="shared" si="40"/>
        <v>0</v>
      </c>
    </row>
    <row r="128" spans="1:13" s="82" customFormat="1" ht="21" customHeight="1">
      <c r="A128" s="138">
        <f>MAX($A$1:A127)+1</f>
        <v>96</v>
      </c>
      <c r="B128" s="136" t="s">
        <v>464</v>
      </c>
      <c r="C128" s="136" t="s">
        <v>68</v>
      </c>
      <c r="D128" s="98" t="s">
        <v>465</v>
      </c>
      <c r="E128" s="287"/>
      <c r="F128" s="138">
        <v>500</v>
      </c>
      <c r="G128" s="138">
        <v>25.6</v>
      </c>
      <c r="H128" s="100">
        <f t="shared" si="39"/>
        <v>1.28</v>
      </c>
      <c r="I128" s="100">
        <f>F128*21.6/10000</f>
        <v>1.08</v>
      </c>
      <c r="J128" s="105">
        <f>250*8/10000</f>
        <v>0.2</v>
      </c>
      <c r="K128" s="100">
        <f t="shared" si="26"/>
        <v>0</v>
      </c>
      <c r="L128" s="100">
        <f t="shared" si="27"/>
        <v>1.28</v>
      </c>
      <c r="M128" s="100">
        <f t="shared" si="40"/>
        <v>0</v>
      </c>
    </row>
    <row r="129" spans="1:13" s="83" customFormat="1" ht="24" customHeight="1">
      <c r="A129" s="298">
        <f>MAX($A$1:A128)+1</f>
        <v>97</v>
      </c>
      <c r="B129" s="267" t="s">
        <v>466</v>
      </c>
      <c r="C129" s="136" t="s">
        <v>467</v>
      </c>
      <c r="D129" s="98" t="s">
        <v>468</v>
      </c>
      <c r="E129" s="287"/>
      <c r="F129" s="138">
        <v>140</v>
      </c>
      <c r="G129" s="138">
        <v>9</v>
      </c>
      <c r="H129" s="100">
        <f t="shared" si="39"/>
        <v>0.126</v>
      </c>
      <c r="I129" s="100">
        <f>F129*9/10000</f>
        <v>0.126</v>
      </c>
      <c r="J129" s="105">
        <f>F129*0/10000</f>
        <v>0</v>
      </c>
      <c r="K129" s="100">
        <f t="shared" si="26"/>
        <v>0</v>
      </c>
      <c r="L129" s="100">
        <f t="shared" si="27"/>
        <v>0.126</v>
      </c>
      <c r="M129" s="100">
        <f t="shared" si="40"/>
        <v>0</v>
      </c>
    </row>
    <row r="130" spans="1:13" s="84" customFormat="1" ht="25.15" customHeight="1">
      <c r="A130" s="298"/>
      <c r="B130" s="308"/>
      <c r="C130" s="291" t="s">
        <v>469</v>
      </c>
      <c r="D130" s="292"/>
      <c r="E130" s="287"/>
      <c r="F130" s="138">
        <v>60</v>
      </c>
      <c r="G130" s="138">
        <v>3</v>
      </c>
      <c r="H130" s="100">
        <f t="shared" si="39"/>
        <v>1.7999999999999999E-2</v>
      </c>
      <c r="I130" s="100">
        <f>F130*3/10000</f>
        <v>1.7999999999999999E-2</v>
      </c>
      <c r="J130" s="105">
        <f>F130*0/10000</f>
        <v>0</v>
      </c>
      <c r="K130" s="100">
        <f t="shared" si="26"/>
        <v>0</v>
      </c>
      <c r="L130" s="100">
        <f t="shared" si="27"/>
        <v>1.7999999999999999E-2</v>
      </c>
      <c r="M130" s="100">
        <f t="shared" si="40"/>
        <v>0</v>
      </c>
    </row>
    <row r="131" spans="1:13" s="83" customFormat="1" ht="24" customHeight="1">
      <c r="A131" s="138">
        <f>MAX($A$1:A130)+1</f>
        <v>98</v>
      </c>
      <c r="B131" s="136" t="s">
        <v>470</v>
      </c>
      <c r="C131" s="136" t="s">
        <v>471</v>
      </c>
      <c r="D131" s="98" t="s">
        <v>472</v>
      </c>
      <c r="E131" s="287"/>
      <c r="F131" s="138">
        <v>800</v>
      </c>
      <c r="G131" s="138">
        <v>12</v>
      </c>
      <c r="H131" s="100">
        <f t="shared" si="39"/>
        <v>0.96</v>
      </c>
      <c r="I131" s="100">
        <f>F131*12/10000</f>
        <v>0.96</v>
      </c>
      <c r="J131" s="105">
        <f>F131*0/10000</f>
        <v>0</v>
      </c>
      <c r="K131" s="100">
        <f t="shared" si="26"/>
        <v>0</v>
      </c>
      <c r="L131" s="100">
        <f t="shared" si="27"/>
        <v>0.96</v>
      </c>
      <c r="M131" s="100">
        <f t="shared" si="40"/>
        <v>0</v>
      </c>
    </row>
    <row r="132" spans="1:13" s="83" customFormat="1" ht="29.5" customHeight="1">
      <c r="A132" s="138">
        <f>MAX($A$1:A131)+1</f>
        <v>99</v>
      </c>
      <c r="B132" s="96" t="s">
        <v>473</v>
      </c>
      <c r="C132" s="136" t="s">
        <v>167</v>
      </c>
      <c r="D132" s="98" t="s">
        <v>474</v>
      </c>
      <c r="E132" s="287"/>
      <c r="F132" s="138">
        <v>240</v>
      </c>
      <c r="G132" s="138">
        <v>16</v>
      </c>
      <c r="H132" s="100">
        <f t="shared" si="39"/>
        <v>0.38400000000000001</v>
      </c>
      <c r="I132" s="100">
        <f>F132*16/10000</f>
        <v>0.38400000000000001</v>
      </c>
      <c r="J132" s="105">
        <f>F132*0/10000</f>
        <v>0</v>
      </c>
      <c r="K132" s="100">
        <f t="shared" si="26"/>
        <v>0</v>
      </c>
      <c r="L132" s="100">
        <f t="shared" si="27"/>
        <v>0.38400000000000001</v>
      </c>
      <c r="M132" s="100">
        <f t="shared" si="40"/>
        <v>0</v>
      </c>
    </row>
    <row r="133" spans="1:13" s="83" customFormat="1" ht="28.15" customHeight="1">
      <c r="A133" s="138">
        <f>MAX($A$1:A132)+1</f>
        <v>100</v>
      </c>
      <c r="B133" s="136" t="s">
        <v>475</v>
      </c>
      <c r="C133" s="136" t="s">
        <v>476</v>
      </c>
      <c r="D133" s="98" t="s">
        <v>477</v>
      </c>
      <c r="E133" s="287"/>
      <c r="F133" s="138">
        <v>1000</v>
      </c>
      <c r="G133" s="138">
        <v>15.9</v>
      </c>
      <c r="H133" s="100">
        <f t="shared" si="39"/>
        <v>1.59</v>
      </c>
      <c r="I133" s="100">
        <f>F133*9.9/10000</f>
        <v>0.99</v>
      </c>
      <c r="J133" s="105">
        <f>600*10/10000</f>
        <v>0.6</v>
      </c>
      <c r="K133" s="100">
        <f t="shared" si="26"/>
        <v>0</v>
      </c>
      <c r="L133" s="100">
        <f t="shared" si="27"/>
        <v>1.59</v>
      </c>
      <c r="M133" s="100">
        <f t="shared" si="40"/>
        <v>0</v>
      </c>
    </row>
    <row r="134" spans="1:13" s="83" customFormat="1" ht="24" customHeight="1">
      <c r="A134" s="138">
        <f>MAX($A$1:A133)+1</f>
        <v>101</v>
      </c>
      <c r="B134" s="136" t="s">
        <v>478</v>
      </c>
      <c r="C134" s="136" t="s">
        <v>479</v>
      </c>
      <c r="D134" s="98" t="s">
        <v>480</v>
      </c>
      <c r="E134" s="287"/>
      <c r="F134" s="138">
        <v>100</v>
      </c>
      <c r="G134" s="138">
        <v>18</v>
      </c>
      <c r="H134" s="100">
        <f t="shared" si="39"/>
        <v>0.18</v>
      </c>
      <c r="I134" s="100">
        <f>F134*9/10000</f>
        <v>0.09</v>
      </c>
      <c r="J134" s="105">
        <f>F134*9/10000</f>
        <v>0.09</v>
      </c>
      <c r="K134" s="100">
        <f t="shared" si="26"/>
        <v>0</v>
      </c>
      <c r="L134" s="100">
        <f t="shared" si="27"/>
        <v>0.18</v>
      </c>
      <c r="M134" s="100">
        <f t="shared" si="40"/>
        <v>0</v>
      </c>
    </row>
    <row r="135" spans="1:13" s="83" customFormat="1" ht="24" customHeight="1">
      <c r="A135" s="138">
        <f>MAX($A$1:A134)+1</f>
        <v>102</v>
      </c>
      <c r="B135" s="88" t="s">
        <v>481</v>
      </c>
      <c r="C135" s="136" t="s">
        <v>482</v>
      </c>
      <c r="D135" s="98" t="s">
        <v>483</v>
      </c>
      <c r="E135" s="287"/>
      <c r="F135" s="138">
        <v>544</v>
      </c>
      <c r="G135" s="138">
        <v>10</v>
      </c>
      <c r="H135" s="100">
        <f t="shared" si="39"/>
        <v>0.54400000000000004</v>
      </c>
      <c r="I135" s="100">
        <f>F135*10/10000</f>
        <v>0.54400000000000004</v>
      </c>
      <c r="J135" s="105">
        <f>F135*0/10000</f>
        <v>0</v>
      </c>
      <c r="K135" s="100">
        <f t="shared" ref="K135:K141" si="41">F135*0/10000</f>
        <v>0</v>
      </c>
      <c r="L135" s="100">
        <f t="shared" ref="L135:L142" si="42">SUM(I135:K135)</f>
        <v>0.54400000000000004</v>
      </c>
      <c r="M135" s="100">
        <f t="shared" si="40"/>
        <v>0</v>
      </c>
    </row>
    <row r="136" spans="1:13" s="83" customFormat="1" ht="24" customHeight="1">
      <c r="A136" s="138">
        <f>MAX($A$1:A135)+1</f>
        <v>103</v>
      </c>
      <c r="B136" s="136" t="s">
        <v>484</v>
      </c>
      <c r="C136" s="136" t="s">
        <v>485</v>
      </c>
      <c r="D136" s="98" t="s">
        <v>486</v>
      </c>
      <c r="E136" s="287"/>
      <c r="F136" s="138">
        <v>150</v>
      </c>
      <c r="G136" s="138">
        <v>6.5</v>
      </c>
      <c r="H136" s="100">
        <f t="shared" si="39"/>
        <v>9.7500000000000003E-2</v>
      </c>
      <c r="I136" s="100">
        <f>F136*6.5/10000</f>
        <v>9.7500000000000003E-2</v>
      </c>
      <c r="J136" s="105">
        <f>F136*0/10000</f>
        <v>0</v>
      </c>
      <c r="K136" s="100">
        <f t="shared" si="41"/>
        <v>0</v>
      </c>
      <c r="L136" s="100">
        <f t="shared" si="42"/>
        <v>9.7500000000000003E-2</v>
      </c>
      <c r="M136" s="100">
        <f t="shared" si="40"/>
        <v>0</v>
      </c>
    </row>
    <row r="137" spans="1:13" s="83" customFormat="1" ht="34.5" customHeight="1">
      <c r="A137" s="138">
        <f>MAX($A$1:A136)+1</f>
        <v>104</v>
      </c>
      <c r="B137" s="136" t="s">
        <v>172</v>
      </c>
      <c r="C137" s="136" t="s">
        <v>487</v>
      </c>
      <c r="D137" s="98" t="s">
        <v>488</v>
      </c>
      <c r="E137" s="287"/>
      <c r="F137" s="138">
        <v>600</v>
      </c>
      <c r="G137" s="138">
        <v>13</v>
      </c>
      <c r="H137" s="100">
        <f t="shared" si="39"/>
        <v>0.78</v>
      </c>
      <c r="I137" s="100">
        <f>F137*13/10000</f>
        <v>0.78</v>
      </c>
      <c r="J137" s="105">
        <f>F137*0/10000</f>
        <v>0</v>
      </c>
      <c r="K137" s="100">
        <f t="shared" si="41"/>
        <v>0</v>
      </c>
      <c r="L137" s="100">
        <f t="shared" si="42"/>
        <v>0.78</v>
      </c>
      <c r="M137" s="100">
        <f t="shared" si="40"/>
        <v>0</v>
      </c>
    </row>
    <row r="138" spans="1:13" s="83" customFormat="1" ht="34.5" customHeight="1">
      <c r="A138" s="298">
        <f>MAX($A$1:A137)+1</f>
        <v>105</v>
      </c>
      <c r="B138" s="291" t="s">
        <v>400</v>
      </c>
      <c r="C138" s="136" t="s">
        <v>489</v>
      </c>
      <c r="D138" s="98" t="s">
        <v>490</v>
      </c>
      <c r="E138" s="287"/>
      <c r="F138" s="138">
        <v>1400</v>
      </c>
      <c r="G138" s="138">
        <v>9</v>
      </c>
      <c r="H138" s="100">
        <f t="shared" si="39"/>
        <v>1.26</v>
      </c>
      <c r="I138" s="100">
        <f>F138*9/10000</f>
        <v>1.26</v>
      </c>
      <c r="J138" s="105">
        <f t="shared" ref="J138:J140" si="43">F138*0/10000</f>
        <v>0</v>
      </c>
      <c r="K138" s="100">
        <f t="shared" si="41"/>
        <v>0</v>
      </c>
      <c r="L138" s="100">
        <f t="shared" si="42"/>
        <v>1.26</v>
      </c>
      <c r="M138" s="100">
        <f t="shared" si="40"/>
        <v>0</v>
      </c>
    </row>
    <row r="139" spans="1:13" s="83" customFormat="1" ht="24" customHeight="1">
      <c r="A139" s="298"/>
      <c r="B139" s="291"/>
      <c r="C139" s="291" t="s">
        <v>491</v>
      </c>
      <c r="D139" s="292"/>
      <c r="E139" s="287"/>
      <c r="F139" s="138">
        <v>540</v>
      </c>
      <c r="G139" s="138">
        <v>3</v>
      </c>
      <c r="H139" s="100">
        <f t="shared" si="39"/>
        <v>0.16200000000000001</v>
      </c>
      <c r="I139" s="100">
        <f>F139*3/10000</f>
        <v>0.16200000000000001</v>
      </c>
      <c r="J139" s="105">
        <f t="shared" si="43"/>
        <v>0</v>
      </c>
      <c r="K139" s="100">
        <f t="shared" si="41"/>
        <v>0</v>
      </c>
      <c r="L139" s="100">
        <f t="shared" si="42"/>
        <v>0.16200000000000001</v>
      </c>
      <c r="M139" s="100">
        <f t="shared" si="40"/>
        <v>0</v>
      </c>
    </row>
    <row r="140" spans="1:13" s="83" customFormat="1" ht="24" customHeight="1">
      <c r="A140" s="138">
        <f>MAX($A$1:A139)+1</f>
        <v>106</v>
      </c>
      <c r="B140" s="136" t="s">
        <v>492</v>
      </c>
      <c r="C140" s="136" t="s">
        <v>68</v>
      </c>
      <c r="D140" s="98" t="s">
        <v>493</v>
      </c>
      <c r="E140" s="287"/>
      <c r="F140" s="138">
        <v>300</v>
      </c>
      <c r="G140" s="138">
        <v>35</v>
      </c>
      <c r="H140" s="100">
        <f t="shared" si="39"/>
        <v>1.05</v>
      </c>
      <c r="I140" s="100">
        <f>F140*35/10000</f>
        <v>1.05</v>
      </c>
      <c r="J140" s="105">
        <f t="shared" si="43"/>
        <v>0</v>
      </c>
      <c r="K140" s="100">
        <f t="shared" si="41"/>
        <v>0</v>
      </c>
      <c r="L140" s="100">
        <f t="shared" si="42"/>
        <v>1.05</v>
      </c>
      <c r="M140" s="100">
        <f t="shared" si="40"/>
        <v>0</v>
      </c>
    </row>
    <row r="141" spans="1:13" s="82" customFormat="1" ht="21" customHeight="1">
      <c r="A141" s="299">
        <f>MAX($A$1:A140)+1</f>
        <v>107</v>
      </c>
      <c r="B141" s="309" t="s">
        <v>494</v>
      </c>
      <c r="C141" s="140" t="s">
        <v>168</v>
      </c>
      <c r="D141" s="141" t="s">
        <v>495</v>
      </c>
      <c r="E141" s="287"/>
      <c r="F141" s="128">
        <v>500</v>
      </c>
      <c r="G141" s="128">
        <v>15.5</v>
      </c>
      <c r="H141" s="129">
        <f t="shared" si="39"/>
        <v>0.77500000000000002</v>
      </c>
      <c r="I141" s="166">
        <f>F141*9.6/10000</f>
        <v>0.48</v>
      </c>
      <c r="J141" s="166">
        <f>F141*5.9/10000</f>
        <v>0.29499999999999998</v>
      </c>
      <c r="K141" s="129">
        <f t="shared" si="41"/>
        <v>0</v>
      </c>
      <c r="L141" s="129">
        <f t="shared" si="42"/>
        <v>0.77500000000000002</v>
      </c>
      <c r="M141" s="129">
        <f t="shared" si="40"/>
        <v>0</v>
      </c>
    </row>
    <row r="142" spans="1:13" s="82" customFormat="1" ht="21" customHeight="1">
      <c r="A142" s="300"/>
      <c r="B142" s="309"/>
      <c r="C142" s="140" t="s">
        <v>495</v>
      </c>
      <c r="D142" s="141" t="s">
        <v>131</v>
      </c>
      <c r="E142" s="287"/>
      <c r="F142" s="128">
        <v>400</v>
      </c>
      <c r="G142" s="128">
        <v>10.9</v>
      </c>
      <c r="H142" s="129">
        <f t="shared" si="39"/>
        <v>0.436</v>
      </c>
      <c r="I142" s="166">
        <f>F142*7.3/10000</f>
        <v>0.29199999999999998</v>
      </c>
      <c r="J142" s="166">
        <f>F142*3.6/10000</f>
        <v>0.14399999999999999</v>
      </c>
      <c r="K142" s="129">
        <f>F142*2/10000</f>
        <v>0.08</v>
      </c>
      <c r="L142" s="129">
        <f t="shared" si="42"/>
        <v>0.51600000000000001</v>
      </c>
      <c r="M142" s="129">
        <f t="shared" si="40"/>
        <v>0</v>
      </c>
    </row>
    <row r="143" spans="1:13" s="82" customFormat="1" ht="21" customHeight="1">
      <c r="A143" s="142">
        <f>MAX($A$1:A142)+1</f>
        <v>108</v>
      </c>
      <c r="B143" s="140" t="s">
        <v>495</v>
      </c>
      <c r="C143" s="140" t="s">
        <v>131</v>
      </c>
      <c r="D143" s="141" t="s">
        <v>167</v>
      </c>
      <c r="E143" s="287"/>
      <c r="F143" s="143">
        <v>350</v>
      </c>
      <c r="G143" s="143">
        <v>15</v>
      </c>
      <c r="H143" s="129">
        <f t="shared" ref="H143:H175" si="44">F143*G143/10000</f>
        <v>0.52500000000000002</v>
      </c>
      <c r="I143" s="105">
        <f>F143*12/10000</f>
        <v>0.42</v>
      </c>
      <c r="J143" s="105">
        <f>F143*3/10000</f>
        <v>0.105</v>
      </c>
      <c r="K143" s="105">
        <f>G143*0/10000</f>
        <v>0</v>
      </c>
      <c r="L143" s="129">
        <f t="shared" ref="L143:L183" si="45">SUM(I143:K143)</f>
        <v>0.52500000000000002</v>
      </c>
      <c r="M143" s="100">
        <f t="shared" si="40"/>
        <v>0</v>
      </c>
    </row>
    <row r="144" spans="1:13" s="85" customFormat="1" ht="25.5" customHeight="1">
      <c r="A144" s="142">
        <f>MAX($A$1:A143)+1</f>
        <v>109</v>
      </c>
      <c r="B144" s="106" t="s">
        <v>496</v>
      </c>
      <c r="C144" s="144" t="s">
        <v>68</v>
      </c>
      <c r="D144" s="107" t="s">
        <v>254</v>
      </c>
      <c r="E144" s="287"/>
      <c r="F144" s="145">
        <v>150</v>
      </c>
      <c r="G144" s="145">
        <v>9.5</v>
      </c>
      <c r="H144" s="145">
        <f t="shared" si="44"/>
        <v>0.14249999999999999</v>
      </c>
      <c r="I144" s="145">
        <f>9.5*F144/10000</f>
        <v>0.14249999999999999</v>
      </c>
      <c r="J144" s="145">
        <v>0</v>
      </c>
      <c r="K144" s="145">
        <f t="shared" ref="K144:K151" si="46">0*F144/10000</f>
        <v>0</v>
      </c>
      <c r="L144" s="145">
        <f t="shared" si="45"/>
        <v>0.14249999999999999</v>
      </c>
      <c r="M144" s="145">
        <f t="shared" ref="M144:M151" si="47">0*F144/10000</f>
        <v>0</v>
      </c>
    </row>
    <row r="145" spans="1:13" s="85" customFormat="1" ht="25.5" customHeight="1">
      <c r="A145" s="301">
        <f>MAX($A$1:A144)+1</f>
        <v>110</v>
      </c>
      <c r="B145" s="301" t="s">
        <v>497</v>
      </c>
      <c r="C145" s="144" t="s">
        <v>121</v>
      </c>
      <c r="D145" s="107" t="s">
        <v>498</v>
      </c>
      <c r="E145" s="287"/>
      <c r="F145" s="145">
        <v>195</v>
      </c>
      <c r="G145" s="145">
        <v>5.2</v>
      </c>
      <c r="H145" s="145">
        <f t="shared" si="44"/>
        <v>0.1014</v>
      </c>
      <c r="I145" s="145">
        <f>5.2*F145/10000</f>
        <v>0.1014</v>
      </c>
      <c r="J145" s="145">
        <f t="shared" ref="J145:J149" si="48">0*F145/10000</f>
        <v>0</v>
      </c>
      <c r="K145" s="145">
        <f t="shared" si="46"/>
        <v>0</v>
      </c>
      <c r="L145" s="145">
        <f t="shared" si="45"/>
        <v>0.1014</v>
      </c>
      <c r="M145" s="145">
        <f>1*2*F145/10000</f>
        <v>3.9E-2</v>
      </c>
    </row>
    <row r="146" spans="1:13" s="85" customFormat="1" ht="25.5" customHeight="1">
      <c r="A146" s="302"/>
      <c r="B146" s="302"/>
      <c r="C146" s="293" t="s">
        <v>499</v>
      </c>
      <c r="D146" s="294"/>
      <c r="E146" s="287"/>
      <c r="F146" s="145">
        <v>30</v>
      </c>
      <c r="G146" s="145">
        <v>8</v>
      </c>
      <c r="H146" s="145">
        <f t="shared" si="44"/>
        <v>2.4E-2</v>
      </c>
      <c r="I146" s="145">
        <f>8*F146/10000</f>
        <v>2.4E-2</v>
      </c>
      <c r="J146" s="145">
        <f t="shared" si="48"/>
        <v>0</v>
      </c>
      <c r="K146" s="145">
        <f t="shared" si="46"/>
        <v>0</v>
      </c>
      <c r="L146" s="145">
        <f t="shared" si="45"/>
        <v>2.4E-2</v>
      </c>
      <c r="M146" s="145"/>
    </row>
    <row r="147" spans="1:13" s="85" customFormat="1" ht="25.5" customHeight="1">
      <c r="A147" s="106">
        <f>MAX($A$1:A146)+1</f>
        <v>111</v>
      </c>
      <c r="B147" s="96" t="s">
        <v>500</v>
      </c>
      <c r="C147" s="147" t="s">
        <v>501</v>
      </c>
      <c r="D147" s="148" t="s">
        <v>502</v>
      </c>
      <c r="E147" s="287"/>
      <c r="F147" s="149">
        <v>240</v>
      </c>
      <c r="G147" s="149">
        <v>26</v>
      </c>
      <c r="H147" s="145">
        <f t="shared" si="44"/>
        <v>0.624</v>
      </c>
      <c r="I147" s="167">
        <f>17.9*F147/10000</f>
        <v>0.42959999999999998</v>
      </c>
      <c r="J147" s="149">
        <f>7.9*F147/10000</f>
        <v>0.18959999999999999</v>
      </c>
      <c r="K147" s="145">
        <f t="shared" si="46"/>
        <v>0</v>
      </c>
      <c r="L147" s="145">
        <f t="shared" si="45"/>
        <v>0.61919999999999997</v>
      </c>
      <c r="M147" s="145">
        <f t="shared" si="47"/>
        <v>0</v>
      </c>
    </row>
    <row r="148" spans="1:13" s="85" customFormat="1" ht="25.5" customHeight="1">
      <c r="A148" s="106">
        <f>MAX($A$1:A147)+1</f>
        <v>112</v>
      </c>
      <c r="B148" s="96" t="s">
        <v>503</v>
      </c>
      <c r="C148" s="147" t="s">
        <v>504</v>
      </c>
      <c r="D148" s="148" t="s">
        <v>505</v>
      </c>
      <c r="E148" s="287"/>
      <c r="F148" s="149">
        <v>200</v>
      </c>
      <c r="G148" s="149">
        <v>8</v>
      </c>
      <c r="H148" s="145">
        <f t="shared" si="44"/>
        <v>0.16</v>
      </c>
      <c r="I148" s="167">
        <f>8*F148/10000</f>
        <v>0.16</v>
      </c>
      <c r="J148" s="149">
        <f t="shared" si="48"/>
        <v>0</v>
      </c>
      <c r="K148" s="145">
        <f t="shared" si="46"/>
        <v>0</v>
      </c>
      <c r="L148" s="145">
        <f t="shared" si="45"/>
        <v>0.16</v>
      </c>
      <c r="M148" s="145">
        <f t="shared" si="47"/>
        <v>0</v>
      </c>
    </row>
    <row r="149" spans="1:13" s="85" customFormat="1" ht="25.5" customHeight="1">
      <c r="A149" s="106">
        <f>MAX($A$1:A148)+1</f>
        <v>113</v>
      </c>
      <c r="B149" s="147" t="s">
        <v>502</v>
      </c>
      <c r="C149" s="147" t="s">
        <v>506</v>
      </c>
      <c r="D149" s="148" t="s">
        <v>326</v>
      </c>
      <c r="E149" s="287"/>
      <c r="F149" s="149">
        <v>400</v>
      </c>
      <c r="G149" s="149">
        <v>7</v>
      </c>
      <c r="H149" s="145">
        <f t="shared" si="44"/>
        <v>0.28000000000000003</v>
      </c>
      <c r="I149" s="167">
        <f>7*F149/10000</f>
        <v>0.28000000000000003</v>
      </c>
      <c r="J149" s="149">
        <f t="shared" si="48"/>
        <v>0</v>
      </c>
      <c r="K149" s="145">
        <f t="shared" si="46"/>
        <v>0</v>
      </c>
      <c r="L149" s="145">
        <f t="shared" si="45"/>
        <v>0.28000000000000003</v>
      </c>
      <c r="M149" s="145">
        <f t="shared" si="47"/>
        <v>0</v>
      </c>
    </row>
    <row r="150" spans="1:13" s="86" customFormat="1" ht="21" customHeight="1">
      <c r="A150" s="106">
        <f>MAX($A$1:A149)+1</f>
        <v>114</v>
      </c>
      <c r="B150" s="106" t="s">
        <v>507</v>
      </c>
      <c r="C150" s="106" t="s">
        <v>508</v>
      </c>
      <c r="D150" s="107" t="s">
        <v>53</v>
      </c>
      <c r="E150" s="287"/>
      <c r="F150" s="108">
        <v>550</v>
      </c>
      <c r="G150" s="108">
        <v>13.5</v>
      </c>
      <c r="H150" s="108">
        <f t="shared" si="44"/>
        <v>0.74250000000000005</v>
      </c>
      <c r="I150" s="108">
        <f>7.5*F150/10000</f>
        <v>0.41249999999999998</v>
      </c>
      <c r="J150" s="108">
        <f>6*F150/10000</f>
        <v>0.33</v>
      </c>
      <c r="K150" s="145">
        <f t="shared" si="46"/>
        <v>0</v>
      </c>
      <c r="L150" s="145">
        <f t="shared" si="45"/>
        <v>0.74250000000000005</v>
      </c>
      <c r="M150" s="145">
        <f t="shared" si="47"/>
        <v>0</v>
      </c>
    </row>
    <row r="151" spans="1:13" ht="19.899999999999999" customHeight="1">
      <c r="A151" s="106">
        <f>MAX($A$1:A150)+1</f>
        <v>115</v>
      </c>
      <c r="B151" s="106" t="s">
        <v>509</v>
      </c>
      <c r="C151" s="146" t="s">
        <v>428</v>
      </c>
      <c r="D151" s="150" t="s">
        <v>510</v>
      </c>
      <c r="E151" s="287"/>
      <c r="F151" s="108">
        <v>391.96</v>
      </c>
      <c r="G151" s="108">
        <v>14.57</v>
      </c>
      <c r="H151" s="108">
        <f t="shared" si="44"/>
        <v>0.57108572000000002</v>
      </c>
      <c r="I151" s="108">
        <f>7.3*F151/10000</f>
        <v>0.28613080000000002</v>
      </c>
      <c r="J151" s="108">
        <f>7.14*F151/10000</f>
        <v>0.27985944000000001</v>
      </c>
      <c r="K151" s="145">
        <f t="shared" si="46"/>
        <v>0</v>
      </c>
      <c r="L151" s="145">
        <f t="shared" si="45"/>
        <v>0.56599023999999998</v>
      </c>
      <c r="M151" s="145">
        <f t="shared" si="47"/>
        <v>0</v>
      </c>
    </row>
    <row r="152" spans="1:13" s="87" customFormat="1" ht="19.899999999999999" customHeight="1">
      <c r="A152" s="106">
        <f>MAX($A$1:A151)+1</f>
        <v>116</v>
      </c>
      <c r="B152" s="106" t="s">
        <v>511</v>
      </c>
      <c r="C152" s="106" t="s">
        <v>428</v>
      </c>
      <c r="D152" s="107" t="s">
        <v>510</v>
      </c>
      <c r="E152" s="287"/>
      <c r="F152" s="145">
        <v>400</v>
      </c>
      <c r="G152" s="145">
        <v>8</v>
      </c>
      <c r="H152" s="145">
        <f t="shared" si="44"/>
        <v>0.32</v>
      </c>
      <c r="I152" s="145">
        <f>F152*8/10000</f>
        <v>0.32</v>
      </c>
      <c r="J152" s="145">
        <f t="shared" ref="J152:J181" si="49">F152*0/10000</f>
        <v>0</v>
      </c>
      <c r="K152" s="145">
        <f t="shared" ref="K152:K180" si="50">F152*0/10000</f>
        <v>0</v>
      </c>
      <c r="L152" s="145">
        <f t="shared" si="45"/>
        <v>0.32</v>
      </c>
      <c r="M152" s="145">
        <f t="shared" ref="M152:M181" si="51">F152*0/10000</f>
        <v>0</v>
      </c>
    </row>
    <row r="153" spans="1:13" s="87" customFormat="1" ht="19.899999999999999" customHeight="1">
      <c r="A153" s="106">
        <f>MAX($A$1:A152)+1</f>
        <v>117</v>
      </c>
      <c r="B153" s="96" t="s">
        <v>512</v>
      </c>
      <c r="C153" s="106" t="s">
        <v>428</v>
      </c>
      <c r="D153" s="107" t="s">
        <v>513</v>
      </c>
      <c r="E153" s="287"/>
      <c r="F153" s="145">
        <v>400</v>
      </c>
      <c r="G153" s="145">
        <v>7</v>
      </c>
      <c r="H153" s="145">
        <f t="shared" si="44"/>
        <v>0.28000000000000003</v>
      </c>
      <c r="I153" s="145">
        <f>F153*7/10000</f>
        <v>0.28000000000000003</v>
      </c>
      <c r="J153" s="145">
        <f t="shared" si="49"/>
        <v>0</v>
      </c>
      <c r="K153" s="145">
        <f t="shared" si="50"/>
        <v>0</v>
      </c>
      <c r="L153" s="145">
        <f t="shared" si="45"/>
        <v>0.28000000000000003</v>
      </c>
      <c r="M153" s="145">
        <f t="shared" si="51"/>
        <v>0</v>
      </c>
    </row>
    <row r="154" spans="1:13" s="87" customFormat="1" ht="19.899999999999999" customHeight="1">
      <c r="A154" s="256">
        <f>MAX($A$1:A153)+1</f>
        <v>118</v>
      </c>
      <c r="B154" s="102" t="s">
        <v>514</v>
      </c>
      <c r="C154" s="151" t="s">
        <v>515</v>
      </c>
      <c r="D154" s="152" t="s">
        <v>516</v>
      </c>
      <c r="E154" s="287"/>
      <c r="F154" s="153">
        <v>276</v>
      </c>
      <c r="G154" s="153">
        <v>4</v>
      </c>
      <c r="H154" s="153">
        <f t="shared" si="44"/>
        <v>0.1104</v>
      </c>
      <c r="I154" s="168">
        <f>F154*4/10000</f>
        <v>0.1104</v>
      </c>
      <c r="J154" s="153">
        <f t="shared" si="49"/>
        <v>0</v>
      </c>
      <c r="K154" s="168">
        <f t="shared" si="50"/>
        <v>0</v>
      </c>
      <c r="L154" s="168">
        <f t="shared" si="45"/>
        <v>0.1104</v>
      </c>
      <c r="M154" s="168">
        <f t="shared" si="51"/>
        <v>0</v>
      </c>
    </row>
    <row r="155" spans="1:13" s="87" customFormat="1" ht="19.899999999999999" customHeight="1">
      <c r="A155" s="257"/>
      <c r="B155" s="96" t="s">
        <v>517</v>
      </c>
      <c r="C155" s="99" t="s">
        <v>518</v>
      </c>
      <c r="D155" s="98" t="s">
        <v>519</v>
      </c>
      <c r="E155" s="287"/>
      <c r="F155" s="105">
        <v>100</v>
      </c>
      <c r="G155" s="105">
        <v>8</v>
      </c>
      <c r="H155" s="105">
        <f t="shared" si="44"/>
        <v>0.08</v>
      </c>
      <c r="I155" s="100">
        <f>F155*8/10000</f>
        <v>0.08</v>
      </c>
      <c r="J155" s="105">
        <f t="shared" si="49"/>
        <v>0</v>
      </c>
      <c r="K155" s="100">
        <f t="shared" si="50"/>
        <v>0</v>
      </c>
      <c r="L155" s="100">
        <f t="shared" si="45"/>
        <v>0.08</v>
      </c>
      <c r="M155" s="100">
        <f t="shared" si="51"/>
        <v>0</v>
      </c>
    </row>
    <row r="156" spans="1:13" s="87" customFormat="1" ht="19.899999999999999" customHeight="1">
      <c r="A156" s="256">
        <f>MAX($A$1:A155)+1</f>
        <v>119</v>
      </c>
      <c r="B156" s="99" t="s">
        <v>520</v>
      </c>
      <c r="C156" s="99" t="s">
        <v>521</v>
      </c>
      <c r="D156" s="98" t="s">
        <v>522</v>
      </c>
      <c r="E156" s="287"/>
      <c r="F156" s="105">
        <v>400</v>
      </c>
      <c r="G156" s="105">
        <v>4</v>
      </c>
      <c r="H156" s="105">
        <f t="shared" si="44"/>
        <v>0.16</v>
      </c>
      <c r="I156" s="100">
        <f>F156*4/10000</f>
        <v>0.16</v>
      </c>
      <c r="J156" s="105">
        <f t="shared" si="49"/>
        <v>0</v>
      </c>
      <c r="K156" s="100">
        <f t="shared" si="50"/>
        <v>0</v>
      </c>
      <c r="L156" s="100">
        <f t="shared" si="45"/>
        <v>0.16</v>
      </c>
      <c r="M156" s="100">
        <f t="shared" si="51"/>
        <v>0</v>
      </c>
    </row>
    <row r="157" spans="1:13" s="87" customFormat="1" ht="19.899999999999999" customHeight="1">
      <c r="A157" s="257"/>
      <c r="B157" s="99" t="s">
        <v>523</v>
      </c>
      <c r="C157" s="287" t="s">
        <v>524</v>
      </c>
      <c r="D157" s="288"/>
      <c r="E157" s="287"/>
      <c r="F157" s="105">
        <v>119</v>
      </c>
      <c r="G157" s="105">
        <v>70</v>
      </c>
      <c r="H157" s="105">
        <f t="shared" si="44"/>
        <v>0.83299999999999996</v>
      </c>
      <c r="I157" s="100">
        <f>F157*70/10000</f>
        <v>0.83299999999999996</v>
      </c>
      <c r="J157" s="105">
        <f t="shared" si="49"/>
        <v>0</v>
      </c>
      <c r="K157" s="100">
        <f t="shared" si="50"/>
        <v>0</v>
      </c>
      <c r="L157" s="100">
        <f t="shared" si="45"/>
        <v>0.83299999999999996</v>
      </c>
      <c r="M157" s="100">
        <f t="shared" si="51"/>
        <v>0</v>
      </c>
    </row>
    <row r="158" spans="1:13" s="87" customFormat="1" ht="19.899999999999999" customHeight="1">
      <c r="A158" s="303">
        <f>MAX($A$1:A157)+1</f>
        <v>120</v>
      </c>
      <c r="B158" s="287" t="s">
        <v>525</v>
      </c>
      <c r="C158" s="99" t="s">
        <v>526</v>
      </c>
      <c r="D158" s="98" t="s">
        <v>527</v>
      </c>
      <c r="E158" s="287"/>
      <c r="F158" s="105">
        <v>500</v>
      </c>
      <c r="G158" s="105">
        <v>9</v>
      </c>
      <c r="H158" s="105">
        <f t="shared" si="44"/>
        <v>0.45</v>
      </c>
      <c r="I158" s="100">
        <f>F158*9/10000</f>
        <v>0.45</v>
      </c>
      <c r="J158" s="105">
        <f t="shared" si="49"/>
        <v>0</v>
      </c>
      <c r="K158" s="100">
        <f t="shared" si="50"/>
        <v>0</v>
      </c>
      <c r="L158" s="100">
        <f t="shared" si="45"/>
        <v>0.45</v>
      </c>
      <c r="M158" s="100">
        <f t="shared" si="51"/>
        <v>0</v>
      </c>
    </row>
    <row r="159" spans="1:13" s="87" customFormat="1" ht="19.899999999999999" customHeight="1">
      <c r="A159" s="304"/>
      <c r="B159" s="287"/>
      <c r="C159" s="287" t="s">
        <v>528</v>
      </c>
      <c r="D159" s="288"/>
      <c r="E159" s="287"/>
      <c r="F159" s="105">
        <v>1100</v>
      </c>
      <c r="G159" s="105">
        <v>3.5</v>
      </c>
      <c r="H159" s="105">
        <f t="shared" si="44"/>
        <v>0.38500000000000001</v>
      </c>
      <c r="I159" s="100">
        <f>F159*3.5/10000</f>
        <v>0.38500000000000001</v>
      </c>
      <c r="J159" s="105">
        <f t="shared" si="49"/>
        <v>0</v>
      </c>
      <c r="K159" s="100">
        <f t="shared" si="50"/>
        <v>0</v>
      </c>
      <c r="L159" s="100">
        <f t="shared" si="45"/>
        <v>0.38500000000000001</v>
      </c>
      <c r="M159" s="100">
        <f t="shared" si="51"/>
        <v>0</v>
      </c>
    </row>
    <row r="160" spans="1:13" s="87" customFormat="1" ht="19">
      <c r="A160" s="99">
        <f>MAX($A$1:A159)+1</f>
        <v>121</v>
      </c>
      <c r="B160" s="99" t="s">
        <v>529</v>
      </c>
      <c r="C160" s="99" t="s">
        <v>530</v>
      </c>
      <c r="D160" s="98" t="s">
        <v>24</v>
      </c>
      <c r="E160" s="287"/>
      <c r="F160" s="105">
        <v>50</v>
      </c>
      <c r="G160" s="105">
        <v>10</v>
      </c>
      <c r="H160" s="105">
        <f t="shared" si="44"/>
        <v>0.05</v>
      </c>
      <c r="I160" s="100">
        <f>F160*10/10000</f>
        <v>0.05</v>
      </c>
      <c r="J160" s="105">
        <f t="shared" si="49"/>
        <v>0</v>
      </c>
      <c r="K160" s="100">
        <f t="shared" si="50"/>
        <v>0</v>
      </c>
      <c r="L160" s="100">
        <f t="shared" si="45"/>
        <v>0.05</v>
      </c>
      <c r="M160" s="100">
        <f t="shared" si="51"/>
        <v>0</v>
      </c>
    </row>
    <row r="161" spans="1:13" s="87" customFormat="1" ht="19.899999999999999" customHeight="1">
      <c r="A161" s="303">
        <f>MAX($A$1:A160)+1</f>
        <v>122</v>
      </c>
      <c r="B161" s="287" t="s">
        <v>519</v>
      </c>
      <c r="C161" s="287" t="s">
        <v>531</v>
      </c>
      <c r="D161" s="288"/>
      <c r="E161" s="287"/>
      <c r="F161" s="105">
        <v>500</v>
      </c>
      <c r="G161" s="105">
        <v>8</v>
      </c>
      <c r="H161" s="105">
        <f t="shared" si="44"/>
        <v>0.4</v>
      </c>
      <c r="I161" s="100">
        <f>F161*8/10000</f>
        <v>0.4</v>
      </c>
      <c r="J161" s="105">
        <f t="shared" si="49"/>
        <v>0</v>
      </c>
      <c r="K161" s="100">
        <f t="shared" si="50"/>
        <v>0</v>
      </c>
      <c r="L161" s="100">
        <f t="shared" si="45"/>
        <v>0.4</v>
      </c>
      <c r="M161" s="100">
        <f t="shared" si="51"/>
        <v>0</v>
      </c>
    </row>
    <row r="162" spans="1:13" s="87" customFormat="1" ht="19.899999999999999" customHeight="1">
      <c r="A162" s="304"/>
      <c r="B162" s="287"/>
      <c r="C162" s="287" t="s">
        <v>532</v>
      </c>
      <c r="D162" s="288"/>
      <c r="E162" s="287"/>
      <c r="F162" s="105">
        <v>140</v>
      </c>
      <c r="G162" s="105">
        <v>4</v>
      </c>
      <c r="H162" s="105">
        <f t="shared" si="44"/>
        <v>5.6000000000000001E-2</v>
      </c>
      <c r="I162" s="100">
        <f>F162*4/10000</f>
        <v>5.6000000000000001E-2</v>
      </c>
      <c r="J162" s="105">
        <f t="shared" si="49"/>
        <v>0</v>
      </c>
      <c r="K162" s="100">
        <f t="shared" si="50"/>
        <v>0</v>
      </c>
      <c r="L162" s="100">
        <f t="shared" si="45"/>
        <v>5.6000000000000001E-2</v>
      </c>
      <c r="M162" s="100">
        <f t="shared" si="51"/>
        <v>0</v>
      </c>
    </row>
    <row r="163" spans="1:13" s="87" customFormat="1" ht="19.899999999999999" customHeight="1">
      <c r="A163" s="303">
        <f>MAX($A$1:A162)+1</f>
        <v>123</v>
      </c>
      <c r="B163" s="287" t="s">
        <v>533</v>
      </c>
      <c r="C163" s="99" t="s">
        <v>534</v>
      </c>
      <c r="D163" s="98" t="s">
        <v>535</v>
      </c>
      <c r="E163" s="287"/>
      <c r="F163" s="105">
        <v>250</v>
      </c>
      <c r="G163" s="105">
        <v>9.5</v>
      </c>
      <c r="H163" s="105">
        <f t="shared" si="44"/>
        <v>0.23749999999999999</v>
      </c>
      <c r="I163" s="100">
        <f>F163*9.5/10000</f>
        <v>0.23749999999999999</v>
      </c>
      <c r="J163" s="105">
        <f t="shared" si="49"/>
        <v>0</v>
      </c>
      <c r="K163" s="100">
        <f t="shared" si="50"/>
        <v>0</v>
      </c>
      <c r="L163" s="100">
        <f t="shared" si="45"/>
        <v>0.23749999999999999</v>
      </c>
      <c r="M163" s="100">
        <f t="shared" si="51"/>
        <v>0</v>
      </c>
    </row>
    <row r="164" spans="1:13" s="87" customFormat="1" ht="19.899999999999999" customHeight="1">
      <c r="A164" s="304"/>
      <c r="B164" s="287"/>
      <c r="C164" s="287" t="s">
        <v>536</v>
      </c>
      <c r="D164" s="288"/>
      <c r="E164" s="287"/>
      <c r="F164" s="105">
        <v>220</v>
      </c>
      <c r="G164" s="105">
        <v>3</v>
      </c>
      <c r="H164" s="105">
        <f t="shared" si="44"/>
        <v>6.6000000000000003E-2</v>
      </c>
      <c r="I164" s="100">
        <f>F164*3/10000</f>
        <v>6.6000000000000003E-2</v>
      </c>
      <c r="J164" s="105">
        <f t="shared" si="49"/>
        <v>0</v>
      </c>
      <c r="K164" s="100">
        <f t="shared" si="50"/>
        <v>0</v>
      </c>
      <c r="L164" s="100">
        <f t="shared" si="45"/>
        <v>6.6000000000000003E-2</v>
      </c>
      <c r="M164" s="100">
        <f t="shared" si="51"/>
        <v>0</v>
      </c>
    </row>
    <row r="165" spans="1:13" s="87" customFormat="1" ht="19.899999999999999" customHeight="1">
      <c r="A165" s="303">
        <f>MAX($A$1:A164)+1</f>
        <v>124</v>
      </c>
      <c r="B165" s="287" t="s">
        <v>537</v>
      </c>
      <c r="C165" s="99" t="s">
        <v>535</v>
      </c>
      <c r="D165" s="98" t="s">
        <v>538</v>
      </c>
      <c r="E165" s="287"/>
      <c r="F165" s="105">
        <v>240</v>
      </c>
      <c r="G165" s="105">
        <v>8</v>
      </c>
      <c r="H165" s="105">
        <f t="shared" si="44"/>
        <v>0.192</v>
      </c>
      <c r="I165" s="100">
        <f t="shared" ref="I165:I171" si="52">F165*8/10000</f>
        <v>0.192</v>
      </c>
      <c r="J165" s="105">
        <f t="shared" si="49"/>
        <v>0</v>
      </c>
      <c r="K165" s="100">
        <f t="shared" si="50"/>
        <v>0</v>
      </c>
      <c r="L165" s="100">
        <f t="shared" si="45"/>
        <v>0.192</v>
      </c>
      <c r="M165" s="100">
        <f t="shared" si="51"/>
        <v>0</v>
      </c>
    </row>
    <row r="166" spans="1:13" s="87" customFormat="1" ht="19.899999999999999" customHeight="1">
      <c r="A166" s="304"/>
      <c r="B166" s="287"/>
      <c r="C166" s="287" t="s">
        <v>532</v>
      </c>
      <c r="D166" s="288"/>
      <c r="E166" s="287"/>
      <c r="F166" s="105">
        <v>140</v>
      </c>
      <c r="G166" s="105">
        <v>3</v>
      </c>
      <c r="H166" s="105">
        <f t="shared" si="44"/>
        <v>4.2000000000000003E-2</v>
      </c>
      <c r="I166" s="100">
        <f>F166*3/10000</f>
        <v>4.2000000000000003E-2</v>
      </c>
      <c r="J166" s="105">
        <f t="shared" si="49"/>
        <v>0</v>
      </c>
      <c r="K166" s="100">
        <f t="shared" si="50"/>
        <v>0</v>
      </c>
      <c r="L166" s="100">
        <f t="shared" si="45"/>
        <v>4.2000000000000003E-2</v>
      </c>
      <c r="M166" s="100">
        <f t="shared" si="51"/>
        <v>0</v>
      </c>
    </row>
    <row r="167" spans="1:13" s="87" customFormat="1" ht="19.899999999999999" customHeight="1">
      <c r="A167" s="99">
        <f>MAX($A$1:A166)+1</f>
        <v>125</v>
      </c>
      <c r="B167" s="99" t="s">
        <v>539</v>
      </c>
      <c r="C167" s="99" t="s">
        <v>540</v>
      </c>
      <c r="D167" s="98" t="s">
        <v>541</v>
      </c>
      <c r="E167" s="287"/>
      <c r="F167" s="105">
        <v>100</v>
      </c>
      <c r="G167" s="105">
        <v>10</v>
      </c>
      <c r="H167" s="105">
        <f t="shared" si="44"/>
        <v>0.1</v>
      </c>
      <c r="I167" s="100">
        <f>F167*10/10000</f>
        <v>0.1</v>
      </c>
      <c r="J167" s="105">
        <f t="shared" si="49"/>
        <v>0</v>
      </c>
      <c r="K167" s="100">
        <f t="shared" si="50"/>
        <v>0</v>
      </c>
      <c r="L167" s="100">
        <f t="shared" si="45"/>
        <v>0.1</v>
      </c>
      <c r="M167" s="100">
        <f t="shared" si="51"/>
        <v>0</v>
      </c>
    </row>
    <row r="168" spans="1:13" s="87" customFormat="1" ht="38">
      <c r="A168" s="296">
        <f>MAX($A$1:A167)+1</f>
        <v>126</v>
      </c>
      <c r="B168" s="97" t="s">
        <v>542</v>
      </c>
      <c r="C168" s="97" t="s">
        <v>543</v>
      </c>
      <c r="D168" s="98" t="s">
        <v>544</v>
      </c>
      <c r="E168" s="287"/>
      <c r="F168" s="103">
        <v>170</v>
      </c>
      <c r="G168" s="103">
        <v>12</v>
      </c>
      <c r="H168" s="103">
        <f t="shared" si="44"/>
        <v>0.20399999999999999</v>
      </c>
      <c r="I168" s="103">
        <f>F168*12/10000</f>
        <v>0.20399999999999999</v>
      </c>
      <c r="J168" s="105">
        <f t="shared" si="49"/>
        <v>0</v>
      </c>
      <c r="K168" s="100">
        <f t="shared" si="50"/>
        <v>0</v>
      </c>
      <c r="L168" s="100">
        <f t="shared" si="45"/>
        <v>0.20399999999999999</v>
      </c>
      <c r="M168" s="100">
        <f t="shared" si="51"/>
        <v>0</v>
      </c>
    </row>
    <row r="169" spans="1:13" s="87" customFormat="1" ht="19.899999999999999" customHeight="1">
      <c r="A169" s="305"/>
      <c r="B169" s="97" t="s">
        <v>545</v>
      </c>
      <c r="C169" s="284" t="s">
        <v>546</v>
      </c>
      <c r="D169" s="285"/>
      <c r="E169" s="287"/>
      <c r="F169" s="103">
        <v>20</v>
      </c>
      <c r="G169" s="103">
        <v>8</v>
      </c>
      <c r="H169" s="103">
        <f t="shared" si="44"/>
        <v>1.6E-2</v>
      </c>
      <c r="I169" s="103">
        <f t="shared" si="52"/>
        <v>1.6E-2</v>
      </c>
      <c r="J169" s="105">
        <f t="shared" si="49"/>
        <v>0</v>
      </c>
      <c r="K169" s="100">
        <f t="shared" si="50"/>
        <v>0</v>
      </c>
      <c r="L169" s="100">
        <f t="shared" si="45"/>
        <v>1.6E-2</v>
      </c>
      <c r="M169" s="100">
        <f t="shared" si="51"/>
        <v>0</v>
      </c>
    </row>
    <row r="170" spans="1:13" s="87" customFormat="1" ht="19.899999999999999" customHeight="1">
      <c r="A170" s="305"/>
      <c r="B170" s="97" t="s">
        <v>545</v>
      </c>
      <c r="C170" s="284" t="s">
        <v>547</v>
      </c>
      <c r="D170" s="285"/>
      <c r="E170" s="287"/>
      <c r="F170" s="103">
        <v>20</v>
      </c>
      <c r="G170" s="103">
        <v>8</v>
      </c>
      <c r="H170" s="103">
        <f t="shared" si="44"/>
        <v>1.6E-2</v>
      </c>
      <c r="I170" s="103">
        <f t="shared" si="52"/>
        <v>1.6E-2</v>
      </c>
      <c r="J170" s="105">
        <f t="shared" si="49"/>
        <v>0</v>
      </c>
      <c r="K170" s="100">
        <f t="shared" si="50"/>
        <v>0</v>
      </c>
      <c r="L170" s="100">
        <f t="shared" si="45"/>
        <v>1.6E-2</v>
      </c>
      <c r="M170" s="100">
        <f t="shared" si="51"/>
        <v>0</v>
      </c>
    </row>
    <row r="171" spans="1:13" s="87" customFormat="1" ht="19.899999999999999" customHeight="1">
      <c r="A171" s="297"/>
      <c r="B171" s="97" t="s">
        <v>545</v>
      </c>
      <c r="C171" s="284" t="s">
        <v>548</v>
      </c>
      <c r="D171" s="285"/>
      <c r="E171" s="287"/>
      <c r="F171" s="103">
        <v>20</v>
      </c>
      <c r="G171" s="103">
        <v>8</v>
      </c>
      <c r="H171" s="103">
        <f t="shared" si="44"/>
        <v>1.6E-2</v>
      </c>
      <c r="I171" s="103">
        <f t="shared" si="52"/>
        <v>1.6E-2</v>
      </c>
      <c r="J171" s="105">
        <f t="shared" si="49"/>
        <v>0</v>
      </c>
      <c r="K171" s="100">
        <f t="shared" si="50"/>
        <v>0</v>
      </c>
      <c r="L171" s="100">
        <f t="shared" si="45"/>
        <v>1.6E-2</v>
      </c>
      <c r="M171" s="100">
        <f t="shared" si="51"/>
        <v>0</v>
      </c>
    </row>
    <row r="172" spans="1:13" s="87" customFormat="1" ht="28.5">
      <c r="A172" s="95">
        <f>MAX($A$1:A171)+1</f>
        <v>127</v>
      </c>
      <c r="B172" s="96" t="s">
        <v>549</v>
      </c>
      <c r="C172" s="97" t="s">
        <v>550</v>
      </c>
      <c r="D172" s="98" t="s">
        <v>551</v>
      </c>
      <c r="E172" s="287"/>
      <c r="F172" s="103">
        <v>300</v>
      </c>
      <c r="G172" s="103">
        <v>5</v>
      </c>
      <c r="H172" s="103">
        <f t="shared" si="44"/>
        <v>0.15</v>
      </c>
      <c r="I172" s="103">
        <f>F172*5/10000</f>
        <v>0.15</v>
      </c>
      <c r="J172" s="105">
        <f t="shared" si="49"/>
        <v>0</v>
      </c>
      <c r="K172" s="100">
        <f t="shared" si="50"/>
        <v>0</v>
      </c>
      <c r="L172" s="100">
        <f t="shared" si="45"/>
        <v>0.15</v>
      </c>
      <c r="M172" s="100">
        <f t="shared" si="51"/>
        <v>0</v>
      </c>
    </row>
    <row r="173" spans="1:13" s="87" customFormat="1" ht="19">
      <c r="A173" s="296">
        <f>MAX($A$1:A172)+1</f>
        <v>128</v>
      </c>
      <c r="B173" s="284" t="s">
        <v>552</v>
      </c>
      <c r="C173" s="99" t="s">
        <v>553</v>
      </c>
      <c r="D173" s="101" t="s">
        <v>554</v>
      </c>
      <c r="E173" s="287"/>
      <c r="F173" s="103">
        <v>400</v>
      </c>
      <c r="G173" s="103">
        <v>8</v>
      </c>
      <c r="H173" s="103">
        <f t="shared" si="44"/>
        <v>0.32</v>
      </c>
      <c r="I173" s="103">
        <f t="shared" ref="I173:I176" si="53">F173*8/10000</f>
        <v>0.32</v>
      </c>
      <c r="J173" s="105">
        <f t="shared" si="49"/>
        <v>0</v>
      </c>
      <c r="K173" s="100">
        <f t="shared" si="50"/>
        <v>0</v>
      </c>
      <c r="L173" s="100">
        <f t="shared" si="45"/>
        <v>0.32</v>
      </c>
      <c r="M173" s="100">
        <f t="shared" si="51"/>
        <v>0</v>
      </c>
    </row>
    <row r="174" spans="1:13" s="87" customFormat="1" ht="19.899999999999999" customHeight="1">
      <c r="A174" s="297"/>
      <c r="B174" s="284"/>
      <c r="C174" s="285" t="s">
        <v>528</v>
      </c>
      <c r="D174" s="286"/>
      <c r="E174" s="287"/>
      <c r="F174" s="103">
        <v>100</v>
      </c>
      <c r="G174" s="103">
        <v>4</v>
      </c>
      <c r="H174" s="103">
        <f t="shared" si="44"/>
        <v>0.04</v>
      </c>
      <c r="I174" s="103">
        <f>F174*4/10000</f>
        <v>0.04</v>
      </c>
      <c r="J174" s="105">
        <f t="shared" si="49"/>
        <v>0</v>
      </c>
      <c r="K174" s="100">
        <f t="shared" si="50"/>
        <v>0</v>
      </c>
      <c r="L174" s="100">
        <f t="shared" si="45"/>
        <v>0.04</v>
      </c>
      <c r="M174" s="100">
        <f t="shared" si="51"/>
        <v>0</v>
      </c>
    </row>
    <row r="175" spans="1:13" s="87" customFormat="1" ht="38">
      <c r="A175" s="95">
        <f>MAX($A$1:A174)+1</f>
        <v>129</v>
      </c>
      <c r="B175" s="96" t="s">
        <v>555</v>
      </c>
      <c r="C175" s="284" t="s">
        <v>556</v>
      </c>
      <c r="D175" s="285"/>
      <c r="E175" s="287"/>
      <c r="F175" s="103">
        <v>250</v>
      </c>
      <c r="G175" s="103">
        <v>8</v>
      </c>
      <c r="H175" s="103">
        <f t="shared" si="44"/>
        <v>0.2</v>
      </c>
      <c r="I175" s="103">
        <f t="shared" si="53"/>
        <v>0.2</v>
      </c>
      <c r="J175" s="105">
        <f t="shared" si="49"/>
        <v>0</v>
      </c>
      <c r="K175" s="100">
        <f t="shared" si="50"/>
        <v>0</v>
      </c>
      <c r="L175" s="100">
        <f t="shared" si="45"/>
        <v>0.2</v>
      </c>
      <c r="M175" s="100">
        <f t="shared" si="51"/>
        <v>0</v>
      </c>
    </row>
    <row r="176" spans="1:13" s="87" customFormat="1" ht="19">
      <c r="A176" s="95">
        <f>MAX($A$1:A175)+1</f>
        <v>130</v>
      </c>
      <c r="B176" s="97" t="s">
        <v>557</v>
      </c>
      <c r="C176" s="99" t="s">
        <v>558</v>
      </c>
      <c r="D176" s="101" t="s">
        <v>559</v>
      </c>
      <c r="E176" s="287"/>
      <c r="F176" s="103">
        <v>500</v>
      </c>
      <c r="G176" s="103">
        <v>8</v>
      </c>
      <c r="H176" s="103">
        <f t="shared" ref="H176:H181" si="54">F176*G176/10000</f>
        <v>0.4</v>
      </c>
      <c r="I176" s="103">
        <f t="shared" si="53"/>
        <v>0.4</v>
      </c>
      <c r="J176" s="105">
        <f t="shared" si="49"/>
        <v>0</v>
      </c>
      <c r="K176" s="100">
        <f t="shared" si="50"/>
        <v>0</v>
      </c>
      <c r="L176" s="100">
        <f t="shared" si="45"/>
        <v>0.4</v>
      </c>
      <c r="M176" s="100">
        <f t="shared" si="51"/>
        <v>0</v>
      </c>
    </row>
    <row r="177" spans="1:13" s="87" customFormat="1" ht="28.5">
      <c r="A177" s="95">
        <f>MAX($A$1:A176)+1</f>
        <v>131</v>
      </c>
      <c r="B177" s="97" t="s">
        <v>560</v>
      </c>
      <c r="C177" s="99" t="s">
        <v>561</v>
      </c>
      <c r="D177" s="101" t="s">
        <v>562</v>
      </c>
      <c r="E177" s="287"/>
      <c r="F177" s="103">
        <v>400</v>
      </c>
      <c r="G177" s="103">
        <v>6</v>
      </c>
      <c r="H177" s="103">
        <f t="shared" si="54"/>
        <v>0.24</v>
      </c>
      <c r="I177" s="103">
        <f>F177*6/10000</f>
        <v>0.24</v>
      </c>
      <c r="J177" s="105">
        <f t="shared" si="49"/>
        <v>0</v>
      </c>
      <c r="K177" s="100">
        <f t="shared" si="50"/>
        <v>0</v>
      </c>
      <c r="L177" s="100">
        <f t="shared" si="45"/>
        <v>0.24</v>
      </c>
      <c r="M177" s="100">
        <f t="shared" si="51"/>
        <v>0</v>
      </c>
    </row>
    <row r="178" spans="1:13" s="87" customFormat="1" ht="38">
      <c r="A178" s="95">
        <f>MAX($A$1:A177)+1</f>
        <v>132</v>
      </c>
      <c r="B178" s="97" t="s">
        <v>563</v>
      </c>
      <c r="C178" s="97" t="s">
        <v>564</v>
      </c>
      <c r="D178" s="98" t="s">
        <v>565</v>
      </c>
      <c r="E178" s="287"/>
      <c r="F178" s="103">
        <v>1300</v>
      </c>
      <c r="G178" s="103">
        <v>21</v>
      </c>
      <c r="H178" s="103">
        <f t="shared" si="54"/>
        <v>2.73</v>
      </c>
      <c r="I178" s="103">
        <f>F178*21/10000</f>
        <v>2.73</v>
      </c>
      <c r="J178" s="105">
        <f t="shared" si="49"/>
        <v>0</v>
      </c>
      <c r="K178" s="100">
        <f t="shared" si="50"/>
        <v>0</v>
      </c>
      <c r="L178" s="100">
        <f t="shared" si="45"/>
        <v>2.73</v>
      </c>
      <c r="M178" s="100">
        <f t="shared" si="51"/>
        <v>0</v>
      </c>
    </row>
    <row r="179" spans="1:13" s="87" customFormat="1" ht="47.5">
      <c r="A179" s="95">
        <f>MAX($A$1:A178)+1</f>
        <v>133</v>
      </c>
      <c r="B179" s="97" t="s">
        <v>566</v>
      </c>
      <c r="C179" s="97" t="s">
        <v>567</v>
      </c>
      <c r="D179" s="98" t="s">
        <v>568</v>
      </c>
      <c r="E179" s="287"/>
      <c r="F179" s="103">
        <v>800</v>
      </c>
      <c r="G179" s="103">
        <v>7</v>
      </c>
      <c r="H179" s="103">
        <f t="shared" si="54"/>
        <v>0.56000000000000005</v>
      </c>
      <c r="I179" s="103">
        <f>F179*7/10000</f>
        <v>0.56000000000000005</v>
      </c>
      <c r="J179" s="105">
        <f t="shared" si="49"/>
        <v>0</v>
      </c>
      <c r="K179" s="100">
        <f t="shared" si="50"/>
        <v>0</v>
      </c>
      <c r="L179" s="100">
        <f t="shared" si="45"/>
        <v>0.56000000000000005</v>
      </c>
      <c r="M179" s="100">
        <f t="shared" si="51"/>
        <v>0</v>
      </c>
    </row>
    <row r="180" spans="1:13" s="87" customFormat="1" ht="38">
      <c r="A180" s="95">
        <f>MAX($A$1:A179)+1</f>
        <v>134</v>
      </c>
      <c r="B180" s="96" t="s">
        <v>569</v>
      </c>
      <c r="C180" s="97" t="s">
        <v>570</v>
      </c>
      <c r="D180" s="98" t="s">
        <v>571</v>
      </c>
      <c r="E180" s="287"/>
      <c r="F180" s="103">
        <v>800</v>
      </c>
      <c r="G180" s="103">
        <v>4</v>
      </c>
      <c r="H180" s="103">
        <f t="shared" si="54"/>
        <v>0.32</v>
      </c>
      <c r="I180" s="103">
        <f>F180*4/10000</f>
        <v>0.32</v>
      </c>
      <c r="J180" s="105">
        <f t="shared" si="49"/>
        <v>0</v>
      </c>
      <c r="K180" s="100">
        <f t="shared" si="50"/>
        <v>0</v>
      </c>
      <c r="L180" s="100">
        <f t="shared" si="45"/>
        <v>0.32</v>
      </c>
      <c r="M180" s="100">
        <f t="shared" si="51"/>
        <v>0</v>
      </c>
    </row>
    <row r="181" spans="1:13" s="87" customFormat="1" ht="19.899999999999999" customHeight="1">
      <c r="A181" s="95">
        <f>MAX($A$1:A180)+1</f>
        <v>135</v>
      </c>
      <c r="B181" s="154" t="s">
        <v>572</v>
      </c>
      <c r="C181" s="154" t="s">
        <v>98</v>
      </c>
      <c r="D181" s="155" t="s">
        <v>573</v>
      </c>
      <c r="E181" s="287"/>
      <c r="F181" s="129">
        <v>230</v>
      </c>
      <c r="G181" s="129">
        <v>24</v>
      </c>
      <c r="H181" s="129">
        <f t="shared" si="54"/>
        <v>0.55200000000000005</v>
      </c>
      <c r="I181" s="105">
        <v>0.55000000000000004</v>
      </c>
      <c r="J181" s="105">
        <f t="shared" si="49"/>
        <v>0</v>
      </c>
      <c r="K181" s="105">
        <f>G181*0/10000</f>
        <v>0</v>
      </c>
      <c r="L181" s="129">
        <f t="shared" si="45"/>
        <v>0.55000000000000004</v>
      </c>
      <c r="M181" s="100">
        <f t="shared" si="51"/>
        <v>0</v>
      </c>
    </row>
    <row r="182" spans="1:13" s="87" customFormat="1" ht="19.899999999999999" customHeight="1">
      <c r="A182" s="95">
        <f>MAX($A$1:A181)+1</f>
        <v>136</v>
      </c>
      <c r="B182" s="156" t="s">
        <v>574</v>
      </c>
      <c r="C182" s="136" t="s">
        <v>40</v>
      </c>
      <c r="D182" s="137" t="s">
        <v>101</v>
      </c>
      <c r="E182" s="287"/>
      <c r="F182" s="157">
        <v>230</v>
      </c>
      <c r="G182" s="157">
        <v>26.5</v>
      </c>
      <c r="H182" s="100">
        <v>0.60950000000000004</v>
      </c>
      <c r="I182" s="100">
        <v>0.41998000000000002</v>
      </c>
      <c r="J182" s="105">
        <v>0.18951999999999999</v>
      </c>
      <c r="K182" s="100">
        <v>4.9910000000000003E-2</v>
      </c>
      <c r="L182" s="129">
        <f t="shared" si="45"/>
        <v>0.65941000000000005</v>
      </c>
      <c r="M182" s="100">
        <v>0</v>
      </c>
    </row>
    <row r="183" spans="1:13" s="87" customFormat="1" ht="19.899999999999999" customHeight="1">
      <c r="A183" s="95">
        <f>MAX($A$1:A182)+1</f>
        <v>137</v>
      </c>
      <c r="B183" s="135" t="s">
        <v>575</v>
      </c>
      <c r="C183" s="135" t="s">
        <v>97</v>
      </c>
      <c r="D183" s="158" t="s">
        <v>576</v>
      </c>
      <c r="E183" s="287"/>
      <c r="F183" s="159">
        <v>285</v>
      </c>
      <c r="G183" s="159">
        <v>30.5</v>
      </c>
      <c r="H183" s="160">
        <v>0.86924999999999997</v>
      </c>
      <c r="I183" s="160">
        <v>0.45600000000000002</v>
      </c>
      <c r="J183" s="169">
        <v>0.41325000000000001</v>
      </c>
      <c r="K183" s="160">
        <v>0.15959999999999999</v>
      </c>
      <c r="L183" s="170">
        <f t="shared" si="45"/>
        <v>1.02885</v>
      </c>
      <c r="M183" s="160">
        <v>0.06</v>
      </c>
    </row>
    <row r="184" spans="1:13" s="87" customFormat="1" ht="19.899999999999999" customHeight="1">
      <c r="A184" s="106">
        <f>MAX($A$1:A183)+1</f>
        <v>138</v>
      </c>
      <c r="B184" s="106" t="s">
        <v>577</v>
      </c>
      <c r="C184" s="106" t="s">
        <v>578</v>
      </c>
      <c r="D184" s="107" t="s">
        <v>579</v>
      </c>
      <c r="E184" s="287"/>
      <c r="F184" s="145">
        <v>223.357</v>
      </c>
      <c r="G184" s="145">
        <v>3</v>
      </c>
      <c r="H184" s="145">
        <f>F184*G184/10000</f>
        <v>6.70071E-2</v>
      </c>
      <c r="I184" s="145">
        <f>3*223/10000</f>
        <v>6.6900000000000001E-2</v>
      </c>
      <c r="J184" s="145">
        <v>0</v>
      </c>
      <c r="K184" s="145">
        <v>0.05</v>
      </c>
      <c r="L184" s="145">
        <f>H184+K184</f>
        <v>0.1170071</v>
      </c>
      <c r="M184" s="145">
        <v>0</v>
      </c>
    </row>
    <row r="185" spans="1:13" ht="19.899999999999999" customHeight="1">
      <c r="A185" s="124"/>
      <c r="B185" s="161" t="s">
        <v>325</v>
      </c>
      <c r="C185" s="124">
        <f>A184-A60</f>
        <v>92</v>
      </c>
      <c r="D185" s="161"/>
      <c r="E185" s="124"/>
      <c r="F185" s="162">
        <f t="shared" ref="F185:M185" si="55">SUM(F62:F184)</f>
        <v>54387.317000000003</v>
      </c>
      <c r="G185" s="162"/>
      <c r="H185" s="162">
        <f t="shared" si="55"/>
        <v>57.750942819999999</v>
      </c>
      <c r="I185" s="162">
        <f t="shared" si="55"/>
        <v>52.2327108</v>
      </c>
      <c r="J185" s="162">
        <f t="shared" si="55"/>
        <v>5.5062294400000003</v>
      </c>
      <c r="K185" s="162">
        <f t="shared" si="55"/>
        <v>0.33950999999999998</v>
      </c>
      <c r="L185" s="162">
        <f t="shared" si="55"/>
        <v>58.078557340000003</v>
      </c>
      <c r="M185" s="162">
        <f t="shared" si="55"/>
        <v>9.9000000000000005E-2</v>
      </c>
    </row>
    <row r="186" spans="1:13" ht="18" customHeight="1">
      <c r="A186" s="124"/>
      <c r="B186" s="161" t="s">
        <v>580</v>
      </c>
      <c r="C186" s="163">
        <f>C185+C61</f>
        <v>138</v>
      </c>
      <c r="D186" s="161"/>
      <c r="E186" s="124"/>
      <c r="F186" s="164">
        <f t="shared" ref="F186:M186" si="56">F185+F61</f>
        <v>76504.736999999994</v>
      </c>
      <c r="G186" s="124"/>
      <c r="H186" s="165">
        <f t="shared" si="56"/>
        <v>81.862368969999906</v>
      </c>
      <c r="I186" s="165">
        <f t="shared" si="56"/>
        <v>71.702759610000001</v>
      </c>
      <c r="J186" s="165">
        <f t="shared" si="56"/>
        <v>10.1827954</v>
      </c>
      <c r="K186" s="165">
        <f t="shared" si="56"/>
        <v>11.726234229999999</v>
      </c>
      <c r="L186" s="165">
        <f t="shared" si="56"/>
        <v>89.611896340000001</v>
      </c>
      <c r="M186" s="165">
        <f t="shared" si="56"/>
        <v>0.11852559999999999</v>
      </c>
    </row>
    <row r="187" spans="1:13" ht="21" customHeight="1">
      <c r="B187" s="88"/>
      <c r="C187" s="88"/>
    </row>
    <row r="188" spans="1:13" ht="21" customHeight="1">
      <c r="B188" s="88"/>
      <c r="C188" s="88"/>
    </row>
    <row r="189" spans="1:13" ht="21" customHeight="1">
      <c r="B189" s="88"/>
      <c r="C189" s="88"/>
    </row>
    <row r="190" spans="1:13" ht="21" customHeight="1">
      <c r="B190" s="88"/>
      <c r="C190" s="88"/>
    </row>
    <row r="191" spans="1:13" ht="21" customHeight="1">
      <c r="B191" s="88"/>
      <c r="C191" s="88"/>
    </row>
    <row r="192" spans="1:13" ht="21" customHeight="1">
      <c r="B192" s="88"/>
      <c r="C192" s="88"/>
    </row>
    <row r="193" spans="2:3" ht="21" customHeight="1">
      <c r="B193" s="88"/>
      <c r="C193" s="88"/>
    </row>
    <row r="194" spans="2:3" ht="21" customHeight="1">
      <c r="B194" s="82"/>
      <c r="C194" s="82"/>
    </row>
    <row r="195" spans="2:3" ht="21" customHeight="1">
      <c r="B195" s="82"/>
      <c r="C195" s="82"/>
    </row>
    <row r="196" spans="2:3" s="82" customFormat="1" ht="21" customHeight="1">
      <c r="B196" s="88"/>
      <c r="C196" s="88"/>
    </row>
    <row r="197" spans="2:3" s="82" customFormat="1" ht="21" customHeight="1">
      <c r="B197" s="88"/>
      <c r="C197" s="88"/>
    </row>
    <row r="198" spans="2:3" s="82" customFormat="1" ht="21" customHeight="1">
      <c r="B198" s="88"/>
      <c r="C198" s="88"/>
    </row>
    <row r="199" spans="2:3" s="82" customFormat="1" ht="21" customHeight="1">
      <c r="B199" s="88"/>
      <c r="C199" s="88"/>
    </row>
    <row r="200" spans="2:3" s="82" customFormat="1" ht="21" customHeight="1">
      <c r="B200" s="88"/>
      <c r="C200" s="88"/>
    </row>
    <row r="201" spans="2:3" s="82" customFormat="1" ht="21" customHeight="1">
      <c r="B201" s="88"/>
      <c r="C201" s="88"/>
    </row>
    <row r="202" spans="2:3" ht="21" customHeight="1">
      <c r="B202" s="88"/>
      <c r="C202" s="88"/>
    </row>
    <row r="203" spans="2:3" ht="21" customHeight="1">
      <c r="B203" s="82"/>
      <c r="C203" s="82"/>
    </row>
    <row r="204" spans="2:3" ht="21" customHeight="1">
      <c r="C204" s="88"/>
    </row>
    <row r="205" spans="2:3" ht="21" customHeight="1">
      <c r="C205" s="88"/>
    </row>
    <row r="206" spans="2:3" ht="21" customHeight="1">
      <c r="C206" s="88"/>
    </row>
    <row r="207" spans="2:3" ht="21" customHeight="1">
      <c r="C207" s="88"/>
    </row>
    <row r="208" spans="2:3" ht="21" customHeight="1">
      <c r="C208" s="88"/>
    </row>
    <row r="209" spans="2:13" ht="21" customHeight="1">
      <c r="B209" s="88"/>
      <c r="C209" s="88"/>
    </row>
    <row r="210" spans="2:13" ht="21" customHeight="1">
      <c r="B210" s="82"/>
      <c r="C210" s="82"/>
    </row>
    <row r="211" spans="2:13" ht="21" customHeight="1">
      <c r="C211" s="88"/>
    </row>
    <row r="212" spans="2:13" ht="21" customHeight="1">
      <c r="C212" s="88"/>
    </row>
    <row r="213" spans="2:13" ht="21" customHeight="1">
      <c r="C213" s="88"/>
      <c r="D213" s="88"/>
      <c r="E213" s="88"/>
      <c r="H213" s="88"/>
      <c r="I213" s="88"/>
      <c r="J213" s="88"/>
      <c r="K213" s="88"/>
      <c r="L213" s="88"/>
      <c r="M213" s="88"/>
    </row>
    <row r="214" spans="2:13" s="82" customFormat="1" ht="21" customHeight="1">
      <c r="B214" s="89"/>
      <c r="C214" s="88"/>
    </row>
    <row r="215" spans="2:13" ht="21" customHeight="1">
      <c r="C215" s="88"/>
    </row>
    <row r="216" spans="2:13" ht="21" customHeight="1">
      <c r="C216" s="88"/>
    </row>
    <row r="217" spans="2:13" ht="21" customHeight="1">
      <c r="C217" s="88"/>
    </row>
    <row r="218" spans="2:13" ht="21" customHeight="1">
      <c r="C218" s="88"/>
    </row>
    <row r="219" spans="2:13" ht="21" customHeight="1">
      <c r="C219" s="88"/>
    </row>
    <row r="220" spans="2:13" ht="21" customHeight="1">
      <c r="C220" s="88"/>
    </row>
    <row r="221" spans="2:13" ht="21" customHeight="1">
      <c r="C221" s="88"/>
    </row>
    <row r="222" spans="2:13" ht="21" customHeight="1">
      <c r="C222" s="88"/>
    </row>
    <row r="223" spans="2:13" ht="21" customHeight="1">
      <c r="C223" s="88"/>
    </row>
    <row r="224" spans="2:13" ht="21" customHeight="1">
      <c r="C224" s="88"/>
    </row>
    <row r="225" spans="2:13" ht="21" customHeight="1">
      <c r="C225" s="88"/>
    </row>
    <row r="226" spans="2:13" ht="21" customHeight="1">
      <c r="B226" s="88"/>
      <c r="C226" s="88"/>
    </row>
    <row r="227" spans="2:13" ht="21" customHeight="1">
      <c r="B227" s="82"/>
      <c r="C227" s="82"/>
    </row>
    <row r="228" spans="2:13" ht="21" customHeight="1">
      <c r="C228" s="88"/>
    </row>
    <row r="229" spans="2:13" ht="21" customHeight="1">
      <c r="C229" s="88"/>
    </row>
    <row r="230" spans="2:13" ht="21" customHeight="1">
      <c r="C230" s="88"/>
    </row>
    <row r="231" spans="2:13" ht="21" customHeight="1">
      <c r="C231" s="88"/>
    </row>
    <row r="232" spans="2:13" ht="21" customHeight="1">
      <c r="C232" s="88"/>
    </row>
    <row r="233" spans="2:13" ht="21" customHeight="1">
      <c r="C233" s="88"/>
    </row>
    <row r="234" spans="2:13" ht="21" customHeight="1">
      <c r="C234" s="88"/>
    </row>
    <row r="235" spans="2:13" ht="21" customHeight="1">
      <c r="C235" s="88"/>
    </row>
    <row r="236" spans="2:13" ht="21" customHeight="1">
      <c r="C236" s="88"/>
      <c r="D236" s="88"/>
      <c r="E236" s="88"/>
      <c r="H236" s="88"/>
      <c r="I236" s="88"/>
      <c r="J236" s="88"/>
      <c r="K236" s="88"/>
      <c r="L236" s="88"/>
      <c r="M236" s="88"/>
    </row>
    <row r="237" spans="2:13" ht="21" customHeight="1">
      <c r="C237" s="88"/>
    </row>
    <row r="238" spans="2:13" s="82" customFormat="1" ht="21" customHeight="1">
      <c r="B238" s="89"/>
      <c r="C238" s="88"/>
    </row>
    <row r="239" spans="2:13" ht="21" customHeight="1">
      <c r="C239" s="88"/>
      <c r="D239" s="88"/>
      <c r="E239" s="88"/>
      <c r="H239" s="88"/>
      <c r="I239" s="88"/>
      <c r="J239" s="88"/>
      <c r="K239" s="88"/>
      <c r="L239" s="88"/>
      <c r="M239" s="88"/>
    </row>
    <row r="240" spans="2:13" ht="21" customHeight="1">
      <c r="C240" s="88"/>
      <c r="D240" s="88"/>
      <c r="E240" s="88"/>
      <c r="H240" s="88"/>
      <c r="I240" s="88"/>
      <c r="J240" s="88"/>
      <c r="K240" s="88"/>
      <c r="L240" s="88"/>
      <c r="M240" s="88"/>
    </row>
    <row r="241" spans="2:13" ht="21" customHeight="1">
      <c r="C241" s="88"/>
      <c r="D241" s="88"/>
      <c r="E241" s="88"/>
      <c r="H241" s="88"/>
      <c r="I241" s="88"/>
      <c r="J241" s="88"/>
      <c r="K241" s="88"/>
      <c r="L241" s="88"/>
      <c r="M241" s="88"/>
    </row>
    <row r="242" spans="2:13" ht="21" customHeight="1">
      <c r="C242" s="88"/>
      <c r="D242" s="88"/>
      <c r="E242" s="88"/>
      <c r="H242" s="88"/>
      <c r="I242" s="88"/>
      <c r="J242" s="88"/>
      <c r="K242" s="88"/>
      <c r="L242" s="88"/>
      <c r="M242" s="88"/>
    </row>
    <row r="243" spans="2:13" ht="21" customHeight="1">
      <c r="B243" s="88"/>
      <c r="C243" s="88"/>
      <c r="D243" s="88"/>
      <c r="E243" s="88"/>
      <c r="H243" s="88"/>
      <c r="I243" s="88"/>
      <c r="J243" s="88"/>
      <c r="K243" s="88"/>
      <c r="L243" s="88"/>
      <c r="M243" s="88"/>
    </row>
    <row r="244" spans="2:13" ht="21" customHeight="1">
      <c r="B244" s="82"/>
      <c r="C244" s="82"/>
      <c r="D244" s="88"/>
      <c r="E244" s="88"/>
      <c r="H244" s="88"/>
      <c r="I244" s="88"/>
      <c r="J244" s="88"/>
      <c r="K244" s="88"/>
      <c r="L244" s="88"/>
      <c r="M244" s="88"/>
    </row>
    <row r="245" spans="2:13" ht="21" customHeight="1">
      <c r="C245" s="88"/>
      <c r="D245" s="88"/>
      <c r="E245" s="88"/>
      <c r="H245" s="88"/>
      <c r="I245" s="88"/>
      <c r="J245" s="88"/>
      <c r="K245" s="88"/>
      <c r="L245" s="88"/>
      <c r="M245" s="88"/>
    </row>
    <row r="246" spans="2:13" ht="21" customHeight="1">
      <c r="C246" s="88"/>
      <c r="D246" s="88"/>
      <c r="E246" s="88"/>
      <c r="H246" s="88"/>
      <c r="I246" s="88"/>
      <c r="J246" s="88"/>
      <c r="K246" s="88"/>
      <c r="L246" s="88"/>
      <c r="M246" s="88"/>
    </row>
    <row r="247" spans="2:13" ht="21" customHeight="1">
      <c r="C247" s="88"/>
      <c r="D247" s="88"/>
      <c r="E247" s="88"/>
      <c r="H247" s="88"/>
      <c r="I247" s="88"/>
      <c r="J247" s="88"/>
      <c r="K247" s="88"/>
      <c r="L247" s="88"/>
      <c r="M247" s="88"/>
    </row>
    <row r="248" spans="2:13" ht="21" customHeight="1">
      <c r="C248" s="88"/>
      <c r="D248" s="88"/>
      <c r="E248" s="88"/>
      <c r="H248" s="88"/>
      <c r="I248" s="88"/>
      <c r="J248" s="88"/>
      <c r="K248" s="88"/>
      <c r="L248" s="88"/>
      <c r="M248" s="88"/>
    </row>
    <row r="249" spans="2:13" ht="21" customHeight="1">
      <c r="C249" s="88"/>
      <c r="D249" s="88"/>
      <c r="E249" s="88"/>
      <c r="H249" s="88"/>
      <c r="I249" s="88"/>
      <c r="J249" s="88"/>
      <c r="K249" s="88"/>
      <c r="L249" s="88"/>
      <c r="M249" s="88"/>
    </row>
    <row r="250" spans="2:13" ht="21" customHeight="1">
      <c r="C250" s="88"/>
      <c r="D250" s="88"/>
      <c r="E250" s="88"/>
      <c r="H250" s="88"/>
      <c r="I250" s="88"/>
      <c r="J250" s="88"/>
      <c r="K250" s="88"/>
      <c r="L250" s="88"/>
      <c r="M250" s="88"/>
    </row>
    <row r="251" spans="2:13" ht="21" customHeight="1">
      <c r="C251" s="88"/>
      <c r="D251" s="88"/>
      <c r="E251" s="88"/>
      <c r="H251" s="88"/>
      <c r="I251" s="88"/>
      <c r="J251" s="88"/>
      <c r="K251" s="88"/>
      <c r="L251" s="88"/>
      <c r="M251" s="88"/>
    </row>
    <row r="252" spans="2:13" ht="21" customHeight="1">
      <c r="C252" s="88"/>
      <c r="D252" s="88"/>
      <c r="E252" s="88"/>
      <c r="H252" s="88"/>
      <c r="I252" s="88"/>
      <c r="J252" s="88"/>
      <c r="K252" s="88"/>
      <c r="L252" s="88"/>
      <c r="M252" s="88"/>
    </row>
    <row r="253" spans="2:13" ht="21" customHeight="1">
      <c r="C253" s="88"/>
      <c r="D253" s="88"/>
      <c r="E253" s="88"/>
      <c r="H253" s="88"/>
      <c r="I253" s="88"/>
      <c r="J253" s="88"/>
      <c r="K253" s="88"/>
      <c r="L253" s="88"/>
      <c r="M253" s="88"/>
    </row>
    <row r="254" spans="2:13" ht="21" customHeight="1">
      <c r="C254" s="88"/>
      <c r="D254" s="88"/>
      <c r="E254" s="88"/>
      <c r="H254" s="88"/>
      <c r="I254" s="88"/>
      <c r="J254" s="88"/>
      <c r="K254" s="88"/>
      <c r="L254" s="88"/>
      <c r="M254" s="88"/>
    </row>
    <row r="255" spans="2:13" ht="21" customHeight="1">
      <c r="C255" s="88"/>
      <c r="D255" s="88"/>
      <c r="E255" s="88"/>
      <c r="H255" s="88"/>
      <c r="I255" s="88"/>
      <c r="J255" s="88"/>
      <c r="K255" s="88"/>
      <c r="L255" s="88"/>
      <c r="M255" s="88"/>
    </row>
    <row r="256" spans="2:13" ht="21" customHeight="1">
      <c r="C256" s="88"/>
      <c r="D256" s="88"/>
      <c r="E256" s="88"/>
      <c r="H256" s="88"/>
      <c r="I256" s="88"/>
      <c r="J256" s="88"/>
      <c r="K256" s="88"/>
      <c r="L256" s="88"/>
      <c r="M256" s="88"/>
    </row>
    <row r="257" s="88" customFormat="1" ht="21" customHeight="1"/>
    <row r="258" s="88" customFormat="1" ht="21" customHeight="1"/>
    <row r="259" s="88" customFormat="1" ht="21" customHeight="1"/>
    <row r="260" s="88" customFormat="1" ht="21" customHeight="1"/>
    <row r="261" s="88" customFormat="1" ht="21" customHeight="1"/>
    <row r="262" s="88" customFormat="1" ht="21" customHeight="1"/>
    <row r="263" s="88" customFormat="1" ht="21" customHeight="1"/>
    <row r="264" s="88" customFormat="1" ht="21" customHeight="1"/>
    <row r="265" s="88" customFormat="1" ht="21" customHeight="1"/>
    <row r="266" s="88" customFormat="1" ht="21" customHeight="1"/>
    <row r="267" s="88" customFormat="1" ht="21" customHeight="1"/>
    <row r="268" s="88" customFormat="1" ht="21" customHeight="1"/>
    <row r="269" s="88" customFormat="1" ht="21" customHeight="1"/>
    <row r="270" s="88" customFormat="1" ht="21" customHeight="1"/>
    <row r="271" s="88" customFormat="1" ht="21" customHeight="1"/>
    <row r="272" s="88" customFormat="1" ht="21" customHeight="1"/>
    <row r="273" s="88" customFormat="1" ht="21" customHeight="1"/>
    <row r="274" s="88" customFormat="1" ht="21" customHeight="1"/>
    <row r="275" s="88" customFormat="1" ht="21" customHeight="1"/>
    <row r="276" s="88" customFormat="1" ht="21" customHeight="1"/>
    <row r="277" s="88" customFormat="1" ht="21" customHeight="1"/>
    <row r="278" s="88" customFormat="1" ht="21" customHeight="1"/>
    <row r="279" s="88" customFormat="1" ht="21" customHeight="1"/>
    <row r="280" s="88" customFormat="1" ht="21" customHeight="1"/>
    <row r="281" s="88" customFormat="1" ht="21" customHeight="1"/>
    <row r="282" s="88" customFormat="1" ht="21" customHeight="1"/>
    <row r="283" s="88" customFormat="1" ht="21" customHeight="1"/>
    <row r="284" s="88" customFormat="1" ht="21" customHeight="1"/>
    <row r="285" s="88" customFormat="1" ht="21" customHeight="1"/>
    <row r="286" s="88" customFormat="1" ht="21" customHeight="1"/>
    <row r="287" s="88" customFormat="1" ht="21" customHeight="1"/>
    <row r="288" s="88" customFormat="1" ht="21" customHeight="1"/>
    <row r="289" s="88" customFormat="1" ht="21" customHeight="1"/>
    <row r="290" s="88" customFormat="1" ht="21" customHeight="1"/>
    <row r="291" s="88" customFormat="1" ht="21" customHeight="1"/>
    <row r="292" s="88" customFormat="1" ht="21" customHeight="1"/>
    <row r="293" s="88" customFormat="1" ht="21" customHeight="1"/>
    <row r="294" s="88" customFormat="1" ht="21" customHeight="1"/>
    <row r="295" s="88" customFormat="1" ht="21" customHeight="1"/>
    <row r="296" s="88" customFormat="1" ht="21" customHeight="1"/>
    <row r="297" s="88" customFormat="1" ht="21" customHeight="1"/>
    <row r="298" s="88" customFormat="1" ht="21" customHeight="1"/>
    <row r="299" s="88" customFormat="1" ht="21" customHeight="1"/>
    <row r="300" s="88" customFormat="1" ht="21" customHeight="1"/>
    <row r="301" s="88" customFormat="1" ht="21" customHeight="1"/>
    <row r="302" s="88" customFormat="1" ht="21" customHeight="1"/>
    <row r="303" s="88" customFormat="1" ht="21" customHeight="1"/>
    <row r="304" s="88" customFormat="1" ht="21" customHeight="1"/>
    <row r="305" s="88" customFormat="1" ht="21" customHeight="1"/>
    <row r="306" s="88" customFormat="1" ht="21" customHeight="1"/>
    <row r="307" s="88" customFormat="1" ht="21" customHeight="1"/>
    <row r="308" s="88" customFormat="1" ht="21" customHeight="1"/>
    <row r="309" s="88" customFormat="1" ht="21" customHeight="1"/>
    <row r="310" s="88" customFormat="1" ht="21" customHeight="1"/>
    <row r="311" s="88" customFormat="1" ht="21" customHeight="1"/>
    <row r="312" s="88" customFormat="1" ht="21" customHeight="1"/>
    <row r="313" s="88" customFormat="1" ht="21" customHeight="1"/>
    <row r="314" s="88" customFormat="1" ht="21" customHeight="1"/>
    <row r="315" s="88" customFormat="1" ht="21" customHeight="1"/>
    <row r="316" s="88" customFormat="1" ht="21" customHeight="1"/>
    <row r="317" s="88" customFormat="1" ht="21" customHeight="1"/>
    <row r="318" s="88" customFormat="1" ht="21" customHeight="1"/>
    <row r="319" s="88" customFormat="1" ht="21" customHeight="1"/>
    <row r="320" s="88" customFormat="1" ht="21" customHeight="1"/>
    <row r="321" s="88" customFormat="1" ht="21" customHeight="1"/>
    <row r="322" s="88" customFormat="1" ht="21" customHeight="1"/>
    <row r="323" s="88" customFormat="1" ht="21" customHeight="1"/>
    <row r="324" s="88" customFormat="1" ht="21" customHeight="1"/>
    <row r="325" s="88" customFormat="1" ht="21" customHeight="1"/>
    <row r="326" s="88" customFormat="1" ht="21" customHeight="1"/>
    <row r="327" s="88" customFormat="1" ht="21" customHeight="1"/>
    <row r="328" s="88" customFormat="1" ht="21" customHeight="1"/>
    <row r="329" s="88" customFormat="1" ht="21" customHeight="1"/>
    <row r="330" s="88" customFormat="1" ht="21" customHeight="1"/>
    <row r="331" s="88" customFormat="1" ht="21" customHeight="1"/>
    <row r="332" s="88" customFormat="1" ht="21" customHeight="1"/>
    <row r="333" s="88" customFormat="1" ht="21" customHeight="1"/>
    <row r="334" s="88" customFormat="1" ht="21" customHeight="1"/>
    <row r="335" s="88" customFormat="1" ht="21" customHeight="1"/>
    <row r="336" s="88" customFormat="1" ht="21" customHeight="1"/>
    <row r="337" spans="2:13" ht="21" customHeight="1">
      <c r="B337" s="88"/>
      <c r="C337" s="88"/>
      <c r="D337" s="88"/>
      <c r="E337" s="88"/>
      <c r="H337" s="88"/>
      <c r="I337" s="88"/>
      <c r="J337" s="88"/>
      <c r="K337" s="88"/>
      <c r="L337" s="88"/>
      <c r="M337" s="88"/>
    </row>
    <row r="338" spans="2:13" ht="21" customHeight="1">
      <c r="B338" s="88"/>
      <c r="C338" s="88"/>
      <c r="D338" s="88"/>
      <c r="E338" s="88"/>
      <c r="H338" s="88"/>
      <c r="I338" s="88"/>
      <c r="J338" s="88"/>
      <c r="K338" s="88"/>
      <c r="L338" s="88"/>
      <c r="M338" s="88"/>
    </row>
    <row r="339" spans="2:13" ht="21" customHeight="1">
      <c r="B339" s="88"/>
      <c r="C339" s="88"/>
      <c r="D339" s="88"/>
      <c r="E339" s="88"/>
      <c r="H339" s="88"/>
      <c r="I339" s="88"/>
      <c r="J339" s="88"/>
      <c r="K339" s="88"/>
      <c r="L339" s="88"/>
      <c r="M339" s="88"/>
    </row>
    <row r="340" spans="2:13" ht="21" customHeight="1">
      <c r="B340" s="88"/>
      <c r="C340" s="88"/>
      <c r="D340" s="88"/>
      <c r="E340" s="88"/>
      <c r="H340" s="88"/>
      <c r="I340" s="88"/>
      <c r="J340" s="88"/>
      <c r="K340" s="88"/>
      <c r="L340" s="88"/>
      <c r="M340" s="88"/>
    </row>
    <row r="341" spans="2:13" ht="21" customHeight="1">
      <c r="B341" s="88"/>
      <c r="C341" s="88"/>
      <c r="D341" s="88"/>
      <c r="E341" s="88"/>
      <c r="H341" s="88"/>
      <c r="I341" s="88"/>
      <c r="J341" s="88"/>
      <c r="K341" s="88"/>
      <c r="L341" s="88"/>
      <c r="M341" s="88"/>
    </row>
    <row r="342" spans="2:13" s="82" customFormat="1" ht="21" customHeight="1"/>
    <row r="343" spans="2:13" s="82" customFormat="1" ht="21" customHeight="1"/>
    <row r="344" spans="2:13" s="82" customFormat="1" ht="21" customHeight="1"/>
    <row r="345" spans="2:13" ht="21" customHeight="1"/>
    <row r="346" spans="2:13" ht="21" customHeight="1"/>
    <row r="347" spans="2:13" ht="21" customHeight="1">
      <c r="B347" s="88"/>
      <c r="C347" s="88"/>
      <c r="D347" s="88"/>
      <c r="E347" s="88"/>
      <c r="H347" s="88"/>
      <c r="I347" s="88"/>
      <c r="J347" s="88"/>
      <c r="K347" s="88"/>
      <c r="L347" s="88"/>
      <c r="M347" s="88"/>
    </row>
    <row r="348" spans="2:13" ht="21" customHeight="1"/>
    <row r="349" spans="2:13" ht="21" customHeight="1"/>
    <row r="350" spans="2:13" ht="21" customHeight="1"/>
    <row r="351" spans="2:13" ht="21" customHeight="1"/>
    <row r="352" spans="2:13" ht="21" customHeight="1"/>
    <row r="353" ht="36" customHeight="1"/>
    <row r="354" s="86" customFormat="1" ht="21" customHeight="1"/>
  </sheetData>
  <mergeCells count="131">
    <mergeCell ref="E2:E60"/>
    <mergeCell ref="E62:E184"/>
    <mergeCell ref="B129:B130"/>
    <mergeCell ref="B138:B139"/>
    <mergeCell ref="B141:B142"/>
    <mergeCell ref="B145:B146"/>
    <mergeCell ref="B158:B159"/>
    <mergeCell ref="B161:B162"/>
    <mergeCell ref="B163:B164"/>
    <mergeCell ref="B165:B166"/>
    <mergeCell ref="B173:B174"/>
    <mergeCell ref="B87:B88"/>
    <mergeCell ref="B95:B96"/>
    <mergeCell ref="B97:B98"/>
    <mergeCell ref="B99:B100"/>
    <mergeCell ref="B101:B102"/>
    <mergeCell ref="B106:B107"/>
    <mergeCell ref="B108:B109"/>
    <mergeCell ref="B124:B125"/>
    <mergeCell ref="B126:B127"/>
    <mergeCell ref="A165:A166"/>
    <mergeCell ref="A168:A171"/>
    <mergeCell ref="A173:A174"/>
    <mergeCell ref="B3:B4"/>
    <mergeCell ref="B5:B6"/>
    <mergeCell ref="B7:B8"/>
    <mergeCell ref="B9:B10"/>
    <mergeCell ref="B11:B12"/>
    <mergeCell ref="B13:B14"/>
    <mergeCell ref="B19:B20"/>
    <mergeCell ref="B21:B22"/>
    <mergeCell ref="B23:B24"/>
    <mergeCell ref="B25:B26"/>
    <mergeCell ref="B38:B39"/>
    <mergeCell ref="B42:B43"/>
    <mergeCell ref="B53:B54"/>
    <mergeCell ref="B63:B64"/>
    <mergeCell ref="B66:B67"/>
    <mergeCell ref="B71:B72"/>
    <mergeCell ref="B75:B76"/>
    <mergeCell ref="B79:B80"/>
    <mergeCell ref="B81:B82"/>
    <mergeCell ref="B83:B84"/>
    <mergeCell ref="B85:B86"/>
    <mergeCell ref="A129:A130"/>
    <mergeCell ref="A138:A139"/>
    <mergeCell ref="A141:A142"/>
    <mergeCell ref="A145:A146"/>
    <mergeCell ref="A154:A155"/>
    <mergeCell ref="A156:A157"/>
    <mergeCell ref="A158:A159"/>
    <mergeCell ref="A161:A162"/>
    <mergeCell ref="A163:A164"/>
    <mergeCell ref="A87:A88"/>
    <mergeCell ref="A95:A96"/>
    <mergeCell ref="A97:A98"/>
    <mergeCell ref="A99:A100"/>
    <mergeCell ref="A101:A102"/>
    <mergeCell ref="A106:A107"/>
    <mergeCell ref="A108:A109"/>
    <mergeCell ref="A124:A125"/>
    <mergeCell ref="A126:A127"/>
    <mergeCell ref="C171:D171"/>
    <mergeCell ref="C174:D174"/>
    <mergeCell ref="C175:D175"/>
    <mergeCell ref="A3:A4"/>
    <mergeCell ref="A5:A6"/>
    <mergeCell ref="A7:A8"/>
    <mergeCell ref="A9:A10"/>
    <mergeCell ref="A11:A12"/>
    <mergeCell ref="A13:A14"/>
    <mergeCell ref="A19:A20"/>
    <mergeCell ref="A21:A22"/>
    <mergeCell ref="A23:A24"/>
    <mergeCell ref="A25:A26"/>
    <mergeCell ref="A38:A39"/>
    <mergeCell ref="A42:A43"/>
    <mergeCell ref="A53:A54"/>
    <mergeCell ref="A63:A64"/>
    <mergeCell ref="A66:A67"/>
    <mergeCell ref="A71:A72"/>
    <mergeCell ref="A75:A76"/>
    <mergeCell ref="A79:A80"/>
    <mergeCell ref="A81:A82"/>
    <mergeCell ref="A83:A84"/>
    <mergeCell ref="A85:A86"/>
    <mergeCell ref="C146:D146"/>
    <mergeCell ref="C157:D157"/>
    <mergeCell ref="C159:D159"/>
    <mergeCell ref="C161:D161"/>
    <mergeCell ref="C162:D162"/>
    <mergeCell ref="C164:D164"/>
    <mergeCell ref="C166:D166"/>
    <mergeCell ref="C169:D169"/>
    <mergeCell ref="C170:D170"/>
    <mergeCell ref="C102:D102"/>
    <mergeCell ref="C107:D107"/>
    <mergeCell ref="C109:D109"/>
    <mergeCell ref="C114:D114"/>
    <mergeCell ref="C123:D123"/>
    <mergeCell ref="C125:D125"/>
    <mergeCell ref="C127:D127"/>
    <mergeCell ref="C130:D130"/>
    <mergeCell ref="C139:D139"/>
    <mergeCell ref="C77:D77"/>
    <mergeCell ref="C80:D80"/>
    <mergeCell ref="C82:D82"/>
    <mergeCell ref="C84:D84"/>
    <mergeCell ref="C86:D86"/>
    <mergeCell ref="C88:D88"/>
    <mergeCell ref="C96:D96"/>
    <mergeCell ref="C98:D98"/>
    <mergeCell ref="C100:D100"/>
    <mergeCell ref="C24:D24"/>
    <mergeCell ref="C26:D26"/>
    <mergeCell ref="C39:D39"/>
    <mergeCell ref="C43:D43"/>
    <mergeCell ref="C64:D64"/>
    <mergeCell ref="C67:D67"/>
    <mergeCell ref="C70:D70"/>
    <mergeCell ref="C72:D72"/>
    <mergeCell ref="C76:D76"/>
    <mergeCell ref="C4:D4"/>
    <mergeCell ref="C6:D6"/>
    <mergeCell ref="C8:D8"/>
    <mergeCell ref="C10:D10"/>
    <mergeCell ref="C12:D12"/>
    <mergeCell ref="C13:D13"/>
    <mergeCell ref="C14:D14"/>
    <mergeCell ref="C20:D20"/>
    <mergeCell ref="C22:D22"/>
  </mergeCells>
  <phoneticPr fontId="2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O71"/>
  <sheetViews>
    <sheetView tabSelected="1" topLeftCell="R64" workbookViewId="0">
      <selection activeCell="AL76" sqref="AL76"/>
    </sheetView>
  </sheetViews>
  <sheetFormatPr defaultColWidth="9" defaultRowHeight="9.5"/>
  <cols>
    <col min="1" max="1" width="4.6328125" style="49" customWidth="1"/>
    <col min="2" max="2" width="6.6328125" style="49" customWidth="1"/>
    <col min="3" max="3" width="10.6328125" style="49" customWidth="1"/>
    <col min="4" max="4" width="6.6328125" style="49" customWidth="1"/>
    <col min="5" max="5" width="18.6328125" style="49" customWidth="1"/>
    <col min="6" max="10" width="6.6328125" style="49" customWidth="1"/>
    <col min="11" max="14" width="6.6328125" style="50" customWidth="1"/>
    <col min="15" max="65" width="6.6328125" style="49" customWidth="1"/>
    <col min="66" max="249" width="9" style="49"/>
    <col min="250" max="250" width="2.90625" style="49" customWidth="1"/>
    <col min="251" max="251" width="9.453125" style="49" customWidth="1"/>
    <col min="252" max="252" width="10.6328125" style="49" customWidth="1"/>
    <col min="253" max="253" width="9.08984375" style="49" customWidth="1"/>
    <col min="254" max="254" width="22.6328125" style="49" customWidth="1"/>
    <col min="255" max="255" width="5.453125" style="49" customWidth="1"/>
    <col min="256" max="256" width="4.7265625" style="49" customWidth="1"/>
    <col min="257" max="257" width="4.90625" style="49" customWidth="1"/>
    <col min="258" max="258" width="6.26953125" style="49" customWidth="1"/>
    <col min="259" max="259" width="5.36328125" style="49" customWidth="1"/>
    <col min="260" max="260" width="4.26953125" style="49" customWidth="1"/>
    <col min="261" max="263" width="3.6328125" style="49" customWidth="1"/>
    <col min="264" max="264" width="4.36328125" style="49" customWidth="1"/>
    <col min="265" max="265" width="3.6328125" style="49" customWidth="1"/>
    <col min="266" max="266" width="4" style="49" customWidth="1"/>
    <col min="267" max="267" width="4.08984375" style="49" customWidth="1"/>
    <col min="268" max="268" width="5.26953125" style="49" customWidth="1"/>
    <col min="269" max="269" width="5.08984375" style="49" customWidth="1"/>
    <col min="270" max="281" width="3.6328125" style="49" customWidth="1"/>
    <col min="282" max="282" width="5" style="49" customWidth="1"/>
    <col min="283" max="286" width="4" style="49" customWidth="1"/>
    <col min="287" max="287" width="4.26953125" style="49" customWidth="1"/>
    <col min="288" max="288" width="9.26953125" style="49" customWidth="1"/>
    <col min="289" max="296" width="9" style="49" customWidth="1"/>
    <col min="297" max="315" width="5.26953125" style="49" customWidth="1"/>
    <col min="316" max="505" width="9" style="49"/>
    <col min="506" max="506" width="2.90625" style="49" customWidth="1"/>
    <col min="507" max="507" width="9.453125" style="49" customWidth="1"/>
    <col min="508" max="508" width="10.6328125" style="49" customWidth="1"/>
    <col min="509" max="509" width="9.08984375" style="49" customWidth="1"/>
    <col min="510" max="510" width="22.6328125" style="49" customWidth="1"/>
    <col min="511" max="511" width="5.453125" style="49" customWidth="1"/>
    <col min="512" max="512" width="4.7265625" style="49" customWidth="1"/>
    <col min="513" max="513" width="4.90625" style="49" customWidth="1"/>
    <col min="514" max="514" width="6.26953125" style="49" customWidth="1"/>
    <col min="515" max="515" width="5.36328125" style="49" customWidth="1"/>
    <col min="516" max="516" width="4.26953125" style="49" customWidth="1"/>
    <col min="517" max="519" width="3.6328125" style="49" customWidth="1"/>
    <col min="520" max="520" width="4.36328125" style="49" customWidth="1"/>
    <col min="521" max="521" width="3.6328125" style="49" customWidth="1"/>
    <col min="522" max="522" width="4" style="49" customWidth="1"/>
    <col min="523" max="523" width="4.08984375" style="49" customWidth="1"/>
    <col min="524" max="524" width="5.26953125" style="49" customWidth="1"/>
    <col min="525" max="525" width="5.08984375" style="49" customWidth="1"/>
    <col min="526" max="537" width="3.6328125" style="49" customWidth="1"/>
    <col min="538" max="538" width="5" style="49" customWidth="1"/>
    <col min="539" max="542" width="4" style="49" customWidth="1"/>
    <col min="543" max="543" width="4.26953125" style="49" customWidth="1"/>
    <col min="544" max="544" width="9.26953125" style="49" customWidth="1"/>
    <col min="545" max="552" width="9" style="49" customWidth="1"/>
    <col min="553" max="571" width="5.26953125" style="49" customWidth="1"/>
    <col min="572" max="761" width="9" style="49"/>
    <col min="762" max="762" width="2.90625" style="49" customWidth="1"/>
    <col min="763" max="763" width="9.453125" style="49" customWidth="1"/>
    <col min="764" max="764" width="10.6328125" style="49" customWidth="1"/>
    <col min="765" max="765" width="9.08984375" style="49" customWidth="1"/>
    <col min="766" max="766" width="22.6328125" style="49" customWidth="1"/>
    <col min="767" max="767" width="5.453125" style="49" customWidth="1"/>
    <col min="768" max="768" width="4.7265625" style="49" customWidth="1"/>
    <col min="769" max="769" width="4.90625" style="49" customWidth="1"/>
    <col min="770" max="770" width="6.26953125" style="49" customWidth="1"/>
    <col min="771" max="771" width="5.36328125" style="49" customWidth="1"/>
    <col min="772" max="772" width="4.26953125" style="49" customWidth="1"/>
    <col min="773" max="775" width="3.6328125" style="49" customWidth="1"/>
    <col min="776" max="776" width="4.36328125" style="49" customWidth="1"/>
    <col min="777" max="777" width="3.6328125" style="49" customWidth="1"/>
    <col min="778" max="778" width="4" style="49" customWidth="1"/>
    <col min="779" max="779" width="4.08984375" style="49" customWidth="1"/>
    <col min="780" max="780" width="5.26953125" style="49" customWidth="1"/>
    <col min="781" max="781" width="5.08984375" style="49" customWidth="1"/>
    <col min="782" max="793" width="3.6328125" style="49" customWidth="1"/>
    <col min="794" max="794" width="5" style="49" customWidth="1"/>
    <col min="795" max="798" width="4" style="49" customWidth="1"/>
    <col min="799" max="799" width="4.26953125" style="49" customWidth="1"/>
    <col min="800" max="800" width="9.26953125" style="49" customWidth="1"/>
    <col min="801" max="808" width="9" style="49" customWidth="1"/>
    <col min="809" max="827" width="5.26953125" style="49" customWidth="1"/>
    <col min="828" max="1017" width="9" style="49"/>
    <col min="1018" max="1018" width="2.90625" style="49" customWidth="1"/>
    <col min="1019" max="1019" width="9.453125" style="49" customWidth="1"/>
    <col min="1020" max="1020" width="10.6328125" style="49" customWidth="1"/>
    <col min="1021" max="1021" width="9.08984375" style="49" customWidth="1"/>
    <col min="1022" max="1022" width="22.6328125" style="49" customWidth="1"/>
    <col min="1023" max="1023" width="5.453125" style="49" customWidth="1"/>
    <col min="1024" max="1024" width="4.7265625" style="49" customWidth="1"/>
    <col min="1025" max="1025" width="4.90625" style="49" customWidth="1"/>
    <col min="1026" max="1026" width="6.26953125" style="49" customWidth="1"/>
    <col min="1027" max="1027" width="5.36328125" style="49" customWidth="1"/>
    <col min="1028" max="1028" width="4.26953125" style="49" customWidth="1"/>
    <col min="1029" max="1031" width="3.6328125" style="49" customWidth="1"/>
    <col min="1032" max="1032" width="4.36328125" style="49" customWidth="1"/>
    <col min="1033" max="1033" width="3.6328125" style="49" customWidth="1"/>
    <col min="1034" max="1034" width="4" style="49" customWidth="1"/>
    <col min="1035" max="1035" width="4.08984375" style="49" customWidth="1"/>
    <col min="1036" max="1036" width="5.26953125" style="49" customWidth="1"/>
    <col min="1037" max="1037" width="5.08984375" style="49" customWidth="1"/>
    <col min="1038" max="1049" width="3.6328125" style="49" customWidth="1"/>
    <col min="1050" max="1050" width="5" style="49" customWidth="1"/>
    <col min="1051" max="1054" width="4" style="49" customWidth="1"/>
    <col min="1055" max="1055" width="4.26953125" style="49" customWidth="1"/>
    <col min="1056" max="1056" width="9.26953125" style="49" customWidth="1"/>
    <col min="1057" max="1064" width="9" style="49" customWidth="1"/>
    <col min="1065" max="1083" width="5.26953125" style="49" customWidth="1"/>
    <col min="1084" max="1273" width="9" style="49"/>
    <col min="1274" max="1274" width="2.90625" style="49" customWidth="1"/>
    <col min="1275" max="1275" width="9.453125" style="49" customWidth="1"/>
    <col min="1276" max="1276" width="10.6328125" style="49" customWidth="1"/>
    <col min="1277" max="1277" width="9.08984375" style="49" customWidth="1"/>
    <col min="1278" max="1278" width="22.6328125" style="49" customWidth="1"/>
    <col min="1279" max="1279" width="5.453125" style="49" customWidth="1"/>
    <col min="1280" max="1280" width="4.7265625" style="49" customWidth="1"/>
    <col min="1281" max="1281" width="4.90625" style="49" customWidth="1"/>
    <col min="1282" max="1282" width="6.26953125" style="49" customWidth="1"/>
    <col min="1283" max="1283" width="5.36328125" style="49" customWidth="1"/>
    <col min="1284" max="1284" width="4.26953125" style="49" customWidth="1"/>
    <col min="1285" max="1287" width="3.6328125" style="49" customWidth="1"/>
    <col min="1288" max="1288" width="4.36328125" style="49" customWidth="1"/>
    <col min="1289" max="1289" width="3.6328125" style="49" customWidth="1"/>
    <col min="1290" max="1290" width="4" style="49" customWidth="1"/>
    <col min="1291" max="1291" width="4.08984375" style="49" customWidth="1"/>
    <col min="1292" max="1292" width="5.26953125" style="49" customWidth="1"/>
    <col min="1293" max="1293" width="5.08984375" style="49" customWidth="1"/>
    <col min="1294" max="1305" width="3.6328125" style="49" customWidth="1"/>
    <col min="1306" max="1306" width="5" style="49" customWidth="1"/>
    <col min="1307" max="1310" width="4" style="49" customWidth="1"/>
    <col min="1311" max="1311" width="4.26953125" style="49" customWidth="1"/>
    <col min="1312" max="1312" width="9.26953125" style="49" customWidth="1"/>
    <col min="1313" max="1320" width="9" style="49" customWidth="1"/>
    <col min="1321" max="1339" width="5.26953125" style="49" customWidth="1"/>
    <col min="1340" max="1529" width="9" style="49"/>
    <col min="1530" max="1530" width="2.90625" style="49" customWidth="1"/>
    <col min="1531" max="1531" width="9.453125" style="49" customWidth="1"/>
    <col min="1532" max="1532" width="10.6328125" style="49" customWidth="1"/>
    <col min="1533" max="1533" width="9.08984375" style="49" customWidth="1"/>
    <col min="1534" max="1534" width="22.6328125" style="49" customWidth="1"/>
    <col min="1535" max="1535" width="5.453125" style="49" customWidth="1"/>
    <col min="1536" max="1536" width="4.7265625" style="49" customWidth="1"/>
    <col min="1537" max="1537" width="4.90625" style="49" customWidth="1"/>
    <col min="1538" max="1538" width="6.26953125" style="49" customWidth="1"/>
    <col min="1539" max="1539" width="5.36328125" style="49" customWidth="1"/>
    <col min="1540" max="1540" width="4.26953125" style="49" customWidth="1"/>
    <col min="1541" max="1543" width="3.6328125" style="49" customWidth="1"/>
    <col min="1544" max="1544" width="4.36328125" style="49" customWidth="1"/>
    <col min="1545" max="1545" width="3.6328125" style="49" customWidth="1"/>
    <col min="1546" max="1546" width="4" style="49" customWidth="1"/>
    <col min="1547" max="1547" width="4.08984375" style="49" customWidth="1"/>
    <col min="1548" max="1548" width="5.26953125" style="49" customWidth="1"/>
    <col min="1549" max="1549" width="5.08984375" style="49" customWidth="1"/>
    <col min="1550" max="1561" width="3.6328125" style="49" customWidth="1"/>
    <col min="1562" max="1562" width="5" style="49" customWidth="1"/>
    <col min="1563" max="1566" width="4" style="49" customWidth="1"/>
    <col min="1567" max="1567" width="4.26953125" style="49" customWidth="1"/>
    <col min="1568" max="1568" width="9.26953125" style="49" customWidth="1"/>
    <col min="1569" max="1576" width="9" style="49" customWidth="1"/>
    <col min="1577" max="1595" width="5.26953125" style="49" customWidth="1"/>
    <col min="1596" max="1785" width="9" style="49"/>
    <col min="1786" max="1786" width="2.90625" style="49" customWidth="1"/>
    <col min="1787" max="1787" width="9.453125" style="49" customWidth="1"/>
    <col min="1788" max="1788" width="10.6328125" style="49" customWidth="1"/>
    <col min="1789" max="1789" width="9.08984375" style="49" customWidth="1"/>
    <col min="1790" max="1790" width="22.6328125" style="49" customWidth="1"/>
    <col min="1791" max="1791" width="5.453125" style="49" customWidth="1"/>
    <col min="1792" max="1792" width="4.7265625" style="49" customWidth="1"/>
    <col min="1793" max="1793" width="4.90625" style="49" customWidth="1"/>
    <col min="1794" max="1794" width="6.26953125" style="49" customWidth="1"/>
    <col min="1795" max="1795" width="5.36328125" style="49" customWidth="1"/>
    <col min="1796" max="1796" width="4.26953125" style="49" customWidth="1"/>
    <col min="1797" max="1799" width="3.6328125" style="49" customWidth="1"/>
    <col min="1800" max="1800" width="4.36328125" style="49" customWidth="1"/>
    <col min="1801" max="1801" width="3.6328125" style="49" customWidth="1"/>
    <col min="1802" max="1802" width="4" style="49" customWidth="1"/>
    <col min="1803" max="1803" width="4.08984375" style="49" customWidth="1"/>
    <col min="1804" max="1804" width="5.26953125" style="49" customWidth="1"/>
    <col min="1805" max="1805" width="5.08984375" style="49" customWidth="1"/>
    <col min="1806" max="1817" width="3.6328125" style="49" customWidth="1"/>
    <col min="1818" max="1818" width="5" style="49" customWidth="1"/>
    <col min="1819" max="1822" width="4" style="49" customWidth="1"/>
    <col min="1823" max="1823" width="4.26953125" style="49" customWidth="1"/>
    <col min="1824" max="1824" width="9.26953125" style="49" customWidth="1"/>
    <col min="1825" max="1832" width="9" style="49" customWidth="1"/>
    <col min="1833" max="1851" width="5.26953125" style="49" customWidth="1"/>
    <col min="1852" max="2041" width="9" style="49"/>
    <col min="2042" max="2042" width="2.90625" style="49" customWidth="1"/>
    <col min="2043" max="2043" width="9.453125" style="49" customWidth="1"/>
    <col min="2044" max="2044" width="10.6328125" style="49" customWidth="1"/>
    <col min="2045" max="2045" width="9.08984375" style="49" customWidth="1"/>
    <col min="2046" max="2046" width="22.6328125" style="49" customWidth="1"/>
    <col min="2047" max="2047" width="5.453125" style="49" customWidth="1"/>
    <col min="2048" max="2048" width="4.7265625" style="49" customWidth="1"/>
    <col min="2049" max="2049" width="4.90625" style="49" customWidth="1"/>
    <col min="2050" max="2050" width="6.26953125" style="49" customWidth="1"/>
    <col min="2051" max="2051" width="5.36328125" style="49" customWidth="1"/>
    <col min="2052" max="2052" width="4.26953125" style="49" customWidth="1"/>
    <col min="2053" max="2055" width="3.6328125" style="49" customWidth="1"/>
    <col min="2056" max="2056" width="4.36328125" style="49" customWidth="1"/>
    <col min="2057" max="2057" width="3.6328125" style="49" customWidth="1"/>
    <col min="2058" max="2058" width="4" style="49" customWidth="1"/>
    <col min="2059" max="2059" width="4.08984375" style="49" customWidth="1"/>
    <col min="2060" max="2060" width="5.26953125" style="49" customWidth="1"/>
    <col min="2061" max="2061" width="5.08984375" style="49" customWidth="1"/>
    <col min="2062" max="2073" width="3.6328125" style="49" customWidth="1"/>
    <col min="2074" max="2074" width="5" style="49" customWidth="1"/>
    <col min="2075" max="2078" width="4" style="49" customWidth="1"/>
    <col min="2079" max="2079" width="4.26953125" style="49" customWidth="1"/>
    <col min="2080" max="2080" width="9.26953125" style="49" customWidth="1"/>
    <col min="2081" max="2088" width="9" style="49" customWidth="1"/>
    <col min="2089" max="2107" width="5.26953125" style="49" customWidth="1"/>
    <col min="2108" max="2297" width="9" style="49"/>
    <col min="2298" max="2298" width="2.90625" style="49" customWidth="1"/>
    <col min="2299" max="2299" width="9.453125" style="49" customWidth="1"/>
    <col min="2300" max="2300" width="10.6328125" style="49" customWidth="1"/>
    <col min="2301" max="2301" width="9.08984375" style="49" customWidth="1"/>
    <col min="2302" max="2302" width="22.6328125" style="49" customWidth="1"/>
    <col min="2303" max="2303" width="5.453125" style="49" customWidth="1"/>
    <col min="2304" max="2304" width="4.7265625" style="49" customWidth="1"/>
    <col min="2305" max="2305" width="4.90625" style="49" customWidth="1"/>
    <col min="2306" max="2306" width="6.26953125" style="49" customWidth="1"/>
    <col min="2307" max="2307" width="5.36328125" style="49" customWidth="1"/>
    <col min="2308" max="2308" width="4.26953125" style="49" customWidth="1"/>
    <col min="2309" max="2311" width="3.6328125" style="49" customWidth="1"/>
    <col min="2312" max="2312" width="4.36328125" style="49" customWidth="1"/>
    <col min="2313" max="2313" width="3.6328125" style="49" customWidth="1"/>
    <col min="2314" max="2314" width="4" style="49" customWidth="1"/>
    <col min="2315" max="2315" width="4.08984375" style="49" customWidth="1"/>
    <col min="2316" max="2316" width="5.26953125" style="49" customWidth="1"/>
    <col min="2317" max="2317" width="5.08984375" style="49" customWidth="1"/>
    <col min="2318" max="2329" width="3.6328125" style="49" customWidth="1"/>
    <col min="2330" max="2330" width="5" style="49" customWidth="1"/>
    <col min="2331" max="2334" width="4" style="49" customWidth="1"/>
    <col min="2335" max="2335" width="4.26953125" style="49" customWidth="1"/>
    <col min="2336" max="2336" width="9.26953125" style="49" customWidth="1"/>
    <col min="2337" max="2344" width="9" style="49" customWidth="1"/>
    <col min="2345" max="2363" width="5.26953125" style="49" customWidth="1"/>
    <col min="2364" max="2553" width="9" style="49"/>
    <col min="2554" max="2554" width="2.90625" style="49" customWidth="1"/>
    <col min="2555" max="2555" width="9.453125" style="49" customWidth="1"/>
    <col min="2556" max="2556" width="10.6328125" style="49" customWidth="1"/>
    <col min="2557" max="2557" width="9.08984375" style="49" customWidth="1"/>
    <col min="2558" max="2558" width="22.6328125" style="49" customWidth="1"/>
    <col min="2559" max="2559" width="5.453125" style="49" customWidth="1"/>
    <col min="2560" max="2560" width="4.7265625" style="49" customWidth="1"/>
    <col min="2561" max="2561" width="4.90625" style="49" customWidth="1"/>
    <col min="2562" max="2562" width="6.26953125" style="49" customWidth="1"/>
    <col min="2563" max="2563" width="5.36328125" style="49" customWidth="1"/>
    <col min="2564" max="2564" width="4.26953125" style="49" customWidth="1"/>
    <col min="2565" max="2567" width="3.6328125" style="49" customWidth="1"/>
    <col min="2568" max="2568" width="4.36328125" style="49" customWidth="1"/>
    <col min="2569" max="2569" width="3.6328125" style="49" customWidth="1"/>
    <col min="2570" max="2570" width="4" style="49" customWidth="1"/>
    <col min="2571" max="2571" width="4.08984375" style="49" customWidth="1"/>
    <col min="2572" max="2572" width="5.26953125" style="49" customWidth="1"/>
    <col min="2573" max="2573" width="5.08984375" style="49" customWidth="1"/>
    <col min="2574" max="2585" width="3.6328125" style="49" customWidth="1"/>
    <col min="2586" max="2586" width="5" style="49" customWidth="1"/>
    <col min="2587" max="2590" width="4" style="49" customWidth="1"/>
    <col min="2591" max="2591" width="4.26953125" style="49" customWidth="1"/>
    <col min="2592" max="2592" width="9.26953125" style="49" customWidth="1"/>
    <col min="2593" max="2600" width="9" style="49" customWidth="1"/>
    <col min="2601" max="2619" width="5.26953125" style="49" customWidth="1"/>
    <col min="2620" max="2809" width="9" style="49"/>
    <col min="2810" max="2810" width="2.90625" style="49" customWidth="1"/>
    <col min="2811" max="2811" width="9.453125" style="49" customWidth="1"/>
    <col min="2812" max="2812" width="10.6328125" style="49" customWidth="1"/>
    <col min="2813" max="2813" width="9.08984375" style="49" customWidth="1"/>
    <col min="2814" max="2814" width="22.6328125" style="49" customWidth="1"/>
    <col min="2815" max="2815" width="5.453125" style="49" customWidth="1"/>
    <col min="2816" max="2816" width="4.7265625" style="49" customWidth="1"/>
    <col min="2817" max="2817" width="4.90625" style="49" customWidth="1"/>
    <col min="2818" max="2818" width="6.26953125" style="49" customWidth="1"/>
    <col min="2819" max="2819" width="5.36328125" style="49" customWidth="1"/>
    <col min="2820" max="2820" width="4.26953125" style="49" customWidth="1"/>
    <col min="2821" max="2823" width="3.6328125" style="49" customWidth="1"/>
    <col min="2824" max="2824" width="4.36328125" style="49" customWidth="1"/>
    <col min="2825" max="2825" width="3.6328125" style="49" customWidth="1"/>
    <col min="2826" max="2826" width="4" style="49" customWidth="1"/>
    <col min="2827" max="2827" width="4.08984375" style="49" customWidth="1"/>
    <col min="2828" max="2828" width="5.26953125" style="49" customWidth="1"/>
    <col min="2829" max="2829" width="5.08984375" style="49" customWidth="1"/>
    <col min="2830" max="2841" width="3.6328125" style="49" customWidth="1"/>
    <col min="2842" max="2842" width="5" style="49" customWidth="1"/>
    <col min="2843" max="2846" width="4" style="49" customWidth="1"/>
    <col min="2847" max="2847" width="4.26953125" style="49" customWidth="1"/>
    <col min="2848" max="2848" width="9.26953125" style="49" customWidth="1"/>
    <col min="2849" max="2856" width="9" style="49" customWidth="1"/>
    <col min="2857" max="2875" width="5.26953125" style="49" customWidth="1"/>
    <col min="2876" max="3065" width="9" style="49"/>
    <col min="3066" max="3066" width="2.90625" style="49" customWidth="1"/>
    <col min="3067" max="3067" width="9.453125" style="49" customWidth="1"/>
    <col min="3068" max="3068" width="10.6328125" style="49" customWidth="1"/>
    <col min="3069" max="3069" width="9.08984375" style="49" customWidth="1"/>
    <col min="3070" max="3070" width="22.6328125" style="49" customWidth="1"/>
    <col min="3071" max="3071" width="5.453125" style="49" customWidth="1"/>
    <col min="3072" max="3072" width="4.7265625" style="49" customWidth="1"/>
    <col min="3073" max="3073" width="4.90625" style="49" customWidth="1"/>
    <col min="3074" max="3074" width="6.26953125" style="49" customWidth="1"/>
    <col min="3075" max="3075" width="5.36328125" style="49" customWidth="1"/>
    <col min="3076" max="3076" width="4.26953125" style="49" customWidth="1"/>
    <col min="3077" max="3079" width="3.6328125" style="49" customWidth="1"/>
    <col min="3080" max="3080" width="4.36328125" style="49" customWidth="1"/>
    <col min="3081" max="3081" width="3.6328125" style="49" customWidth="1"/>
    <col min="3082" max="3082" width="4" style="49" customWidth="1"/>
    <col min="3083" max="3083" width="4.08984375" style="49" customWidth="1"/>
    <col min="3084" max="3084" width="5.26953125" style="49" customWidth="1"/>
    <col min="3085" max="3085" width="5.08984375" style="49" customWidth="1"/>
    <col min="3086" max="3097" width="3.6328125" style="49" customWidth="1"/>
    <col min="3098" max="3098" width="5" style="49" customWidth="1"/>
    <col min="3099" max="3102" width="4" style="49" customWidth="1"/>
    <col min="3103" max="3103" width="4.26953125" style="49" customWidth="1"/>
    <col min="3104" max="3104" width="9.26953125" style="49" customWidth="1"/>
    <col min="3105" max="3112" width="9" style="49" customWidth="1"/>
    <col min="3113" max="3131" width="5.26953125" style="49" customWidth="1"/>
    <col min="3132" max="3321" width="9" style="49"/>
    <col min="3322" max="3322" width="2.90625" style="49" customWidth="1"/>
    <col min="3323" max="3323" width="9.453125" style="49" customWidth="1"/>
    <col min="3324" max="3324" width="10.6328125" style="49" customWidth="1"/>
    <col min="3325" max="3325" width="9.08984375" style="49" customWidth="1"/>
    <col min="3326" max="3326" width="22.6328125" style="49" customWidth="1"/>
    <col min="3327" max="3327" width="5.453125" style="49" customWidth="1"/>
    <col min="3328" max="3328" width="4.7265625" style="49" customWidth="1"/>
    <col min="3329" max="3329" width="4.90625" style="49" customWidth="1"/>
    <col min="3330" max="3330" width="6.26953125" style="49" customWidth="1"/>
    <col min="3331" max="3331" width="5.36328125" style="49" customWidth="1"/>
    <col min="3332" max="3332" width="4.26953125" style="49" customWidth="1"/>
    <col min="3333" max="3335" width="3.6328125" style="49" customWidth="1"/>
    <col min="3336" max="3336" width="4.36328125" style="49" customWidth="1"/>
    <col min="3337" max="3337" width="3.6328125" style="49" customWidth="1"/>
    <col min="3338" max="3338" width="4" style="49" customWidth="1"/>
    <col min="3339" max="3339" width="4.08984375" style="49" customWidth="1"/>
    <col min="3340" max="3340" width="5.26953125" style="49" customWidth="1"/>
    <col min="3341" max="3341" width="5.08984375" style="49" customWidth="1"/>
    <col min="3342" max="3353" width="3.6328125" style="49" customWidth="1"/>
    <col min="3354" max="3354" width="5" style="49" customWidth="1"/>
    <col min="3355" max="3358" width="4" style="49" customWidth="1"/>
    <col min="3359" max="3359" width="4.26953125" style="49" customWidth="1"/>
    <col min="3360" max="3360" width="9.26953125" style="49" customWidth="1"/>
    <col min="3361" max="3368" width="9" style="49" customWidth="1"/>
    <col min="3369" max="3387" width="5.26953125" style="49" customWidth="1"/>
    <col min="3388" max="3577" width="9" style="49"/>
    <col min="3578" max="3578" width="2.90625" style="49" customWidth="1"/>
    <col min="3579" max="3579" width="9.453125" style="49" customWidth="1"/>
    <col min="3580" max="3580" width="10.6328125" style="49" customWidth="1"/>
    <col min="3581" max="3581" width="9.08984375" style="49" customWidth="1"/>
    <col min="3582" max="3582" width="22.6328125" style="49" customWidth="1"/>
    <col min="3583" max="3583" width="5.453125" style="49" customWidth="1"/>
    <col min="3584" max="3584" width="4.7265625" style="49" customWidth="1"/>
    <col min="3585" max="3585" width="4.90625" style="49" customWidth="1"/>
    <col min="3586" max="3586" width="6.26953125" style="49" customWidth="1"/>
    <col min="3587" max="3587" width="5.36328125" style="49" customWidth="1"/>
    <col min="3588" max="3588" width="4.26953125" style="49" customWidth="1"/>
    <col min="3589" max="3591" width="3.6328125" style="49" customWidth="1"/>
    <col min="3592" max="3592" width="4.36328125" style="49" customWidth="1"/>
    <col min="3593" max="3593" width="3.6328125" style="49" customWidth="1"/>
    <col min="3594" max="3594" width="4" style="49" customWidth="1"/>
    <col min="3595" max="3595" width="4.08984375" style="49" customWidth="1"/>
    <col min="3596" max="3596" width="5.26953125" style="49" customWidth="1"/>
    <col min="3597" max="3597" width="5.08984375" style="49" customWidth="1"/>
    <col min="3598" max="3609" width="3.6328125" style="49" customWidth="1"/>
    <col min="3610" max="3610" width="5" style="49" customWidth="1"/>
    <col min="3611" max="3614" width="4" style="49" customWidth="1"/>
    <col min="3615" max="3615" width="4.26953125" style="49" customWidth="1"/>
    <col min="3616" max="3616" width="9.26953125" style="49" customWidth="1"/>
    <col min="3617" max="3624" width="9" style="49" customWidth="1"/>
    <col min="3625" max="3643" width="5.26953125" style="49" customWidth="1"/>
    <col min="3644" max="3833" width="9" style="49"/>
    <col min="3834" max="3834" width="2.90625" style="49" customWidth="1"/>
    <col min="3835" max="3835" width="9.453125" style="49" customWidth="1"/>
    <col min="3836" max="3836" width="10.6328125" style="49" customWidth="1"/>
    <col min="3837" max="3837" width="9.08984375" style="49" customWidth="1"/>
    <col min="3838" max="3838" width="22.6328125" style="49" customWidth="1"/>
    <col min="3839" max="3839" width="5.453125" style="49" customWidth="1"/>
    <col min="3840" max="3840" width="4.7265625" style="49" customWidth="1"/>
    <col min="3841" max="3841" width="4.90625" style="49" customWidth="1"/>
    <col min="3842" max="3842" width="6.26953125" style="49" customWidth="1"/>
    <col min="3843" max="3843" width="5.36328125" style="49" customWidth="1"/>
    <col min="3844" max="3844" width="4.26953125" style="49" customWidth="1"/>
    <col min="3845" max="3847" width="3.6328125" style="49" customWidth="1"/>
    <col min="3848" max="3848" width="4.36328125" style="49" customWidth="1"/>
    <col min="3849" max="3849" width="3.6328125" style="49" customWidth="1"/>
    <col min="3850" max="3850" width="4" style="49" customWidth="1"/>
    <col min="3851" max="3851" width="4.08984375" style="49" customWidth="1"/>
    <col min="3852" max="3852" width="5.26953125" style="49" customWidth="1"/>
    <col min="3853" max="3853" width="5.08984375" style="49" customWidth="1"/>
    <col min="3854" max="3865" width="3.6328125" style="49" customWidth="1"/>
    <col min="3866" max="3866" width="5" style="49" customWidth="1"/>
    <col min="3867" max="3870" width="4" style="49" customWidth="1"/>
    <col min="3871" max="3871" width="4.26953125" style="49" customWidth="1"/>
    <col min="3872" max="3872" width="9.26953125" style="49" customWidth="1"/>
    <col min="3873" max="3880" width="9" style="49" customWidth="1"/>
    <col min="3881" max="3899" width="5.26953125" style="49" customWidth="1"/>
    <col min="3900" max="4089" width="9" style="49"/>
    <col min="4090" max="4090" width="2.90625" style="49" customWidth="1"/>
    <col min="4091" max="4091" width="9.453125" style="49" customWidth="1"/>
    <col min="4092" max="4092" width="10.6328125" style="49" customWidth="1"/>
    <col min="4093" max="4093" width="9.08984375" style="49" customWidth="1"/>
    <col min="4094" max="4094" width="22.6328125" style="49" customWidth="1"/>
    <col min="4095" max="4095" width="5.453125" style="49" customWidth="1"/>
    <col min="4096" max="4096" width="4.7265625" style="49" customWidth="1"/>
    <col min="4097" max="4097" width="4.90625" style="49" customWidth="1"/>
    <col min="4098" max="4098" width="6.26953125" style="49" customWidth="1"/>
    <col min="4099" max="4099" width="5.36328125" style="49" customWidth="1"/>
    <col min="4100" max="4100" width="4.26953125" style="49" customWidth="1"/>
    <col min="4101" max="4103" width="3.6328125" style="49" customWidth="1"/>
    <col min="4104" max="4104" width="4.36328125" style="49" customWidth="1"/>
    <col min="4105" max="4105" width="3.6328125" style="49" customWidth="1"/>
    <col min="4106" max="4106" width="4" style="49" customWidth="1"/>
    <col min="4107" max="4107" width="4.08984375" style="49" customWidth="1"/>
    <col min="4108" max="4108" width="5.26953125" style="49" customWidth="1"/>
    <col min="4109" max="4109" width="5.08984375" style="49" customWidth="1"/>
    <col min="4110" max="4121" width="3.6328125" style="49" customWidth="1"/>
    <col min="4122" max="4122" width="5" style="49" customWidth="1"/>
    <col min="4123" max="4126" width="4" style="49" customWidth="1"/>
    <col min="4127" max="4127" width="4.26953125" style="49" customWidth="1"/>
    <col min="4128" max="4128" width="9.26953125" style="49" customWidth="1"/>
    <col min="4129" max="4136" width="9" style="49" customWidth="1"/>
    <col min="4137" max="4155" width="5.26953125" style="49" customWidth="1"/>
    <col min="4156" max="4345" width="9" style="49"/>
    <col min="4346" max="4346" width="2.90625" style="49" customWidth="1"/>
    <col min="4347" max="4347" width="9.453125" style="49" customWidth="1"/>
    <col min="4348" max="4348" width="10.6328125" style="49" customWidth="1"/>
    <col min="4349" max="4349" width="9.08984375" style="49" customWidth="1"/>
    <col min="4350" max="4350" width="22.6328125" style="49" customWidth="1"/>
    <col min="4351" max="4351" width="5.453125" style="49" customWidth="1"/>
    <col min="4352" max="4352" width="4.7265625" style="49" customWidth="1"/>
    <col min="4353" max="4353" width="4.90625" style="49" customWidth="1"/>
    <col min="4354" max="4354" width="6.26953125" style="49" customWidth="1"/>
    <col min="4355" max="4355" width="5.36328125" style="49" customWidth="1"/>
    <col min="4356" max="4356" width="4.26953125" style="49" customWidth="1"/>
    <col min="4357" max="4359" width="3.6328125" style="49" customWidth="1"/>
    <col min="4360" max="4360" width="4.36328125" style="49" customWidth="1"/>
    <col min="4361" max="4361" width="3.6328125" style="49" customWidth="1"/>
    <col min="4362" max="4362" width="4" style="49" customWidth="1"/>
    <col min="4363" max="4363" width="4.08984375" style="49" customWidth="1"/>
    <col min="4364" max="4364" width="5.26953125" style="49" customWidth="1"/>
    <col min="4365" max="4365" width="5.08984375" style="49" customWidth="1"/>
    <col min="4366" max="4377" width="3.6328125" style="49" customWidth="1"/>
    <col min="4378" max="4378" width="5" style="49" customWidth="1"/>
    <col min="4379" max="4382" width="4" style="49" customWidth="1"/>
    <col min="4383" max="4383" width="4.26953125" style="49" customWidth="1"/>
    <col min="4384" max="4384" width="9.26953125" style="49" customWidth="1"/>
    <col min="4385" max="4392" width="9" style="49" customWidth="1"/>
    <col min="4393" max="4411" width="5.26953125" style="49" customWidth="1"/>
    <col min="4412" max="4601" width="9" style="49"/>
    <col min="4602" max="4602" width="2.90625" style="49" customWidth="1"/>
    <col min="4603" max="4603" width="9.453125" style="49" customWidth="1"/>
    <col min="4604" max="4604" width="10.6328125" style="49" customWidth="1"/>
    <col min="4605" max="4605" width="9.08984375" style="49" customWidth="1"/>
    <col min="4606" max="4606" width="22.6328125" style="49" customWidth="1"/>
    <col min="4607" max="4607" width="5.453125" style="49" customWidth="1"/>
    <col min="4608" max="4608" width="4.7265625" style="49" customWidth="1"/>
    <col min="4609" max="4609" width="4.90625" style="49" customWidth="1"/>
    <col min="4610" max="4610" width="6.26953125" style="49" customWidth="1"/>
    <col min="4611" max="4611" width="5.36328125" style="49" customWidth="1"/>
    <col min="4612" max="4612" width="4.26953125" style="49" customWidth="1"/>
    <col min="4613" max="4615" width="3.6328125" style="49" customWidth="1"/>
    <col min="4616" max="4616" width="4.36328125" style="49" customWidth="1"/>
    <col min="4617" max="4617" width="3.6328125" style="49" customWidth="1"/>
    <col min="4618" max="4618" width="4" style="49" customWidth="1"/>
    <col min="4619" max="4619" width="4.08984375" style="49" customWidth="1"/>
    <col min="4620" max="4620" width="5.26953125" style="49" customWidth="1"/>
    <col min="4621" max="4621" width="5.08984375" style="49" customWidth="1"/>
    <col min="4622" max="4633" width="3.6328125" style="49" customWidth="1"/>
    <col min="4634" max="4634" width="5" style="49" customWidth="1"/>
    <col min="4635" max="4638" width="4" style="49" customWidth="1"/>
    <col min="4639" max="4639" width="4.26953125" style="49" customWidth="1"/>
    <col min="4640" max="4640" width="9.26953125" style="49" customWidth="1"/>
    <col min="4641" max="4648" width="9" style="49" customWidth="1"/>
    <col min="4649" max="4667" width="5.26953125" style="49" customWidth="1"/>
    <col min="4668" max="4857" width="9" style="49"/>
    <col min="4858" max="4858" width="2.90625" style="49" customWidth="1"/>
    <col min="4859" max="4859" width="9.453125" style="49" customWidth="1"/>
    <col min="4860" max="4860" width="10.6328125" style="49" customWidth="1"/>
    <col min="4861" max="4861" width="9.08984375" style="49" customWidth="1"/>
    <col min="4862" max="4862" width="22.6328125" style="49" customWidth="1"/>
    <col min="4863" max="4863" width="5.453125" style="49" customWidth="1"/>
    <col min="4864" max="4864" width="4.7265625" style="49" customWidth="1"/>
    <col min="4865" max="4865" width="4.90625" style="49" customWidth="1"/>
    <col min="4866" max="4866" width="6.26953125" style="49" customWidth="1"/>
    <col min="4867" max="4867" width="5.36328125" style="49" customWidth="1"/>
    <col min="4868" max="4868" width="4.26953125" style="49" customWidth="1"/>
    <col min="4869" max="4871" width="3.6328125" style="49" customWidth="1"/>
    <col min="4872" max="4872" width="4.36328125" style="49" customWidth="1"/>
    <col min="4873" max="4873" width="3.6328125" style="49" customWidth="1"/>
    <col min="4874" max="4874" width="4" style="49" customWidth="1"/>
    <col min="4875" max="4875" width="4.08984375" style="49" customWidth="1"/>
    <col min="4876" max="4876" width="5.26953125" style="49" customWidth="1"/>
    <col min="4877" max="4877" width="5.08984375" style="49" customWidth="1"/>
    <col min="4878" max="4889" width="3.6328125" style="49" customWidth="1"/>
    <col min="4890" max="4890" width="5" style="49" customWidth="1"/>
    <col min="4891" max="4894" width="4" style="49" customWidth="1"/>
    <col min="4895" max="4895" width="4.26953125" style="49" customWidth="1"/>
    <col min="4896" max="4896" width="9.26953125" style="49" customWidth="1"/>
    <col min="4897" max="4904" width="9" style="49" customWidth="1"/>
    <col min="4905" max="4923" width="5.26953125" style="49" customWidth="1"/>
    <col min="4924" max="5113" width="9" style="49"/>
    <col min="5114" max="5114" width="2.90625" style="49" customWidth="1"/>
    <col min="5115" max="5115" width="9.453125" style="49" customWidth="1"/>
    <col min="5116" max="5116" width="10.6328125" style="49" customWidth="1"/>
    <col min="5117" max="5117" width="9.08984375" style="49" customWidth="1"/>
    <col min="5118" max="5118" width="22.6328125" style="49" customWidth="1"/>
    <col min="5119" max="5119" width="5.453125" style="49" customWidth="1"/>
    <col min="5120" max="5120" width="4.7265625" style="49" customWidth="1"/>
    <col min="5121" max="5121" width="4.90625" style="49" customWidth="1"/>
    <col min="5122" max="5122" width="6.26953125" style="49" customWidth="1"/>
    <col min="5123" max="5123" width="5.36328125" style="49" customWidth="1"/>
    <col min="5124" max="5124" width="4.26953125" style="49" customWidth="1"/>
    <col min="5125" max="5127" width="3.6328125" style="49" customWidth="1"/>
    <col min="5128" max="5128" width="4.36328125" style="49" customWidth="1"/>
    <col min="5129" max="5129" width="3.6328125" style="49" customWidth="1"/>
    <col min="5130" max="5130" width="4" style="49" customWidth="1"/>
    <col min="5131" max="5131" width="4.08984375" style="49" customWidth="1"/>
    <col min="5132" max="5132" width="5.26953125" style="49" customWidth="1"/>
    <col min="5133" max="5133" width="5.08984375" style="49" customWidth="1"/>
    <col min="5134" max="5145" width="3.6328125" style="49" customWidth="1"/>
    <col min="5146" max="5146" width="5" style="49" customWidth="1"/>
    <col min="5147" max="5150" width="4" style="49" customWidth="1"/>
    <col min="5151" max="5151" width="4.26953125" style="49" customWidth="1"/>
    <col min="5152" max="5152" width="9.26953125" style="49" customWidth="1"/>
    <col min="5153" max="5160" width="9" style="49" customWidth="1"/>
    <col min="5161" max="5179" width="5.26953125" style="49" customWidth="1"/>
    <col min="5180" max="5369" width="9" style="49"/>
    <col min="5370" max="5370" width="2.90625" style="49" customWidth="1"/>
    <col min="5371" max="5371" width="9.453125" style="49" customWidth="1"/>
    <col min="5372" max="5372" width="10.6328125" style="49" customWidth="1"/>
    <col min="5373" max="5373" width="9.08984375" style="49" customWidth="1"/>
    <col min="5374" max="5374" width="22.6328125" style="49" customWidth="1"/>
    <col min="5375" max="5375" width="5.453125" style="49" customWidth="1"/>
    <col min="5376" max="5376" width="4.7265625" style="49" customWidth="1"/>
    <col min="5377" max="5377" width="4.90625" style="49" customWidth="1"/>
    <col min="5378" max="5378" width="6.26953125" style="49" customWidth="1"/>
    <col min="5379" max="5379" width="5.36328125" style="49" customWidth="1"/>
    <col min="5380" max="5380" width="4.26953125" style="49" customWidth="1"/>
    <col min="5381" max="5383" width="3.6328125" style="49" customWidth="1"/>
    <col min="5384" max="5384" width="4.36328125" style="49" customWidth="1"/>
    <col min="5385" max="5385" width="3.6328125" style="49" customWidth="1"/>
    <col min="5386" max="5386" width="4" style="49" customWidth="1"/>
    <col min="5387" max="5387" width="4.08984375" style="49" customWidth="1"/>
    <col min="5388" max="5388" width="5.26953125" style="49" customWidth="1"/>
    <col min="5389" max="5389" width="5.08984375" style="49" customWidth="1"/>
    <col min="5390" max="5401" width="3.6328125" style="49" customWidth="1"/>
    <col min="5402" max="5402" width="5" style="49" customWidth="1"/>
    <col min="5403" max="5406" width="4" style="49" customWidth="1"/>
    <col min="5407" max="5407" width="4.26953125" style="49" customWidth="1"/>
    <col min="5408" max="5408" width="9.26953125" style="49" customWidth="1"/>
    <col min="5409" max="5416" width="9" style="49" customWidth="1"/>
    <col min="5417" max="5435" width="5.26953125" style="49" customWidth="1"/>
    <col min="5436" max="5625" width="9" style="49"/>
    <col min="5626" max="5626" width="2.90625" style="49" customWidth="1"/>
    <col min="5627" max="5627" width="9.453125" style="49" customWidth="1"/>
    <col min="5628" max="5628" width="10.6328125" style="49" customWidth="1"/>
    <col min="5629" max="5629" width="9.08984375" style="49" customWidth="1"/>
    <col min="5630" max="5630" width="22.6328125" style="49" customWidth="1"/>
    <col min="5631" max="5631" width="5.453125" style="49" customWidth="1"/>
    <col min="5632" max="5632" width="4.7265625" style="49" customWidth="1"/>
    <col min="5633" max="5633" width="4.90625" style="49" customWidth="1"/>
    <col min="5634" max="5634" width="6.26953125" style="49" customWidth="1"/>
    <col min="5635" max="5635" width="5.36328125" style="49" customWidth="1"/>
    <col min="5636" max="5636" width="4.26953125" style="49" customWidth="1"/>
    <col min="5637" max="5639" width="3.6328125" style="49" customWidth="1"/>
    <col min="5640" max="5640" width="4.36328125" style="49" customWidth="1"/>
    <col min="5641" max="5641" width="3.6328125" style="49" customWidth="1"/>
    <col min="5642" max="5642" width="4" style="49" customWidth="1"/>
    <col min="5643" max="5643" width="4.08984375" style="49" customWidth="1"/>
    <col min="5644" max="5644" width="5.26953125" style="49" customWidth="1"/>
    <col min="5645" max="5645" width="5.08984375" style="49" customWidth="1"/>
    <col min="5646" max="5657" width="3.6328125" style="49" customWidth="1"/>
    <col min="5658" max="5658" width="5" style="49" customWidth="1"/>
    <col min="5659" max="5662" width="4" style="49" customWidth="1"/>
    <col min="5663" max="5663" width="4.26953125" style="49" customWidth="1"/>
    <col min="5664" max="5664" width="9.26953125" style="49" customWidth="1"/>
    <col min="5665" max="5672" width="9" style="49" customWidth="1"/>
    <col min="5673" max="5691" width="5.26953125" style="49" customWidth="1"/>
    <col min="5692" max="5881" width="9" style="49"/>
    <col min="5882" max="5882" width="2.90625" style="49" customWidth="1"/>
    <col min="5883" max="5883" width="9.453125" style="49" customWidth="1"/>
    <col min="5884" max="5884" width="10.6328125" style="49" customWidth="1"/>
    <col min="5885" max="5885" width="9.08984375" style="49" customWidth="1"/>
    <col min="5886" max="5886" width="22.6328125" style="49" customWidth="1"/>
    <col min="5887" max="5887" width="5.453125" style="49" customWidth="1"/>
    <col min="5888" max="5888" width="4.7265625" style="49" customWidth="1"/>
    <col min="5889" max="5889" width="4.90625" style="49" customWidth="1"/>
    <col min="5890" max="5890" width="6.26953125" style="49" customWidth="1"/>
    <col min="5891" max="5891" width="5.36328125" style="49" customWidth="1"/>
    <col min="5892" max="5892" width="4.26953125" style="49" customWidth="1"/>
    <col min="5893" max="5895" width="3.6328125" style="49" customWidth="1"/>
    <col min="5896" max="5896" width="4.36328125" style="49" customWidth="1"/>
    <col min="5897" max="5897" width="3.6328125" style="49" customWidth="1"/>
    <col min="5898" max="5898" width="4" style="49" customWidth="1"/>
    <col min="5899" max="5899" width="4.08984375" style="49" customWidth="1"/>
    <col min="5900" max="5900" width="5.26953125" style="49" customWidth="1"/>
    <col min="5901" max="5901" width="5.08984375" style="49" customWidth="1"/>
    <col min="5902" max="5913" width="3.6328125" style="49" customWidth="1"/>
    <col min="5914" max="5914" width="5" style="49" customWidth="1"/>
    <col min="5915" max="5918" width="4" style="49" customWidth="1"/>
    <col min="5919" max="5919" width="4.26953125" style="49" customWidth="1"/>
    <col min="5920" max="5920" width="9.26953125" style="49" customWidth="1"/>
    <col min="5921" max="5928" width="9" style="49" customWidth="1"/>
    <col min="5929" max="5947" width="5.26953125" style="49" customWidth="1"/>
    <col min="5948" max="6137" width="9" style="49"/>
    <col min="6138" max="6138" width="2.90625" style="49" customWidth="1"/>
    <col min="6139" max="6139" width="9.453125" style="49" customWidth="1"/>
    <col min="6140" max="6140" width="10.6328125" style="49" customWidth="1"/>
    <col min="6141" max="6141" width="9.08984375" style="49" customWidth="1"/>
    <col min="6142" max="6142" width="22.6328125" style="49" customWidth="1"/>
    <col min="6143" max="6143" width="5.453125" style="49" customWidth="1"/>
    <col min="6144" max="6144" width="4.7265625" style="49" customWidth="1"/>
    <col min="6145" max="6145" width="4.90625" style="49" customWidth="1"/>
    <col min="6146" max="6146" width="6.26953125" style="49" customWidth="1"/>
    <col min="6147" max="6147" width="5.36328125" style="49" customWidth="1"/>
    <col min="6148" max="6148" width="4.26953125" style="49" customWidth="1"/>
    <col min="6149" max="6151" width="3.6328125" style="49" customWidth="1"/>
    <col min="6152" max="6152" width="4.36328125" style="49" customWidth="1"/>
    <col min="6153" max="6153" width="3.6328125" style="49" customWidth="1"/>
    <col min="6154" max="6154" width="4" style="49" customWidth="1"/>
    <col min="6155" max="6155" width="4.08984375" style="49" customWidth="1"/>
    <col min="6156" max="6156" width="5.26953125" style="49" customWidth="1"/>
    <col min="6157" max="6157" width="5.08984375" style="49" customWidth="1"/>
    <col min="6158" max="6169" width="3.6328125" style="49" customWidth="1"/>
    <col min="6170" max="6170" width="5" style="49" customWidth="1"/>
    <col min="6171" max="6174" width="4" style="49" customWidth="1"/>
    <col min="6175" max="6175" width="4.26953125" style="49" customWidth="1"/>
    <col min="6176" max="6176" width="9.26953125" style="49" customWidth="1"/>
    <col min="6177" max="6184" width="9" style="49" customWidth="1"/>
    <col min="6185" max="6203" width="5.26953125" style="49" customWidth="1"/>
    <col min="6204" max="6393" width="9" style="49"/>
    <col min="6394" max="6394" width="2.90625" style="49" customWidth="1"/>
    <col min="6395" max="6395" width="9.453125" style="49" customWidth="1"/>
    <col min="6396" max="6396" width="10.6328125" style="49" customWidth="1"/>
    <col min="6397" max="6397" width="9.08984375" style="49" customWidth="1"/>
    <col min="6398" max="6398" width="22.6328125" style="49" customWidth="1"/>
    <col min="6399" max="6399" width="5.453125" style="49" customWidth="1"/>
    <col min="6400" max="6400" width="4.7265625" style="49" customWidth="1"/>
    <col min="6401" max="6401" width="4.90625" style="49" customWidth="1"/>
    <col min="6402" max="6402" width="6.26953125" style="49" customWidth="1"/>
    <col min="6403" max="6403" width="5.36328125" style="49" customWidth="1"/>
    <col min="6404" max="6404" width="4.26953125" style="49" customWidth="1"/>
    <col min="6405" max="6407" width="3.6328125" style="49" customWidth="1"/>
    <col min="6408" max="6408" width="4.36328125" style="49" customWidth="1"/>
    <col min="6409" max="6409" width="3.6328125" style="49" customWidth="1"/>
    <col min="6410" max="6410" width="4" style="49" customWidth="1"/>
    <col min="6411" max="6411" width="4.08984375" style="49" customWidth="1"/>
    <col min="6412" max="6412" width="5.26953125" style="49" customWidth="1"/>
    <col min="6413" max="6413" width="5.08984375" style="49" customWidth="1"/>
    <col min="6414" max="6425" width="3.6328125" style="49" customWidth="1"/>
    <col min="6426" max="6426" width="5" style="49" customWidth="1"/>
    <col min="6427" max="6430" width="4" style="49" customWidth="1"/>
    <col min="6431" max="6431" width="4.26953125" style="49" customWidth="1"/>
    <col min="6432" max="6432" width="9.26953125" style="49" customWidth="1"/>
    <col min="6433" max="6440" width="9" style="49" customWidth="1"/>
    <col min="6441" max="6459" width="5.26953125" style="49" customWidth="1"/>
    <col min="6460" max="6649" width="9" style="49"/>
    <col min="6650" max="6650" width="2.90625" style="49" customWidth="1"/>
    <col min="6651" max="6651" width="9.453125" style="49" customWidth="1"/>
    <col min="6652" max="6652" width="10.6328125" style="49" customWidth="1"/>
    <col min="6653" max="6653" width="9.08984375" style="49" customWidth="1"/>
    <col min="6654" max="6654" width="22.6328125" style="49" customWidth="1"/>
    <col min="6655" max="6655" width="5.453125" style="49" customWidth="1"/>
    <col min="6656" max="6656" width="4.7265625" style="49" customWidth="1"/>
    <col min="6657" max="6657" width="4.90625" style="49" customWidth="1"/>
    <col min="6658" max="6658" width="6.26953125" style="49" customWidth="1"/>
    <col min="6659" max="6659" width="5.36328125" style="49" customWidth="1"/>
    <col min="6660" max="6660" width="4.26953125" style="49" customWidth="1"/>
    <col min="6661" max="6663" width="3.6328125" style="49" customWidth="1"/>
    <col min="6664" max="6664" width="4.36328125" style="49" customWidth="1"/>
    <col min="6665" max="6665" width="3.6328125" style="49" customWidth="1"/>
    <col min="6666" max="6666" width="4" style="49" customWidth="1"/>
    <col min="6667" max="6667" width="4.08984375" style="49" customWidth="1"/>
    <col min="6668" max="6668" width="5.26953125" style="49" customWidth="1"/>
    <col min="6669" max="6669" width="5.08984375" style="49" customWidth="1"/>
    <col min="6670" max="6681" width="3.6328125" style="49" customWidth="1"/>
    <col min="6682" max="6682" width="5" style="49" customWidth="1"/>
    <col min="6683" max="6686" width="4" style="49" customWidth="1"/>
    <col min="6687" max="6687" width="4.26953125" style="49" customWidth="1"/>
    <col min="6688" max="6688" width="9.26953125" style="49" customWidth="1"/>
    <col min="6689" max="6696" width="9" style="49" customWidth="1"/>
    <col min="6697" max="6715" width="5.26953125" style="49" customWidth="1"/>
    <col min="6716" max="6905" width="9" style="49"/>
    <col min="6906" max="6906" width="2.90625" style="49" customWidth="1"/>
    <col min="6907" max="6907" width="9.453125" style="49" customWidth="1"/>
    <col min="6908" max="6908" width="10.6328125" style="49" customWidth="1"/>
    <col min="6909" max="6909" width="9.08984375" style="49" customWidth="1"/>
    <col min="6910" max="6910" width="22.6328125" style="49" customWidth="1"/>
    <col min="6911" max="6911" width="5.453125" style="49" customWidth="1"/>
    <col min="6912" max="6912" width="4.7265625" style="49" customWidth="1"/>
    <col min="6913" max="6913" width="4.90625" style="49" customWidth="1"/>
    <col min="6914" max="6914" width="6.26953125" style="49" customWidth="1"/>
    <col min="6915" max="6915" width="5.36328125" style="49" customWidth="1"/>
    <col min="6916" max="6916" width="4.26953125" style="49" customWidth="1"/>
    <col min="6917" max="6919" width="3.6328125" style="49" customWidth="1"/>
    <col min="6920" max="6920" width="4.36328125" style="49" customWidth="1"/>
    <col min="6921" max="6921" width="3.6328125" style="49" customWidth="1"/>
    <col min="6922" max="6922" width="4" style="49" customWidth="1"/>
    <col min="6923" max="6923" width="4.08984375" style="49" customWidth="1"/>
    <col min="6924" max="6924" width="5.26953125" style="49" customWidth="1"/>
    <col min="6925" max="6925" width="5.08984375" style="49" customWidth="1"/>
    <col min="6926" max="6937" width="3.6328125" style="49" customWidth="1"/>
    <col min="6938" max="6938" width="5" style="49" customWidth="1"/>
    <col min="6939" max="6942" width="4" style="49" customWidth="1"/>
    <col min="6943" max="6943" width="4.26953125" style="49" customWidth="1"/>
    <col min="6944" max="6944" width="9.26953125" style="49" customWidth="1"/>
    <col min="6945" max="6952" width="9" style="49" customWidth="1"/>
    <col min="6953" max="6971" width="5.26953125" style="49" customWidth="1"/>
    <col min="6972" max="7161" width="9" style="49"/>
    <col min="7162" max="7162" width="2.90625" style="49" customWidth="1"/>
    <col min="7163" max="7163" width="9.453125" style="49" customWidth="1"/>
    <col min="7164" max="7164" width="10.6328125" style="49" customWidth="1"/>
    <col min="7165" max="7165" width="9.08984375" style="49" customWidth="1"/>
    <col min="7166" max="7166" width="22.6328125" style="49" customWidth="1"/>
    <col min="7167" max="7167" width="5.453125" style="49" customWidth="1"/>
    <col min="7168" max="7168" width="4.7265625" style="49" customWidth="1"/>
    <col min="7169" max="7169" width="4.90625" style="49" customWidth="1"/>
    <col min="7170" max="7170" width="6.26953125" style="49" customWidth="1"/>
    <col min="7171" max="7171" width="5.36328125" style="49" customWidth="1"/>
    <col min="7172" max="7172" width="4.26953125" style="49" customWidth="1"/>
    <col min="7173" max="7175" width="3.6328125" style="49" customWidth="1"/>
    <col min="7176" max="7176" width="4.36328125" style="49" customWidth="1"/>
    <col min="7177" max="7177" width="3.6328125" style="49" customWidth="1"/>
    <col min="7178" max="7178" width="4" style="49" customWidth="1"/>
    <col min="7179" max="7179" width="4.08984375" style="49" customWidth="1"/>
    <col min="7180" max="7180" width="5.26953125" style="49" customWidth="1"/>
    <col min="7181" max="7181" width="5.08984375" style="49" customWidth="1"/>
    <col min="7182" max="7193" width="3.6328125" style="49" customWidth="1"/>
    <col min="7194" max="7194" width="5" style="49" customWidth="1"/>
    <col min="7195" max="7198" width="4" style="49" customWidth="1"/>
    <col min="7199" max="7199" width="4.26953125" style="49" customWidth="1"/>
    <col min="7200" max="7200" width="9.26953125" style="49" customWidth="1"/>
    <col min="7201" max="7208" width="9" style="49" customWidth="1"/>
    <col min="7209" max="7227" width="5.26953125" style="49" customWidth="1"/>
    <col min="7228" max="7417" width="9" style="49"/>
    <col min="7418" max="7418" width="2.90625" style="49" customWidth="1"/>
    <col min="7419" max="7419" width="9.453125" style="49" customWidth="1"/>
    <col min="7420" max="7420" width="10.6328125" style="49" customWidth="1"/>
    <col min="7421" max="7421" width="9.08984375" style="49" customWidth="1"/>
    <col min="7422" max="7422" width="22.6328125" style="49" customWidth="1"/>
    <col min="7423" max="7423" width="5.453125" style="49" customWidth="1"/>
    <col min="7424" max="7424" width="4.7265625" style="49" customWidth="1"/>
    <col min="7425" max="7425" width="4.90625" style="49" customWidth="1"/>
    <col min="7426" max="7426" width="6.26953125" style="49" customWidth="1"/>
    <col min="7427" max="7427" width="5.36328125" style="49" customWidth="1"/>
    <col min="7428" max="7428" width="4.26953125" style="49" customWidth="1"/>
    <col min="7429" max="7431" width="3.6328125" style="49" customWidth="1"/>
    <col min="7432" max="7432" width="4.36328125" style="49" customWidth="1"/>
    <col min="7433" max="7433" width="3.6328125" style="49" customWidth="1"/>
    <col min="7434" max="7434" width="4" style="49" customWidth="1"/>
    <col min="7435" max="7435" width="4.08984375" style="49" customWidth="1"/>
    <col min="7436" max="7436" width="5.26953125" style="49" customWidth="1"/>
    <col min="7437" max="7437" width="5.08984375" style="49" customWidth="1"/>
    <col min="7438" max="7449" width="3.6328125" style="49" customWidth="1"/>
    <col min="7450" max="7450" width="5" style="49" customWidth="1"/>
    <col min="7451" max="7454" width="4" style="49" customWidth="1"/>
    <col min="7455" max="7455" width="4.26953125" style="49" customWidth="1"/>
    <col min="7456" max="7456" width="9.26953125" style="49" customWidth="1"/>
    <col min="7457" max="7464" width="9" style="49" customWidth="1"/>
    <col min="7465" max="7483" width="5.26953125" style="49" customWidth="1"/>
    <col min="7484" max="7673" width="9" style="49"/>
    <col min="7674" max="7674" width="2.90625" style="49" customWidth="1"/>
    <col min="7675" max="7675" width="9.453125" style="49" customWidth="1"/>
    <col min="7676" max="7676" width="10.6328125" style="49" customWidth="1"/>
    <col min="7677" max="7677" width="9.08984375" style="49" customWidth="1"/>
    <col min="7678" max="7678" width="22.6328125" style="49" customWidth="1"/>
    <col min="7679" max="7679" width="5.453125" style="49" customWidth="1"/>
    <col min="7680" max="7680" width="4.7265625" style="49" customWidth="1"/>
    <col min="7681" max="7681" width="4.90625" style="49" customWidth="1"/>
    <col min="7682" max="7682" width="6.26953125" style="49" customWidth="1"/>
    <col min="7683" max="7683" width="5.36328125" style="49" customWidth="1"/>
    <col min="7684" max="7684" width="4.26953125" style="49" customWidth="1"/>
    <col min="7685" max="7687" width="3.6328125" style="49" customWidth="1"/>
    <col min="7688" max="7688" width="4.36328125" style="49" customWidth="1"/>
    <col min="7689" max="7689" width="3.6328125" style="49" customWidth="1"/>
    <col min="7690" max="7690" width="4" style="49" customWidth="1"/>
    <col min="7691" max="7691" width="4.08984375" style="49" customWidth="1"/>
    <col min="7692" max="7692" width="5.26953125" style="49" customWidth="1"/>
    <col min="7693" max="7693" width="5.08984375" style="49" customWidth="1"/>
    <col min="7694" max="7705" width="3.6328125" style="49" customWidth="1"/>
    <col min="7706" max="7706" width="5" style="49" customWidth="1"/>
    <col min="7707" max="7710" width="4" style="49" customWidth="1"/>
    <col min="7711" max="7711" width="4.26953125" style="49" customWidth="1"/>
    <col min="7712" max="7712" width="9.26953125" style="49" customWidth="1"/>
    <col min="7713" max="7720" width="9" style="49" customWidth="1"/>
    <col min="7721" max="7739" width="5.26953125" style="49" customWidth="1"/>
    <col min="7740" max="7929" width="9" style="49"/>
    <col min="7930" max="7930" width="2.90625" style="49" customWidth="1"/>
    <col min="7931" max="7931" width="9.453125" style="49" customWidth="1"/>
    <col min="7932" max="7932" width="10.6328125" style="49" customWidth="1"/>
    <col min="7933" max="7933" width="9.08984375" style="49" customWidth="1"/>
    <col min="7934" max="7934" width="22.6328125" style="49" customWidth="1"/>
    <col min="7935" max="7935" width="5.453125" style="49" customWidth="1"/>
    <col min="7936" max="7936" width="4.7265625" style="49" customWidth="1"/>
    <col min="7937" max="7937" width="4.90625" style="49" customWidth="1"/>
    <col min="7938" max="7938" width="6.26953125" style="49" customWidth="1"/>
    <col min="7939" max="7939" width="5.36328125" style="49" customWidth="1"/>
    <col min="7940" max="7940" width="4.26953125" style="49" customWidth="1"/>
    <col min="7941" max="7943" width="3.6328125" style="49" customWidth="1"/>
    <col min="7944" max="7944" width="4.36328125" style="49" customWidth="1"/>
    <col min="7945" max="7945" width="3.6328125" style="49" customWidth="1"/>
    <col min="7946" max="7946" width="4" style="49" customWidth="1"/>
    <col min="7947" max="7947" width="4.08984375" style="49" customWidth="1"/>
    <col min="7948" max="7948" width="5.26953125" style="49" customWidth="1"/>
    <col min="7949" max="7949" width="5.08984375" style="49" customWidth="1"/>
    <col min="7950" max="7961" width="3.6328125" style="49" customWidth="1"/>
    <col min="7962" max="7962" width="5" style="49" customWidth="1"/>
    <col min="7963" max="7966" width="4" style="49" customWidth="1"/>
    <col min="7967" max="7967" width="4.26953125" style="49" customWidth="1"/>
    <col min="7968" max="7968" width="9.26953125" style="49" customWidth="1"/>
    <col min="7969" max="7976" width="9" style="49" customWidth="1"/>
    <col min="7977" max="7995" width="5.26953125" style="49" customWidth="1"/>
    <col min="7996" max="8185" width="9" style="49"/>
    <col min="8186" max="8186" width="2.90625" style="49" customWidth="1"/>
    <col min="8187" max="8187" width="9.453125" style="49" customWidth="1"/>
    <col min="8188" max="8188" width="10.6328125" style="49" customWidth="1"/>
    <col min="8189" max="8189" width="9.08984375" style="49" customWidth="1"/>
    <col min="8190" max="8190" width="22.6328125" style="49" customWidth="1"/>
    <col min="8191" max="8191" width="5.453125" style="49" customWidth="1"/>
    <col min="8192" max="8192" width="4.7265625" style="49" customWidth="1"/>
    <col min="8193" max="8193" width="4.90625" style="49" customWidth="1"/>
    <col min="8194" max="8194" width="6.26953125" style="49" customWidth="1"/>
    <col min="8195" max="8195" width="5.36328125" style="49" customWidth="1"/>
    <col min="8196" max="8196" width="4.26953125" style="49" customWidth="1"/>
    <col min="8197" max="8199" width="3.6328125" style="49" customWidth="1"/>
    <col min="8200" max="8200" width="4.36328125" style="49" customWidth="1"/>
    <col min="8201" max="8201" width="3.6328125" style="49" customWidth="1"/>
    <col min="8202" max="8202" width="4" style="49" customWidth="1"/>
    <col min="8203" max="8203" width="4.08984375" style="49" customWidth="1"/>
    <col min="8204" max="8204" width="5.26953125" style="49" customWidth="1"/>
    <col min="8205" max="8205" width="5.08984375" style="49" customWidth="1"/>
    <col min="8206" max="8217" width="3.6328125" style="49" customWidth="1"/>
    <col min="8218" max="8218" width="5" style="49" customWidth="1"/>
    <col min="8219" max="8222" width="4" style="49" customWidth="1"/>
    <col min="8223" max="8223" width="4.26953125" style="49" customWidth="1"/>
    <col min="8224" max="8224" width="9.26953125" style="49" customWidth="1"/>
    <col min="8225" max="8232" width="9" style="49" customWidth="1"/>
    <col min="8233" max="8251" width="5.26953125" style="49" customWidth="1"/>
    <col min="8252" max="8441" width="9" style="49"/>
    <col min="8442" max="8442" width="2.90625" style="49" customWidth="1"/>
    <col min="8443" max="8443" width="9.453125" style="49" customWidth="1"/>
    <col min="8444" max="8444" width="10.6328125" style="49" customWidth="1"/>
    <col min="8445" max="8445" width="9.08984375" style="49" customWidth="1"/>
    <col min="8446" max="8446" width="22.6328125" style="49" customWidth="1"/>
    <col min="8447" max="8447" width="5.453125" style="49" customWidth="1"/>
    <col min="8448" max="8448" width="4.7265625" style="49" customWidth="1"/>
    <col min="8449" max="8449" width="4.90625" style="49" customWidth="1"/>
    <col min="8450" max="8450" width="6.26953125" style="49" customWidth="1"/>
    <col min="8451" max="8451" width="5.36328125" style="49" customWidth="1"/>
    <col min="8452" max="8452" width="4.26953125" style="49" customWidth="1"/>
    <col min="8453" max="8455" width="3.6328125" style="49" customWidth="1"/>
    <col min="8456" max="8456" width="4.36328125" style="49" customWidth="1"/>
    <col min="8457" max="8457" width="3.6328125" style="49" customWidth="1"/>
    <col min="8458" max="8458" width="4" style="49" customWidth="1"/>
    <col min="8459" max="8459" width="4.08984375" style="49" customWidth="1"/>
    <col min="8460" max="8460" width="5.26953125" style="49" customWidth="1"/>
    <col min="8461" max="8461" width="5.08984375" style="49" customWidth="1"/>
    <col min="8462" max="8473" width="3.6328125" style="49" customWidth="1"/>
    <col min="8474" max="8474" width="5" style="49" customWidth="1"/>
    <col min="8475" max="8478" width="4" style="49" customWidth="1"/>
    <col min="8479" max="8479" width="4.26953125" style="49" customWidth="1"/>
    <col min="8480" max="8480" width="9.26953125" style="49" customWidth="1"/>
    <col min="8481" max="8488" width="9" style="49" customWidth="1"/>
    <col min="8489" max="8507" width="5.26953125" style="49" customWidth="1"/>
    <col min="8508" max="8697" width="9" style="49"/>
    <col min="8698" max="8698" width="2.90625" style="49" customWidth="1"/>
    <col min="8699" max="8699" width="9.453125" style="49" customWidth="1"/>
    <col min="8700" max="8700" width="10.6328125" style="49" customWidth="1"/>
    <col min="8701" max="8701" width="9.08984375" style="49" customWidth="1"/>
    <col min="8702" max="8702" width="22.6328125" style="49" customWidth="1"/>
    <col min="8703" max="8703" width="5.453125" style="49" customWidth="1"/>
    <col min="8704" max="8704" width="4.7265625" style="49" customWidth="1"/>
    <col min="8705" max="8705" width="4.90625" style="49" customWidth="1"/>
    <col min="8706" max="8706" width="6.26953125" style="49" customWidth="1"/>
    <col min="8707" max="8707" width="5.36328125" style="49" customWidth="1"/>
    <col min="8708" max="8708" width="4.26953125" style="49" customWidth="1"/>
    <col min="8709" max="8711" width="3.6328125" style="49" customWidth="1"/>
    <col min="8712" max="8712" width="4.36328125" style="49" customWidth="1"/>
    <col min="8713" max="8713" width="3.6328125" style="49" customWidth="1"/>
    <col min="8714" max="8714" width="4" style="49" customWidth="1"/>
    <col min="8715" max="8715" width="4.08984375" style="49" customWidth="1"/>
    <col min="8716" max="8716" width="5.26953125" style="49" customWidth="1"/>
    <col min="8717" max="8717" width="5.08984375" style="49" customWidth="1"/>
    <col min="8718" max="8729" width="3.6328125" style="49" customWidth="1"/>
    <col min="8730" max="8730" width="5" style="49" customWidth="1"/>
    <col min="8731" max="8734" width="4" style="49" customWidth="1"/>
    <col min="8735" max="8735" width="4.26953125" style="49" customWidth="1"/>
    <col min="8736" max="8736" width="9.26953125" style="49" customWidth="1"/>
    <col min="8737" max="8744" width="9" style="49" customWidth="1"/>
    <col min="8745" max="8763" width="5.26953125" style="49" customWidth="1"/>
    <col min="8764" max="8953" width="9" style="49"/>
    <col min="8954" max="8954" width="2.90625" style="49" customWidth="1"/>
    <col min="8955" max="8955" width="9.453125" style="49" customWidth="1"/>
    <col min="8956" max="8956" width="10.6328125" style="49" customWidth="1"/>
    <col min="8957" max="8957" width="9.08984375" style="49" customWidth="1"/>
    <col min="8958" max="8958" width="22.6328125" style="49" customWidth="1"/>
    <col min="8959" max="8959" width="5.453125" style="49" customWidth="1"/>
    <col min="8960" max="8960" width="4.7265625" style="49" customWidth="1"/>
    <col min="8961" max="8961" width="4.90625" style="49" customWidth="1"/>
    <col min="8962" max="8962" width="6.26953125" style="49" customWidth="1"/>
    <col min="8963" max="8963" width="5.36328125" style="49" customWidth="1"/>
    <col min="8964" max="8964" width="4.26953125" style="49" customWidth="1"/>
    <col min="8965" max="8967" width="3.6328125" style="49" customWidth="1"/>
    <col min="8968" max="8968" width="4.36328125" style="49" customWidth="1"/>
    <col min="8969" max="8969" width="3.6328125" style="49" customWidth="1"/>
    <col min="8970" max="8970" width="4" style="49" customWidth="1"/>
    <col min="8971" max="8971" width="4.08984375" style="49" customWidth="1"/>
    <col min="8972" max="8972" width="5.26953125" style="49" customWidth="1"/>
    <col min="8973" max="8973" width="5.08984375" style="49" customWidth="1"/>
    <col min="8974" max="8985" width="3.6328125" style="49" customWidth="1"/>
    <col min="8986" max="8986" width="5" style="49" customWidth="1"/>
    <col min="8987" max="8990" width="4" style="49" customWidth="1"/>
    <col min="8991" max="8991" width="4.26953125" style="49" customWidth="1"/>
    <col min="8992" max="8992" width="9.26953125" style="49" customWidth="1"/>
    <col min="8993" max="9000" width="9" style="49" customWidth="1"/>
    <col min="9001" max="9019" width="5.26953125" style="49" customWidth="1"/>
    <col min="9020" max="9209" width="9" style="49"/>
    <col min="9210" max="9210" width="2.90625" style="49" customWidth="1"/>
    <col min="9211" max="9211" width="9.453125" style="49" customWidth="1"/>
    <col min="9212" max="9212" width="10.6328125" style="49" customWidth="1"/>
    <col min="9213" max="9213" width="9.08984375" style="49" customWidth="1"/>
    <col min="9214" max="9214" width="22.6328125" style="49" customWidth="1"/>
    <col min="9215" max="9215" width="5.453125" style="49" customWidth="1"/>
    <col min="9216" max="9216" width="4.7265625" style="49" customWidth="1"/>
    <col min="9217" max="9217" width="4.90625" style="49" customWidth="1"/>
    <col min="9218" max="9218" width="6.26953125" style="49" customWidth="1"/>
    <col min="9219" max="9219" width="5.36328125" style="49" customWidth="1"/>
    <col min="9220" max="9220" width="4.26953125" style="49" customWidth="1"/>
    <col min="9221" max="9223" width="3.6328125" style="49" customWidth="1"/>
    <col min="9224" max="9224" width="4.36328125" style="49" customWidth="1"/>
    <col min="9225" max="9225" width="3.6328125" style="49" customWidth="1"/>
    <col min="9226" max="9226" width="4" style="49" customWidth="1"/>
    <col min="9227" max="9227" width="4.08984375" style="49" customWidth="1"/>
    <col min="9228" max="9228" width="5.26953125" style="49" customWidth="1"/>
    <col min="9229" max="9229" width="5.08984375" style="49" customWidth="1"/>
    <col min="9230" max="9241" width="3.6328125" style="49" customWidth="1"/>
    <col min="9242" max="9242" width="5" style="49" customWidth="1"/>
    <col min="9243" max="9246" width="4" style="49" customWidth="1"/>
    <col min="9247" max="9247" width="4.26953125" style="49" customWidth="1"/>
    <col min="9248" max="9248" width="9.26953125" style="49" customWidth="1"/>
    <col min="9249" max="9256" width="9" style="49" customWidth="1"/>
    <col min="9257" max="9275" width="5.26953125" style="49" customWidth="1"/>
    <col min="9276" max="9465" width="9" style="49"/>
    <col min="9466" max="9466" width="2.90625" style="49" customWidth="1"/>
    <col min="9467" max="9467" width="9.453125" style="49" customWidth="1"/>
    <col min="9468" max="9468" width="10.6328125" style="49" customWidth="1"/>
    <col min="9469" max="9469" width="9.08984375" style="49" customWidth="1"/>
    <col min="9470" max="9470" width="22.6328125" style="49" customWidth="1"/>
    <col min="9471" max="9471" width="5.453125" style="49" customWidth="1"/>
    <col min="9472" max="9472" width="4.7265625" style="49" customWidth="1"/>
    <col min="9473" max="9473" width="4.90625" style="49" customWidth="1"/>
    <col min="9474" max="9474" width="6.26953125" style="49" customWidth="1"/>
    <col min="9475" max="9475" width="5.36328125" style="49" customWidth="1"/>
    <col min="9476" max="9476" width="4.26953125" style="49" customWidth="1"/>
    <col min="9477" max="9479" width="3.6328125" style="49" customWidth="1"/>
    <col min="9480" max="9480" width="4.36328125" style="49" customWidth="1"/>
    <col min="9481" max="9481" width="3.6328125" style="49" customWidth="1"/>
    <col min="9482" max="9482" width="4" style="49" customWidth="1"/>
    <col min="9483" max="9483" width="4.08984375" style="49" customWidth="1"/>
    <col min="9484" max="9484" width="5.26953125" style="49" customWidth="1"/>
    <col min="9485" max="9485" width="5.08984375" style="49" customWidth="1"/>
    <col min="9486" max="9497" width="3.6328125" style="49" customWidth="1"/>
    <col min="9498" max="9498" width="5" style="49" customWidth="1"/>
    <col min="9499" max="9502" width="4" style="49" customWidth="1"/>
    <col min="9503" max="9503" width="4.26953125" style="49" customWidth="1"/>
    <col min="9504" max="9504" width="9.26953125" style="49" customWidth="1"/>
    <col min="9505" max="9512" width="9" style="49" customWidth="1"/>
    <col min="9513" max="9531" width="5.26953125" style="49" customWidth="1"/>
    <col min="9532" max="9721" width="9" style="49"/>
    <col min="9722" max="9722" width="2.90625" style="49" customWidth="1"/>
    <col min="9723" max="9723" width="9.453125" style="49" customWidth="1"/>
    <col min="9724" max="9724" width="10.6328125" style="49" customWidth="1"/>
    <col min="9725" max="9725" width="9.08984375" style="49" customWidth="1"/>
    <col min="9726" max="9726" width="22.6328125" style="49" customWidth="1"/>
    <col min="9727" max="9727" width="5.453125" style="49" customWidth="1"/>
    <col min="9728" max="9728" width="4.7265625" style="49" customWidth="1"/>
    <col min="9729" max="9729" width="4.90625" style="49" customWidth="1"/>
    <col min="9730" max="9730" width="6.26953125" style="49" customWidth="1"/>
    <col min="9731" max="9731" width="5.36328125" style="49" customWidth="1"/>
    <col min="9732" max="9732" width="4.26953125" style="49" customWidth="1"/>
    <col min="9733" max="9735" width="3.6328125" style="49" customWidth="1"/>
    <col min="9736" max="9736" width="4.36328125" style="49" customWidth="1"/>
    <col min="9737" max="9737" width="3.6328125" style="49" customWidth="1"/>
    <col min="9738" max="9738" width="4" style="49" customWidth="1"/>
    <col min="9739" max="9739" width="4.08984375" style="49" customWidth="1"/>
    <col min="9740" max="9740" width="5.26953125" style="49" customWidth="1"/>
    <col min="9741" max="9741" width="5.08984375" style="49" customWidth="1"/>
    <col min="9742" max="9753" width="3.6328125" style="49" customWidth="1"/>
    <col min="9754" max="9754" width="5" style="49" customWidth="1"/>
    <col min="9755" max="9758" width="4" style="49" customWidth="1"/>
    <col min="9759" max="9759" width="4.26953125" style="49" customWidth="1"/>
    <col min="9760" max="9760" width="9.26953125" style="49" customWidth="1"/>
    <col min="9761" max="9768" width="9" style="49" customWidth="1"/>
    <col min="9769" max="9787" width="5.26953125" style="49" customWidth="1"/>
    <col min="9788" max="9977" width="9" style="49"/>
    <col min="9978" max="9978" width="2.90625" style="49" customWidth="1"/>
    <col min="9979" max="9979" width="9.453125" style="49" customWidth="1"/>
    <col min="9980" max="9980" width="10.6328125" style="49" customWidth="1"/>
    <col min="9981" max="9981" width="9.08984375" style="49" customWidth="1"/>
    <col min="9982" max="9982" width="22.6328125" style="49" customWidth="1"/>
    <col min="9983" max="9983" width="5.453125" style="49" customWidth="1"/>
    <col min="9984" max="9984" width="4.7265625" style="49" customWidth="1"/>
    <col min="9985" max="9985" width="4.90625" style="49" customWidth="1"/>
    <col min="9986" max="9986" width="6.26953125" style="49" customWidth="1"/>
    <col min="9987" max="9987" width="5.36328125" style="49" customWidth="1"/>
    <col min="9988" max="9988" width="4.26953125" style="49" customWidth="1"/>
    <col min="9989" max="9991" width="3.6328125" style="49" customWidth="1"/>
    <col min="9992" max="9992" width="4.36328125" style="49" customWidth="1"/>
    <col min="9993" max="9993" width="3.6328125" style="49" customWidth="1"/>
    <col min="9994" max="9994" width="4" style="49" customWidth="1"/>
    <col min="9995" max="9995" width="4.08984375" style="49" customWidth="1"/>
    <col min="9996" max="9996" width="5.26953125" style="49" customWidth="1"/>
    <col min="9997" max="9997" width="5.08984375" style="49" customWidth="1"/>
    <col min="9998" max="10009" width="3.6328125" style="49" customWidth="1"/>
    <col min="10010" max="10010" width="5" style="49" customWidth="1"/>
    <col min="10011" max="10014" width="4" style="49" customWidth="1"/>
    <col min="10015" max="10015" width="4.26953125" style="49" customWidth="1"/>
    <col min="10016" max="10016" width="9.26953125" style="49" customWidth="1"/>
    <col min="10017" max="10024" width="9" style="49" customWidth="1"/>
    <col min="10025" max="10043" width="5.26953125" style="49" customWidth="1"/>
    <col min="10044" max="10233" width="9" style="49"/>
    <col min="10234" max="10234" width="2.90625" style="49" customWidth="1"/>
    <col min="10235" max="10235" width="9.453125" style="49" customWidth="1"/>
    <col min="10236" max="10236" width="10.6328125" style="49" customWidth="1"/>
    <col min="10237" max="10237" width="9.08984375" style="49" customWidth="1"/>
    <col min="10238" max="10238" width="22.6328125" style="49" customWidth="1"/>
    <col min="10239" max="10239" width="5.453125" style="49" customWidth="1"/>
    <col min="10240" max="10240" width="4.7265625" style="49" customWidth="1"/>
    <col min="10241" max="10241" width="4.90625" style="49" customWidth="1"/>
    <col min="10242" max="10242" width="6.26953125" style="49" customWidth="1"/>
    <col min="10243" max="10243" width="5.36328125" style="49" customWidth="1"/>
    <col min="10244" max="10244" width="4.26953125" style="49" customWidth="1"/>
    <col min="10245" max="10247" width="3.6328125" style="49" customWidth="1"/>
    <col min="10248" max="10248" width="4.36328125" style="49" customWidth="1"/>
    <col min="10249" max="10249" width="3.6328125" style="49" customWidth="1"/>
    <col min="10250" max="10250" width="4" style="49" customWidth="1"/>
    <col min="10251" max="10251" width="4.08984375" style="49" customWidth="1"/>
    <col min="10252" max="10252" width="5.26953125" style="49" customWidth="1"/>
    <col min="10253" max="10253" width="5.08984375" style="49" customWidth="1"/>
    <col min="10254" max="10265" width="3.6328125" style="49" customWidth="1"/>
    <col min="10266" max="10266" width="5" style="49" customWidth="1"/>
    <col min="10267" max="10270" width="4" style="49" customWidth="1"/>
    <col min="10271" max="10271" width="4.26953125" style="49" customWidth="1"/>
    <col min="10272" max="10272" width="9.26953125" style="49" customWidth="1"/>
    <col min="10273" max="10280" width="9" style="49" customWidth="1"/>
    <col min="10281" max="10299" width="5.26953125" style="49" customWidth="1"/>
    <col min="10300" max="10489" width="9" style="49"/>
    <col min="10490" max="10490" width="2.90625" style="49" customWidth="1"/>
    <col min="10491" max="10491" width="9.453125" style="49" customWidth="1"/>
    <col min="10492" max="10492" width="10.6328125" style="49" customWidth="1"/>
    <col min="10493" max="10493" width="9.08984375" style="49" customWidth="1"/>
    <col min="10494" max="10494" width="22.6328125" style="49" customWidth="1"/>
    <col min="10495" max="10495" width="5.453125" style="49" customWidth="1"/>
    <col min="10496" max="10496" width="4.7265625" style="49" customWidth="1"/>
    <col min="10497" max="10497" width="4.90625" style="49" customWidth="1"/>
    <col min="10498" max="10498" width="6.26953125" style="49" customWidth="1"/>
    <col min="10499" max="10499" width="5.36328125" style="49" customWidth="1"/>
    <col min="10500" max="10500" width="4.26953125" style="49" customWidth="1"/>
    <col min="10501" max="10503" width="3.6328125" style="49" customWidth="1"/>
    <col min="10504" max="10504" width="4.36328125" style="49" customWidth="1"/>
    <col min="10505" max="10505" width="3.6328125" style="49" customWidth="1"/>
    <col min="10506" max="10506" width="4" style="49" customWidth="1"/>
    <col min="10507" max="10507" width="4.08984375" style="49" customWidth="1"/>
    <col min="10508" max="10508" width="5.26953125" style="49" customWidth="1"/>
    <col min="10509" max="10509" width="5.08984375" style="49" customWidth="1"/>
    <col min="10510" max="10521" width="3.6328125" style="49" customWidth="1"/>
    <col min="10522" max="10522" width="5" style="49" customWidth="1"/>
    <col min="10523" max="10526" width="4" style="49" customWidth="1"/>
    <col min="10527" max="10527" width="4.26953125" style="49" customWidth="1"/>
    <col min="10528" max="10528" width="9.26953125" style="49" customWidth="1"/>
    <col min="10529" max="10536" width="9" style="49" customWidth="1"/>
    <col min="10537" max="10555" width="5.26953125" style="49" customWidth="1"/>
    <col min="10556" max="10745" width="9" style="49"/>
    <col min="10746" max="10746" width="2.90625" style="49" customWidth="1"/>
    <col min="10747" max="10747" width="9.453125" style="49" customWidth="1"/>
    <col min="10748" max="10748" width="10.6328125" style="49" customWidth="1"/>
    <col min="10749" max="10749" width="9.08984375" style="49" customWidth="1"/>
    <col min="10750" max="10750" width="22.6328125" style="49" customWidth="1"/>
    <col min="10751" max="10751" width="5.453125" style="49" customWidth="1"/>
    <col min="10752" max="10752" width="4.7265625" style="49" customWidth="1"/>
    <col min="10753" max="10753" width="4.90625" style="49" customWidth="1"/>
    <col min="10754" max="10754" width="6.26953125" style="49" customWidth="1"/>
    <col min="10755" max="10755" width="5.36328125" style="49" customWidth="1"/>
    <col min="10756" max="10756" width="4.26953125" style="49" customWidth="1"/>
    <col min="10757" max="10759" width="3.6328125" style="49" customWidth="1"/>
    <col min="10760" max="10760" width="4.36328125" style="49" customWidth="1"/>
    <col min="10761" max="10761" width="3.6328125" style="49" customWidth="1"/>
    <col min="10762" max="10762" width="4" style="49" customWidth="1"/>
    <col min="10763" max="10763" width="4.08984375" style="49" customWidth="1"/>
    <col min="10764" max="10764" width="5.26953125" style="49" customWidth="1"/>
    <col min="10765" max="10765" width="5.08984375" style="49" customWidth="1"/>
    <col min="10766" max="10777" width="3.6328125" style="49" customWidth="1"/>
    <col min="10778" max="10778" width="5" style="49" customWidth="1"/>
    <col min="10779" max="10782" width="4" style="49" customWidth="1"/>
    <col min="10783" max="10783" width="4.26953125" style="49" customWidth="1"/>
    <col min="10784" max="10784" width="9.26953125" style="49" customWidth="1"/>
    <col min="10785" max="10792" width="9" style="49" customWidth="1"/>
    <col min="10793" max="10811" width="5.26953125" style="49" customWidth="1"/>
    <col min="10812" max="11001" width="9" style="49"/>
    <col min="11002" max="11002" width="2.90625" style="49" customWidth="1"/>
    <col min="11003" max="11003" width="9.453125" style="49" customWidth="1"/>
    <col min="11004" max="11004" width="10.6328125" style="49" customWidth="1"/>
    <col min="11005" max="11005" width="9.08984375" style="49" customWidth="1"/>
    <col min="11006" max="11006" width="22.6328125" style="49" customWidth="1"/>
    <col min="11007" max="11007" width="5.453125" style="49" customWidth="1"/>
    <col min="11008" max="11008" width="4.7265625" style="49" customWidth="1"/>
    <col min="11009" max="11009" width="4.90625" style="49" customWidth="1"/>
    <col min="11010" max="11010" width="6.26953125" style="49" customWidth="1"/>
    <col min="11011" max="11011" width="5.36328125" style="49" customWidth="1"/>
    <col min="11012" max="11012" width="4.26953125" style="49" customWidth="1"/>
    <col min="11013" max="11015" width="3.6328125" style="49" customWidth="1"/>
    <col min="11016" max="11016" width="4.36328125" style="49" customWidth="1"/>
    <col min="11017" max="11017" width="3.6328125" style="49" customWidth="1"/>
    <col min="11018" max="11018" width="4" style="49" customWidth="1"/>
    <col min="11019" max="11019" width="4.08984375" style="49" customWidth="1"/>
    <col min="11020" max="11020" width="5.26953125" style="49" customWidth="1"/>
    <col min="11021" max="11021" width="5.08984375" style="49" customWidth="1"/>
    <col min="11022" max="11033" width="3.6328125" style="49" customWidth="1"/>
    <col min="11034" max="11034" width="5" style="49" customWidth="1"/>
    <col min="11035" max="11038" width="4" style="49" customWidth="1"/>
    <col min="11039" max="11039" width="4.26953125" style="49" customWidth="1"/>
    <col min="11040" max="11040" width="9.26953125" style="49" customWidth="1"/>
    <col min="11041" max="11048" width="9" style="49" customWidth="1"/>
    <col min="11049" max="11067" width="5.26953125" style="49" customWidth="1"/>
    <col min="11068" max="11257" width="9" style="49"/>
    <col min="11258" max="11258" width="2.90625" style="49" customWidth="1"/>
    <col min="11259" max="11259" width="9.453125" style="49" customWidth="1"/>
    <col min="11260" max="11260" width="10.6328125" style="49" customWidth="1"/>
    <col min="11261" max="11261" width="9.08984375" style="49" customWidth="1"/>
    <col min="11262" max="11262" width="22.6328125" style="49" customWidth="1"/>
    <col min="11263" max="11263" width="5.453125" style="49" customWidth="1"/>
    <col min="11264" max="11264" width="4.7265625" style="49" customWidth="1"/>
    <col min="11265" max="11265" width="4.90625" style="49" customWidth="1"/>
    <col min="11266" max="11266" width="6.26953125" style="49" customWidth="1"/>
    <col min="11267" max="11267" width="5.36328125" style="49" customWidth="1"/>
    <col min="11268" max="11268" width="4.26953125" style="49" customWidth="1"/>
    <col min="11269" max="11271" width="3.6328125" style="49" customWidth="1"/>
    <col min="11272" max="11272" width="4.36328125" style="49" customWidth="1"/>
    <col min="11273" max="11273" width="3.6328125" style="49" customWidth="1"/>
    <col min="11274" max="11274" width="4" style="49" customWidth="1"/>
    <col min="11275" max="11275" width="4.08984375" style="49" customWidth="1"/>
    <col min="11276" max="11276" width="5.26953125" style="49" customWidth="1"/>
    <col min="11277" max="11277" width="5.08984375" style="49" customWidth="1"/>
    <col min="11278" max="11289" width="3.6328125" style="49" customWidth="1"/>
    <col min="11290" max="11290" width="5" style="49" customWidth="1"/>
    <col min="11291" max="11294" width="4" style="49" customWidth="1"/>
    <col min="11295" max="11295" width="4.26953125" style="49" customWidth="1"/>
    <col min="11296" max="11296" width="9.26953125" style="49" customWidth="1"/>
    <col min="11297" max="11304" width="9" style="49" customWidth="1"/>
    <col min="11305" max="11323" width="5.26953125" style="49" customWidth="1"/>
    <col min="11324" max="11513" width="9" style="49"/>
    <col min="11514" max="11514" width="2.90625" style="49" customWidth="1"/>
    <col min="11515" max="11515" width="9.453125" style="49" customWidth="1"/>
    <col min="11516" max="11516" width="10.6328125" style="49" customWidth="1"/>
    <col min="11517" max="11517" width="9.08984375" style="49" customWidth="1"/>
    <col min="11518" max="11518" width="22.6328125" style="49" customWidth="1"/>
    <col min="11519" max="11519" width="5.453125" style="49" customWidth="1"/>
    <col min="11520" max="11520" width="4.7265625" style="49" customWidth="1"/>
    <col min="11521" max="11521" width="4.90625" style="49" customWidth="1"/>
    <col min="11522" max="11522" width="6.26953125" style="49" customWidth="1"/>
    <col min="11523" max="11523" width="5.36328125" style="49" customWidth="1"/>
    <col min="11524" max="11524" width="4.26953125" style="49" customWidth="1"/>
    <col min="11525" max="11527" width="3.6328125" style="49" customWidth="1"/>
    <col min="11528" max="11528" width="4.36328125" style="49" customWidth="1"/>
    <col min="11529" max="11529" width="3.6328125" style="49" customWidth="1"/>
    <col min="11530" max="11530" width="4" style="49" customWidth="1"/>
    <col min="11531" max="11531" width="4.08984375" style="49" customWidth="1"/>
    <col min="11532" max="11532" width="5.26953125" style="49" customWidth="1"/>
    <col min="11533" max="11533" width="5.08984375" style="49" customWidth="1"/>
    <col min="11534" max="11545" width="3.6328125" style="49" customWidth="1"/>
    <col min="11546" max="11546" width="5" style="49" customWidth="1"/>
    <col min="11547" max="11550" width="4" style="49" customWidth="1"/>
    <col min="11551" max="11551" width="4.26953125" style="49" customWidth="1"/>
    <col min="11552" max="11552" width="9.26953125" style="49" customWidth="1"/>
    <col min="11553" max="11560" width="9" style="49" customWidth="1"/>
    <col min="11561" max="11579" width="5.26953125" style="49" customWidth="1"/>
    <col min="11580" max="11769" width="9" style="49"/>
    <col min="11770" max="11770" width="2.90625" style="49" customWidth="1"/>
    <col min="11771" max="11771" width="9.453125" style="49" customWidth="1"/>
    <col min="11772" max="11772" width="10.6328125" style="49" customWidth="1"/>
    <col min="11773" max="11773" width="9.08984375" style="49" customWidth="1"/>
    <col min="11774" max="11774" width="22.6328125" style="49" customWidth="1"/>
    <col min="11775" max="11775" width="5.453125" style="49" customWidth="1"/>
    <col min="11776" max="11776" width="4.7265625" style="49" customWidth="1"/>
    <col min="11777" max="11777" width="4.90625" style="49" customWidth="1"/>
    <col min="11778" max="11778" width="6.26953125" style="49" customWidth="1"/>
    <col min="11779" max="11779" width="5.36328125" style="49" customWidth="1"/>
    <col min="11780" max="11780" width="4.26953125" style="49" customWidth="1"/>
    <col min="11781" max="11783" width="3.6328125" style="49" customWidth="1"/>
    <col min="11784" max="11784" width="4.36328125" style="49" customWidth="1"/>
    <col min="11785" max="11785" width="3.6328125" style="49" customWidth="1"/>
    <col min="11786" max="11786" width="4" style="49" customWidth="1"/>
    <col min="11787" max="11787" width="4.08984375" style="49" customWidth="1"/>
    <col min="11788" max="11788" width="5.26953125" style="49" customWidth="1"/>
    <col min="11789" max="11789" width="5.08984375" style="49" customWidth="1"/>
    <col min="11790" max="11801" width="3.6328125" style="49" customWidth="1"/>
    <col min="11802" max="11802" width="5" style="49" customWidth="1"/>
    <col min="11803" max="11806" width="4" style="49" customWidth="1"/>
    <col min="11807" max="11807" width="4.26953125" style="49" customWidth="1"/>
    <col min="11808" max="11808" width="9.26953125" style="49" customWidth="1"/>
    <col min="11809" max="11816" width="9" style="49" customWidth="1"/>
    <col min="11817" max="11835" width="5.26953125" style="49" customWidth="1"/>
    <col min="11836" max="12025" width="9" style="49"/>
    <col min="12026" max="12026" width="2.90625" style="49" customWidth="1"/>
    <col min="12027" max="12027" width="9.453125" style="49" customWidth="1"/>
    <col min="12028" max="12028" width="10.6328125" style="49" customWidth="1"/>
    <col min="12029" max="12029" width="9.08984375" style="49" customWidth="1"/>
    <col min="12030" max="12030" width="22.6328125" style="49" customWidth="1"/>
    <col min="12031" max="12031" width="5.453125" style="49" customWidth="1"/>
    <col min="12032" max="12032" width="4.7265625" style="49" customWidth="1"/>
    <col min="12033" max="12033" width="4.90625" style="49" customWidth="1"/>
    <col min="12034" max="12034" width="6.26953125" style="49" customWidth="1"/>
    <col min="12035" max="12035" width="5.36328125" style="49" customWidth="1"/>
    <col min="12036" max="12036" width="4.26953125" style="49" customWidth="1"/>
    <col min="12037" max="12039" width="3.6328125" style="49" customWidth="1"/>
    <col min="12040" max="12040" width="4.36328125" style="49" customWidth="1"/>
    <col min="12041" max="12041" width="3.6328125" style="49" customWidth="1"/>
    <col min="12042" max="12042" width="4" style="49" customWidth="1"/>
    <col min="12043" max="12043" width="4.08984375" style="49" customWidth="1"/>
    <col min="12044" max="12044" width="5.26953125" style="49" customWidth="1"/>
    <col min="12045" max="12045" width="5.08984375" style="49" customWidth="1"/>
    <col min="12046" max="12057" width="3.6328125" style="49" customWidth="1"/>
    <col min="12058" max="12058" width="5" style="49" customWidth="1"/>
    <col min="12059" max="12062" width="4" style="49" customWidth="1"/>
    <col min="12063" max="12063" width="4.26953125" style="49" customWidth="1"/>
    <col min="12064" max="12064" width="9.26953125" style="49" customWidth="1"/>
    <col min="12065" max="12072" width="9" style="49" customWidth="1"/>
    <col min="12073" max="12091" width="5.26953125" style="49" customWidth="1"/>
    <col min="12092" max="12281" width="9" style="49"/>
    <col min="12282" max="12282" width="2.90625" style="49" customWidth="1"/>
    <col min="12283" max="12283" width="9.453125" style="49" customWidth="1"/>
    <col min="12284" max="12284" width="10.6328125" style="49" customWidth="1"/>
    <col min="12285" max="12285" width="9.08984375" style="49" customWidth="1"/>
    <col min="12286" max="12286" width="22.6328125" style="49" customWidth="1"/>
    <col min="12287" max="12287" width="5.453125" style="49" customWidth="1"/>
    <col min="12288" max="12288" width="4.7265625" style="49" customWidth="1"/>
    <col min="12289" max="12289" width="4.90625" style="49" customWidth="1"/>
    <col min="12290" max="12290" width="6.26953125" style="49" customWidth="1"/>
    <col min="12291" max="12291" width="5.36328125" style="49" customWidth="1"/>
    <col min="12292" max="12292" width="4.26953125" style="49" customWidth="1"/>
    <col min="12293" max="12295" width="3.6328125" style="49" customWidth="1"/>
    <col min="12296" max="12296" width="4.36328125" style="49" customWidth="1"/>
    <col min="12297" max="12297" width="3.6328125" style="49" customWidth="1"/>
    <col min="12298" max="12298" width="4" style="49" customWidth="1"/>
    <col min="12299" max="12299" width="4.08984375" style="49" customWidth="1"/>
    <col min="12300" max="12300" width="5.26953125" style="49" customWidth="1"/>
    <col min="12301" max="12301" width="5.08984375" style="49" customWidth="1"/>
    <col min="12302" max="12313" width="3.6328125" style="49" customWidth="1"/>
    <col min="12314" max="12314" width="5" style="49" customWidth="1"/>
    <col min="12315" max="12318" width="4" style="49" customWidth="1"/>
    <col min="12319" max="12319" width="4.26953125" style="49" customWidth="1"/>
    <col min="12320" max="12320" width="9.26953125" style="49" customWidth="1"/>
    <col min="12321" max="12328" width="9" style="49" customWidth="1"/>
    <col min="12329" max="12347" width="5.26953125" style="49" customWidth="1"/>
    <col min="12348" max="12537" width="9" style="49"/>
    <col min="12538" max="12538" width="2.90625" style="49" customWidth="1"/>
    <col min="12539" max="12539" width="9.453125" style="49" customWidth="1"/>
    <col min="12540" max="12540" width="10.6328125" style="49" customWidth="1"/>
    <col min="12541" max="12541" width="9.08984375" style="49" customWidth="1"/>
    <col min="12542" max="12542" width="22.6328125" style="49" customWidth="1"/>
    <col min="12543" max="12543" width="5.453125" style="49" customWidth="1"/>
    <col min="12544" max="12544" width="4.7265625" style="49" customWidth="1"/>
    <col min="12545" max="12545" width="4.90625" style="49" customWidth="1"/>
    <col min="12546" max="12546" width="6.26953125" style="49" customWidth="1"/>
    <col min="12547" max="12547" width="5.36328125" style="49" customWidth="1"/>
    <col min="12548" max="12548" width="4.26953125" style="49" customWidth="1"/>
    <col min="12549" max="12551" width="3.6328125" style="49" customWidth="1"/>
    <col min="12552" max="12552" width="4.36328125" style="49" customWidth="1"/>
    <col min="12553" max="12553" width="3.6328125" style="49" customWidth="1"/>
    <col min="12554" max="12554" width="4" style="49" customWidth="1"/>
    <col min="12555" max="12555" width="4.08984375" style="49" customWidth="1"/>
    <col min="12556" max="12556" width="5.26953125" style="49" customWidth="1"/>
    <col min="12557" max="12557" width="5.08984375" style="49" customWidth="1"/>
    <col min="12558" max="12569" width="3.6328125" style="49" customWidth="1"/>
    <col min="12570" max="12570" width="5" style="49" customWidth="1"/>
    <col min="12571" max="12574" width="4" style="49" customWidth="1"/>
    <col min="12575" max="12575" width="4.26953125" style="49" customWidth="1"/>
    <col min="12576" max="12576" width="9.26953125" style="49" customWidth="1"/>
    <col min="12577" max="12584" width="9" style="49" customWidth="1"/>
    <col min="12585" max="12603" width="5.26953125" style="49" customWidth="1"/>
    <col min="12604" max="12793" width="9" style="49"/>
    <col min="12794" max="12794" width="2.90625" style="49" customWidth="1"/>
    <col min="12795" max="12795" width="9.453125" style="49" customWidth="1"/>
    <col min="12796" max="12796" width="10.6328125" style="49" customWidth="1"/>
    <col min="12797" max="12797" width="9.08984375" style="49" customWidth="1"/>
    <col min="12798" max="12798" width="22.6328125" style="49" customWidth="1"/>
    <col min="12799" max="12799" width="5.453125" style="49" customWidth="1"/>
    <col min="12800" max="12800" width="4.7265625" style="49" customWidth="1"/>
    <col min="12801" max="12801" width="4.90625" style="49" customWidth="1"/>
    <col min="12802" max="12802" width="6.26953125" style="49" customWidth="1"/>
    <col min="12803" max="12803" width="5.36328125" style="49" customWidth="1"/>
    <col min="12804" max="12804" width="4.26953125" style="49" customWidth="1"/>
    <col min="12805" max="12807" width="3.6328125" style="49" customWidth="1"/>
    <col min="12808" max="12808" width="4.36328125" style="49" customWidth="1"/>
    <col min="12809" max="12809" width="3.6328125" style="49" customWidth="1"/>
    <col min="12810" max="12810" width="4" style="49" customWidth="1"/>
    <col min="12811" max="12811" width="4.08984375" style="49" customWidth="1"/>
    <col min="12812" max="12812" width="5.26953125" style="49" customWidth="1"/>
    <col min="12813" max="12813" width="5.08984375" style="49" customWidth="1"/>
    <col min="12814" max="12825" width="3.6328125" style="49" customWidth="1"/>
    <col min="12826" max="12826" width="5" style="49" customWidth="1"/>
    <col min="12827" max="12830" width="4" style="49" customWidth="1"/>
    <col min="12831" max="12831" width="4.26953125" style="49" customWidth="1"/>
    <col min="12832" max="12832" width="9.26953125" style="49" customWidth="1"/>
    <col min="12833" max="12840" width="9" style="49" customWidth="1"/>
    <col min="12841" max="12859" width="5.26953125" style="49" customWidth="1"/>
    <col min="12860" max="13049" width="9" style="49"/>
    <col min="13050" max="13050" width="2.90625" style="49" customWidth="1"/>
    <col min="13051" max="13051" width="9.453125" style="49" customWidth="1"/>
    <col min="13052" max="13052" width="10.6328125" style="49" customWidth="1"/>
    <col min="13053" max="13053" width="9.08984375" style="49" customWidth="1"/>
    <col min="13054" max="13054" width="22.6328125" style="49" customWidth="1"/>
    <col min="13055" max="13055" width="5.453125" style="49" customWidth="1"/>
    <col min="13056" max="13056" width="4.7265625" style="49" customWidth="1"/>
    <col min="13057" max="13057" width="4.90625" style="49" customWidth="1"/>
    <col min="13058" max="13058" width="6.26953125" style="49" customWidth="1"/>
    <col min="13059" max="13059" width="5.36328125" style="49" customWidth="1"/>
    <col min="13060" max="13060" width="4.26953125" style="49" customWidth="1"/>
    <col min="13061" max="13063" width="3.6328125" style="49" customWidth="1"/>
    <col min="13064" max="13064" width="4.36328125" style="49" customWidth="1"/>
    <col min="13065" max="13065" width="3.6328125" style="49" customWidth="1"/>
    <col min="13066" max="13066" width="4" style="49" customWidth="1"/>
    <col min="13067" max="13067" width="4.08984375" style="49" customWidth="1"/>
    <col min="13068" max="13068" width="5.26953125" style="49" customWidth="1"/>
    <col min="13069" max="13069" width="5.08984375" style="49" customWidth="1"/>
    <col min="13070" max="13081" width="3.6328125" style="49" customWidth="1"/>
    <col min="13082" max="13082" width="5" style="49" customWidth="1"/>
    <col min="13083" max="13086" width="4" style="49" customWidth="1"/>
    <col min="13087" max="13087" width="4.26953125" style="49" customWidth="1"/>
    <col min="13088" max="13088" width="9.26953125" style="49" customWidth="1"/>
    <col min="13089" max="13096" width="9" style="49" customWidth="1"/>
    <col min="13097" max="13115" width="5.26953125" style="49" customWidth="1"/>
    <col min="13116" max="13305" width="9" style="49"/>
    <col min="13306" max="13306" width="2.90625" style="49" customWidth="1"/>
    <col min="13307" max="13307" width="9.453125" style="49" customWidth="1"/>
    <col min="13308" max="13308" width="10.6328125" style="49" customWidth="1"/>
    <col min="13309" max="13309" width="9.08984375" style="49" customWidth="1"/>
    <col min="13310" max="13310" width="22.6328125" style="49" customWidth="1"/>
    <col min="13311" max="13311" width="5.453125" style="49" customWidth="1"/>
    <col min="13312" max="13312" width="4.7265625" style="49" customWidth="1"/>
    <col min="13313" max="13313" width="4.90625" style="49" customWidth="1"/>
    <col min="13314" max="13314" width="6.26953125" style="49" customWidth="1"/>
    <col min="13315" max="13315" width="5.36328125" style="49" customWidth="1"/>
    <col min="13316" max="13316" width="4.26953125" style="49" customWidth="1"/>
    <col min="13317" max="13319" width="3.6328125" style="49" customWidth="1"/>
    <col min="13320" max="13320" width="4.36328125" style="49" customWidth="1"/>
    <col min="13321" max="13321" width="3.6328125" style="49" customWidth="1"/>
    <col min="13322" max="13322" width="4" style="49" customWidth="1"/>
    <col min="13323" max="13323" width="4.08984375" style="49" customWidth="1"/>
    <col min="13324" max="13324" width="5.26953125" style="49" customWidth="1"/>
    <col min="13325" max="13325" width="5.08984375" style="49" customWidth="1"/>
    <col min="13326" max="13337" width="3.6328125" style="49" customWidth="1"/>
    <col min="13338" max="13338" width="5" style="49" customWidth="1"/>
    <col min="13339" max="13342" width="4" style="49" customWidth="1"/>
    <col min="13343" max="13343" width="4.26953125" style="49" customWidth="1"/>
    <col min="13344" max="13344" width="9.26953125" style="49" customWidth="1"/>
    <col min="13345" max="13352" width="9" style="49" customWidth="1"/>
    <col min="13353" max="13371" width="5.26953125" style="49" customWidth="1"/>
    <col min="13372" max="13561" width="9" style="49"/>
    <col min="13562" max="13562" width="2.90625" style="49" customWidth="1"/>
    <col min="13563" max="13563" width="9.453125" style="49" customWidth="1"/>
    <col min="13564" max="13564" width="10.6328125" style="49" customWidth="1"/>
    <col min="13565" max="13565" width="9.08984375" style="49" customWidth="1"/>
    <col min="13566" max="13566" width="22.6328125" style="49" customWidth="1"/>
    <col min="13567" max="13567" width="5.453125" style="49" customWidth="1"/>
    <col min="13568" max="13568" width="4.7265625" style="49" customWidth="1"/>
    <col min="13569" max="13569" width="4.90625" style="49" customWidth="1"/>
    <col min="13570" max="13570" width="6.26953125" style="49" customWidth="1"/>
    <col min="13571" max="13571" width="5.36328125" style="49" customWidth="1"/>
    <col min="13572" max="13572" width="4.26953125" style="49" customWidth="1"/>
    <col min="13573" max="13575" width="3.6328125" style="49" customWidth="1"/>
    <col min="13576" max="13576" width="4.36328125" style="49" customWidth="1"/>
    <col min="13577" max="13577" width="3.6328125" style="49" customWidth="1"/>
    <col min="13578" max="13578" width="4" style="49" customWidth="1"/>
    <col min="13579" max="13579" width="4.08984375" style="49" customWidth="1"/>
    <col min="13580" max="13580" width="5.26953125" style="49" customWidth="1"/>
    <col min="13581" max="13581" width="5.08984375" style="49" customWidth="1"/>
    <col min="13582" max="13593" width="3.6328125" style="49" customWidth="1"/>
    <col min="13594" max="13594" width="5" style="49" customWidth="1"/>
    <col min="13595" max="13598" width="4" style="49" customWidth="1"/>
    <col min="13599" max="13599" width="4.26953125" style="49" customWidth="1"/>
    <col min="13600" max="13600" width="9.26953125" style="49" customWidth="1"/>
    <col min="13601" max="13608" width="9" style="49" customWidth="1"/>
    <col min="13609" max="13627" width="5.26953125" style="49" customWidth="1"/>
    <col min="13628" max="13817" width="9" style="49"/>
    <col min="13818" max="13818" width="2.90625" style="49" customWidth="1"/>
    <col min="13819" max="13819" width="9.453125" style="49" customWidth="1"/>
    <col min="13820" max="13820" width="10.6328125" style="49" customWidth="1"/>
    <col min="13821" max="13821" width="9.08984375" style="49" customWidth="1"/>
    <col min="13822" max="13822" width="22.6328125" style="49" customWidth="1"/>
    <col min="13823" max="13823" width="5.453125" style="49" customWidth="1"/>
    <col min="13824" max="13824" width="4.7265625" style="49" customWidth="1"/>
    <col min="13825" max="13825" width="4.90625" style="49" customWidth="1"/>
    <col min="13826" max="13826" width="6.26953125" style="49" customWidth="1"/>
    <col min="13827" max="13827" width="5.36328125" style="49" customWidth="1"/>
    <col min="13828" max="13828" width="4.26953125" style="49" customWidth="1"/>
    <col min="13829" max="13831" width="3.6328125" style="49" customWidth="1"/>
    <col min="13832" max="13832" width="4.36328125" style="49" customWidth="1"/>
    <col min="13833" max="13833" width="3.6328125" style="49" customWidth="1"/>
    <col min="13834" max="13834" width="4" style="49" customWidth="1"/>
    <col min="13835" max="13835" width="4.08984375" style="49" customWidth="1"/>
    <col min="13836" max="13836" width="5.26953125" style="49" customWidth="1"/>
    <col min="13837" max="13837" width="5.08984375" style="49" customWidth="1"/>
    <col min="13838" max="13849" width="3.6328125" style="49" customWidth="1"/>
    <col min="13850" max="13850" width="5" style="49" customWidth="1"/>
    <col min="13851" max="13854" width="4" style="49" customWidth="1"/>
    <col min="13855" max="13855" width="4.26953125" style="49" customWidth="1"/>
    <col min="13856" max="13856" width="9.26953125" style="49" customWidth="1"/>
    <col min="13857" max="13864" width="9" style="49" customWidth="1"/>
    <col min="13865" max="13883" width="5.26953125" style="49" customWidth="1"/>
    <col min="13884" max="14073" width="9" style="49"/>
    <col min="14074" max="14074" width="2.90625" style="49" customWidth="1"/>
    <col min="14075" max="14075" width="9.453125" style="49" customWidth="1"/>
    <col min="14076" max="14076" width="10.6328125" style="49" customWidth="1"/>
    <col min="14077" max="14077" width="9.08984375" style="49" customWidth="1"/>
    <col min="14078" max="14078" width="22.6328125" style="49" customWidth="1"/>
    <col min="14079" max="14079" width="5.453125" style="49" customWidth="1"/>
    <col min="14080" max="14080" width="4.7265625" style="49" customWidth="1"/>
    <col min="14081" max="14081" width="4.90625" style="49" customWidth="1"/>
    <col min="14082" max="14082" width="6.26953125" style="49" customWidth="1"/>
    <col min="14083" max="14083" width="5.36328125" style="49" customWidth="1"/>
    <col min="14084" max="14084" width="4.26953125" style="49" customWidth="1"/>
    <col min="14085" max="14087" width="3.6328125" style="49" customWidth="1"/>
    <col min="14088" max="14088" width="4.36328125" style="49" customWidth="1"/>
    <col min="14089" max="14089" width="3.6328125" style="49" customWidth="1"/>
    <col min="14090" max="14090" width="4" style="49" customWidth="1"/>
    <col min="14091" max="14091" width="4.08984375" style="49" customWidth="1"/>
    <col min="14092" max="14092" width="5.26953125" style="49" customWidth="1"/>
    <col min="14093" max="14093" width="5.08984375" style="49" customWidth="1"/>
    <col min="14094" max="14105" width="3.6328125" style="49" customWidth="1"/>
    <col min="14106" max="14106" width="5" style="49" customWidth="1"/>
    <col min="14107" max="14110" width="4" style="49" customWidth="1"/>
    <col min="14111" max="14111" width="4.26953125" style="49" customWidth="1"/>
    <col min="14112" max="14112" width="9.26953125" style="49" customWidth="1"/>
    <col min="14113" max="14120" width="9" style="49" customWidth="1"/>
    <col min="14121" max="14139" width="5.26953125" style="49" customWidth="1"/>
    <col min="14140" max="14329" width="9" style="49"/>
    <col min="14330" max="14330" width="2.90625" style="49" customWidth="1"/>
    <col min="14331" max="14331" width="9.453125" style="49" customWidth="1"/>
    <col min="14332" max="14332" width="10.6328125" style="49" customWidth="1"/>
    <col min="14333" max="14333" width="9.08984375" style="49" customWidth="1"/>
    <col min="14334" max="14334" width="22.6328125" style="49" customWidth="1"/>
    <col min="14335" max="14335" width="5.453125" style="49" customWidth="1"/>
    <col min="14336" max="14336" width="4.7265625" style="49" customWidth="1"/>
    <col min="14337" max="14337" width="4.90625" style="49" customWidth="1"/>
    <col min="14338" max="14338" width="6.26953125" style="49" customWidth="1"/>
    <col min="14339" max="14339" width="5.36328125" style="49" customWidth="1"/>
    <col min="14340" max="14340" width="4.26953125" style="49" customWidth="1"/>
    <col min="14341" max="14343" width="3.6328125" style="49" customWidth="1"/>
    <col min="14344" max="14344" width="4.36328125" style="49" customWidth="1"/>
    <col min="14345" max="14345" width="3.6328125" style="49" customWidth="1"/>
    <col min="14346" max="14346" width="4" style="49" customWidth="1"/>
    <col min="14347" max="14347" width="4.08984375" style="49" customWidth="1"/>
    <col min="14348" max="14348" width="5.26953125" style="49" customWidth="1"/>
    <col min="14349" max="14349" width="5.08984375" style="49" customWidth="1"/>
    <col min="14350" max="14361" width="3.6328125" style="49" customWidth="1"/>
    <col min="14362" max="14362" width="5" style="49" customWidth="1"/>
    <col min="14363" max="14366" width="4" style="49" customWidth="1"/>
    <col min="14367" max="14367" width="4.26953125" style="49" customWidth="1"/>
    <col min="14368" max="14368" width="9.26953125" style="49" customWidth="1"/>
    <col min="14369" max="14376" width="9" style="49" customWidth="1"/>
    <col min="14377" max="14395" width="5.26953125" style="49" customWidth="1"/>
    <col min="14396" max="14585" width="9" style="49"/>
    <col min="14586" max="14586" width="2.90625" style="49" customWidth="1"/>
    <col min="14587" max="14587" width="9.453125" style="49" customWidth="1"/>
    <col min="14588" max="14588" width="10.6328125" style="49" customWidth="1"/>
    <col min="14589" max="14589" width="9.08984375" style="49" customWidth="1"/>
    <col min="14590" max="14590" width="22.6328125" style="49" customWidth="1"/>
    <col min="14591" max="14591" width="5.453125" style="49" customWidth="1"/>
    <col min="14592" max="14592" width="4.7265625" style="49" customWidth="1"/>
    <col min="14593" max="14593" width="4.90625" style="49" customWidth="1"/>
    <col min="14594" max="14594" width="6.26953125" style="49" customWidth="1"/>
    <col min="14595" max="14595" width="5.36328125" style="49" customWidth="1"/>
    <col min="14596" max="14596" width="4.26953125" style="49" customWidth="1"/>
    <col min="14597" max="14599" width="3.6328125" style="49" customWidth="1"/>
    <col min="14600" max="14600" width="4.36328125" style="49" customWidth="1"/>
    <col min="14601" max="14601" width="3.6328125" style="49" customWidth="1"/>
    <col min="14602" max="14602" width="4" style="49" customWidth="1"/>
    <col min="14603" max="14603" width="4.08984375" style="49" customWidth="1"/>
    <col min="14604" max="14604" width="5.26953125" style="49" customWidth="1"/>
    <col min="14605" max="14605" width="5.08984375" style="49" customWidth="1"/>
    <col min="14606" max="14617" width="3.6328125" style="49" customWidth="1"/>
    <col min="14618" max="14618" width="5" style="49" customWidth="1"/>
    <col min="14619" max="14622" width="4" style="49" customWidth="1"/>
    <col min="14623" max="14623" width="4.26953125" style="49" customWidth="1"/>
    <col min="14624" max="14624" width="9.26953125" style="49" customWidth="1"/>
    <col min="14625" max="14632" width="9" style="49" customWidth="1"/>
    <col min="14633" max="14651" width="5.26953125" style="49" customWidth="1"/>
    <col min="14652" max="14841" width="9" style="49"/>
    <col min="14842" max="14842" width="2.90625" style="49" customWidth="1"/>
    <col min="14843" max="14843" width="9.453125" style="49" customWidth="1"/>
    <col min="14844" max="14844" width="10.6328125" style="49" customWidth="1"/>
    <col min="14845" max="14845" width="9.08984375" style="49" customWidth="1"/>
    <col min="14846" max="14846" width="22.6328125" style="49" customWidth="1"/>
    <col min="14847" max="14847" width="5.453125" style="49" customWidth="1"/>
    <col min="14848" max="14848" width="4.7265625" style="49" customWidth="1"/>
    <col min="14849" max="14849" width="4.90625" style="49" customWidth="1"/>
    <col min="14850" max="14850" width="6.26953125" style="49" customWidth="1"/>
    <col min="14851" max="14851" width="5.36328125" style="49" customWidth="1"/>
    <col min="14852" max="14852" width="4.26953125" style="49" customWidth="1"/>
    <col min="14853" max="14855" width="3.6328125" style="49" customWidth="1"/>
    <col min="14856" max="14856" width="4.36328125" style="49" customWidth="1"/>
    <col min="14857" max="14857" width="3.6328125" style="49" customWidth="1"/>
    <col min="14858" max="14858" width="4" style="49" customWidth="1"/>
    <col min="14859" max="14859" width="4.08984375" style="49" customWidth="1"/>
    <col min="14860" max="14860" width="5.26953125" style="49" customWidth="1"/>
    <col min="14861" max="14861" width="5.08984375" style="49" customWidth="1"/>
    <col min="14862" max="14873" width="3.6328125" style="49" customWidth="1"/>
    <col min="14874" max="14874" width="5" style="49" customWidth="1"/>
    <col min="14875" max="14878" width="4" style="49" customWidth="1"/>
    <col min="14879" max="14879" width="4.26953125" style="49" customWidth="1"/>
    <col min="14880" max="14880" width="9.26953125" style="49" customWidth="1"/>
    <col min="14881" max="14888" width="9" style="49" customWidth="1"/>
    <col min="14889" max="14907" width="5.26953125" style="49" customWidth="1"/>
    <col min="14908" max="15097" width="9" style="49"/>
    <col min="15098" max="15098" width="2.90625" style="49" customWidth="1"/>
    <col min="15099" max="15099" width="9.453125" style="49" customWidth="1"/>
    <col min="15100" max="15100" width="10.6328125" style="49" customWidth="1"/>
    <col min="15101" max="15101" width="9.08984375" style="49" customWidth="1"/>
    <col min="15102" max="15102" width="22.6328125" style="49" customWidth="1"/>
    <col min="15103" max="15103" width="5.453125" style="49" customWidth="1"/>
    <col min="15104" max="15104" width="4.7265625" style="49" customWidth="1"/>
    <col min="15105" max="15105" width="4.90625" style="49" customWidth="1"/>
    <col min="15106" max="15106" width="6.26953125" style="49" customWidth="1"/>
    <col min="15107" max="15107" width="5.36328125" style="49" customWidth="1"/>
    <col min="15108" max="15108" width="4.26953125" style="49" customWidth="1"/>
    <col min="15109" max="15111" width="3.6328125" style="49" customWidth="1"/>
    <col min="15112" max="15112" width="4.36328125" style="49" customWidth="1"/>
    <col min="15113" max="15113" width="3.6328125" style="49" customWidth="1"/>
    <col min="15114" max="15114" width="4" style="49" customWidth="1"/>
    <col min="15115" max="15115" width="4.08984375" style="49" customWidth="1"/>
    <col min="15116" max="15116" width="5.26953125" style="49" customWidth="1"/>
    <col min="15117" max="15117" width="5.08984375" style="49" customWidth="1"/>
    <col min="15118" max="15129" width="3.6328125" style="49" customWidth="1"/>
    <col min="15130" max="15130" width="5" style="49" customWidth="1"/>
    <col min="15131" max="15134" width="4" style="49" customWidth="1"/>
    <col min="15135" max="15135" width="4.26953125" style="49" customWidth="1"/>
    <col min="15136" max="15136" width="9.26953125" style="49" customWidth="1"/>
    <col min="15137" max="15144" width="9" style="49" customWidth="1"/>
    <col min="15145" max="15163" width="5.26953125" style="49" customWidth="1"/>
    <col min="15164" max="15353" width="9" style="49"/>
    <col min="15354" max="15354" width="2.90625" style="49" customWidth="1"/>
    <col min="15355" max="15355" width="9.453125" style="49" customWidth="1"/>
    <col min="15356" max="15356" width="10.6328125" style="49" customWidth="1"/>
    <col min="15357" max="15357" width="9.08984375" style="49" customWidth="1"/>
    <col min="15358" max="15358" width="22.6328125" style="49" customWidth="1"/>
    <col min="15359" max="15359" width="5.453125" style="49" customWidth="1"/>
    <col min="15360" max="15360" width="4.7265625" style="49" customWidth="1"/>
    <col min="15361" max="15361" width="4.90625" style="49" customWidth="1"/>
    <col min="15362" max="15362" width="6.26953125" style="49" customWidth="1"/>
    <col min="15363" max="15363" width="5.36328125" style="49" customWidth="1"/>
    <col min="15364" max="15364" width="4.26953125" style="49" customWidth="1"/>
    <col min="15365" max="15367" width="3.6328125" style="49" customWidth="1"/>
    <col min="15368" max="15368" width="4.36328125" style="49" customWidth="1"/>
    <col min="15369" max="15369" width="3.6328125" style="49" customWidth="1"/>
    <col min="15370" max="15370" width="4" style="49" customWidth="1"/>
    <col min="15371" max="15371" width="4.08984375" style="49" customWidth="1"/>
    <col min="15372" max="15372" width="5.26953125" style="49" customWidth="1"/>
    <col min="15373" max="15373" width="5.08984375" style="49" customWidth="1"/>
    <col min="15374" max="15385" width="3.6328125" style="49" customWidth="1"/>
    <col min="15386" max="15386" width="5" style="49" customWidth="1"/>
    <col min="15387" max="15390" width="4" style="49" customWidth="1"/>
    <col min="15391" max="15391" width="4.26953125" style="49" customWidth="1"/>
    <col min="15392" max="15392" width="9.26953125" style="49" customWidth="1"/>
    <col min="15393" max="15400" width="9" style="49" customWidth="1"/>
    <col min="15401" max="15419" width="5.26953125" style="49" customWidth="1"/>
    <col min="15420" max="15609" width="9" style="49"/>
    <col min="15610" max="15610" width="2.90625" style="49" customWidth="1"/>
    <col min="15611" max="15611" width="9.453125" style="49" customWidth="1"/>
    <col min="15612" max="15612" width="10.6328125" style="49" customWidth="1"/>
    <col min="15613" max="15613" width="9.08984375" style="49" customWidth="1"/>
    <col min="15614" max="15614" width="22.6328125" style="49" customWidth="1"/>
    <col min="15615" max="15615" width="5.453125" style="49" customWidth="1"/>
    <col min="15616" max="15616" width="4.7265625" style="49" customWidth="1"/>
    <col min="15617" max="15617" width="4.90625" style="49" customWidth="1"/>
    <col min="15618" max="15618" width="6.26953125" style="49" customWidth="1"/>
    <col min="15619" max="15619" width="5.36328125" style="49" customWidth="1"/>
    <col min="15620" max="15620" width="4.26953125" style="49" customWidth="1"/>
    <col min="15621" max="15623" width="3.6328125" style="49" customWidth="1"/>
    <col min="15624" max="15624" width="4.36328125" style="49" customWidth="1"/>
    <col min="15625" max="15625" width="3.6328125" style="49" customWidth="1"/>
    <col min="15626" max="15626" width="4" style="49" customWidth="1"/>
    <col min="15627" max="15627" width="4.08984375" style="49" customWidth="1"/>
    <col min="15628" max="15628" width="5.26953125" style="49" customWidth="1"/>
    <col min="15629" max="15629" width="5.08984375" style="49" customWidth="1"/>
    <col min="15630" max="15641" width="3.6328125" style="49" customWidth="1"/>
    <col min="15642" max="15642" width="5" style="49" customWidth="1"/>
    <col min="15643" max="15646" width="4" style="49" customWidth="1"/>
    <col min="15647" max="15647" width="4.26953125" style="49" customWidth="1"/>
    <col min="15648" max="15648" width="9.26953125" style="49" customWidth="1"/>
    <col min="15649" max="15656" width="9" style="49" customWidth="1"/>
    <col min="15657" max="15675" width="5.26953125" style="49" customWidth="1"/>
    <col min="15676" max="15865" width="9" style="49"/>
    <col min="15866" max="15866" width="2.90625" style="49" customWidth="1"/>
    <col min="15867" max="15867" width="9.453125" style="49" customWidth="1"/>
    <col min="15868" max="15868" width="10.6328125" style="49" customWidth="1"/>
    <col min="15869" max="15869" width="9.08984375" style="49" customWidth="1"/>
    <col min="15870" max="15870" width="22.6328125" style="49" customWidth="1"/>
    <col min="15871" max="15871" width="5.453125" style="49" customWidth="1"/>
    <col min="15872" max="15872" width="4.7265625" style="49" customWidth="1"/>
    <col min="15873" max="15873" width="4.90625" style="49" customWidth="1"/>
    <col min="15874" max="15874" width="6.26953125" style="49" customWidth="1"/>
    <col min="15875" max="15875" width="5.36328125" style="49" customWidth="1"/>
    <col min="15876" max="15876" width="4.26953125" style="49" customWidth="1"/>
    <col min="15877" max="15879" width="3.6328125" style="49" customWidth="1"/>
    <col min="15880" max="15880" width="4.36328125" style="49" customWidth="1"/>
    <col min="15881" max="15881" width="3.6328125" style="49" customWidth="1"/>
    <col min="15882" max="15882" width="4" style="49" customWidth="1"/>
    <col min="15883" max="15883" width="4.08984375" style="49" customWidth="1"/>
    <col min="15884" max="15884" width="5.26953125" style="49" customWidth="1"/>
    <col min="15885" max="15885" width="5.08984375" style="49" customWidth="1"/>
    <col min="15886" max="15897" width="3.6328125" style="49" customWidth="1"/>
    <col min="15898" max="15898" width="5" style="49" customWidth="1"/>
    <col min="15899" max="15902" width="4" style="49" customWidth="1"/>
    <col min="15903" max="15903" width="4.26953125" style="49" customWidth="1"/>
    <col min="15904" max="15904" width="9.26953125" style="49" customWidth="1"/>
    <col min="15905" max="15912" width="9" style="49" customWidth="1"/>
    <col min="15913" max="15931" width="5.26953125" style="49" customWidth="1"/>
    <col min="15932" max="16121" width="9" style="49"/>
    <col min="16122" max="16122" width="2.90625" style="49" customWidth="1"/>
    <col min="16123" max="16123" width="9.453125" style="49" customWidth="1"/>
    <col min="16124" max="16124" width="10.6328125" style="49" customWidth="1"/>
    <col min="16125" max="16125" width="9.08984375" style="49" customWidth="1"/>
    <col min="16126" max="16126" width="22.6328125" style="49" customWidth="1"/>
    <col min="16127" max="16127" width="5.453125" style="49" customWidth="1"/>
    <col min="16128" max="16128" width="4.7265625" style="49" customWidth="1"/>
    <col min="16129" max="16129" width="4.90625" style="49" customWidth="1"/>
    <col min="16130" max="16130" width="6.26953125" style="49" customWidth="1"/>
    <col min="16131" max="16131" width="5.36328125" style="49" customWidth="1"/>
    <col min="16132" max="16132" width="4.26953125" style="49" customWidth="1"/>
    <col min="16133" max="16135" width="3.6328125" style="49" customWidth="1"/>
    <col min="16136" max="16136" width="4.36328125" style="49" customWidth="1"/>
    <col min="16137" max="16137" width="3.6328125" style="49" customWidth="1"/>
    <col min="16138" max="16138" width="4" style="49" customWidth="1"/>
    <col min="16139" max="16139" width="4.08984375" style="49" customWidth="1"/>
    <col min="16140" max="16140" width="5.26953125" style="49" customWidth="1"/>
    <col min="16141" max="16141" width="5.08984375" style="49" customWidth="1"/>
    <col min="16142" max="16153" width="3.6328125" style="49" customWidth="1"/>
    <col min="16154" max="16154" width="5" style="49" customWidth="1"/>
    <col min="16155" max="16158" width="4" style="49" customWidth="1"/>
    <col min="16159" max="16159" width="4.26953125" style="49" customWidth="1"/>
    <col min="16160" max="16160" width="9.26953125" style="49" customWidth="1"/>
    <col min="16161" max="16168" width="9" style="49" customWidth="1"/>
    <col min="16169" max="16187" width="5.26953125" style="49" customWidth="1"/>
    <col min="16188" max="16377" width="9" style="49"/>
    <col min="16378" max="16384" width="8.90625" style="49" customWidth="1"/>
  </cols>
  <sheetData>
    <row r="1" spans="1:249" s="43" customFormat="1" ht="20.149999999999999" customHeight="1">
      <c r="A1" s="315" t="s">
        <v>581</v>
      </c>
      <c r="B1" s="315" t="s">
        <v>582</v>
      </c>
      <c r="C1" s="315" t="s">
        <v>583</v>
      </c>
      <c r="D1" s="318" t="s">
        <v>584</v>
      </c>
      <c r="E1" s="310"/>
      <c r="F1" s="310"/>
      <c r="G1" s="310"/>
      <c r="H1" s="310"/>
      <c r="I1" s="310"/>
      <c r="J1" s="310"/>
      <c r="K1" s="310"/>
      <c r="L1" s="310"/>
      <c r="M1" s="310"/>
      <c r="N1" s="311"/>
      <c r="O1" s="312" t="s">
        <v>585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1"/>
      <c r="AA1" s="312" t="s">
        <v>586</v>
      </c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2" t="s">
        <v>587</v>
      </c>
      <c r="AQ1" s="310"/>
      <c r="AR1" s="310"/>
      <c r="AS1" s="310"/>
      <c r="AT1" s="310"/>
      <c r="AU1" s="311"/>
      <c r="AV1" s="312" t="s">
        <v>588</v>
      </c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1"/>
    </row>
    <row r="2" spans="1:249" s="43" customFormat="1" ht="20.149999999999999" customHeight="1">
      <c r="A2" s="316"/>
      <c r="B2" s="316"/>
      <c r="C2" s="316"/>
      <c r="D2" s="319"/>
      <c r="E2" s="315" t="s">
        <v>589</v>
      </c>
      <c r="F2" s="315" t="s">
        <v>590</v>
      </c>
      <c r="G2" s="315" t="s">
        <v>591</v>
      </c>
      <c r="H2" s="315" t="s">
        <v>592</v>
      </c>
      <c r="I2" s="315" t="s">
        <v>593</v>
      </c>
      <c r="J2" s="315" t="s">
        <v>594</v>
      </c>
      <c r="K2" s="321" t="s">
        <v>595</v>
      </c>
      <c r="L2" s="321" t="s">
        <v>596</v>
      </c>
      <c r="M2" s="321" t="s">
        <v>597</v>
      </c>
      <c r="N2" s="321" t="s">
        <v>598</v>
      </c>
      <c r="O2" s="315" t="s">
        <v>599</v>
      </c>
      <c r="P2" s="315" t="s">
        <v>600</v>
      </c>
      <c r="Q2" s="315" t="s">
        <v>601</v>
      </c>
      <c r="R2" s="315" t="s">
        <v>602</v>
      </c>
      <c r="S2" s="315" t="s">
        <v>603</v>
      </c>
      <c r="T2" s="315" t="s">
        <v>604</v>
      </c>
      <c r="U2" s="315" t="s">
        <v>605</v>
      </c>
      <c r="V2" s="315" t="s">
        <v>606</v>
      </c>
      <c r="W2" s="315" t="s">
        <v>607</v>
      </c>
      <c r="X2" s="315" t="s">
        <v>608</v>
      </c>
      <c r="Y2" s="315" t="s">
        <v>609</v>
      </c>
      <c r="Z2" s="315" t="s">
        <v>610</v>
      </c>
      <c r="AA2" s="323" t="s">
        <v>611</v>
      </c>
      <c r="AB2" s="315" t="s">
        <v>612</v>
      </c>
      <c r="AC2" s="315" t="s">
        <v>613</v>
      </c>
      <c r="AD2" s="315" t="s">
        <v>614</v>
      </c>
      <c r="AE2" s="315" t="s">
        <v>615</v>
      </c>
      <c r="AF2" s="315" t="s">
        <v>616</v>
      </c>
      <c r="AG2" s="315" t="s">
        <v>617</v>
      </c>
      <c r="AH2" s="315" t="s">
        <v>618</v>
      </c>
      <c r="AI2" s="315" t="s">
        <v>619</v>
      </c>
      <c r="AJ2" s="315" t="s">
        <v>620</v>
      </c>
      <c r="AK2" s="315" t="s">
        <v>621</v>
      </c>
      <c r="AL2" s="315" t="s">
        <v>622</v>
      </c>
      <c r="AM2" s="312" t="s">
        <v>623</v>
      </c>
      <c r="AN2" s="310"/>
      <c r="AO2" s="311"/>
      <c r="AP2" s="315" t="s">
        <v>624</v>
      </c>
      <c r="AQ2" s="315" t="s">
        <v>625</v>
      </c>
      <c r="AR2" s="315" t="s">
        <v>626</v>
      </c>
      <c r="AS2" s="315" t="s">
        <v>627</v>
      </c>
      <c r="AT2" s="315" t="s">
        <v>628</v>
      </c>
      <c r="AU2" s="315" t="s">
        <v>629</v>
      </c>
      <c r="AV2" s="312" t="s">
        <v>630</v>
      </c>
      <c r="AW2" s="310"/>
      <c r="AX2" s="310"/>
      <c r="AY2" s="310"/>
      <c r="AZ2" s="311"/>
      <c r="BA2" s="312" t="s">
        <v>631</v>
      </c>
      <c r="BB2" s="310"/>
      <c r="BC2" s="311"/>
      <c r="BD2" s="312" t="s">
        <v>632</v>
      </c>
      <c r="BE2" s="310"/>
      <c r="BF2" s="310"/>
      <c r="BG2" s="310"/>
      <c r="BH2" s="311"/>
      <c r="BI2" s="312" t="s">
        <v>633</v>
      </c>
      <c r="BJ2" s="311"/>
      <c r="BK2" s="315" t="s">
        <v>634</v>
      </c>
      <c r="BL2" s="315" t="s">
        <v>635</v>
      </c>
      <c r="BM2" s="315" t="s">
        <v>636</v>
      </c>
    </row>
    <row r="3" spans="1:249" s="43" customFormat="1" ht="26.5" customHeight="1">
      <c r="A3" s="317"/>
      <c r="B3" s="317"/>
      <c r="C3" s="317"/>
      <c r="D3" s="320"/>
      <c r="E3" s="317"/>
      <c r="F3" s="317"/>
      <c r="G3" s="317"/>
      <c r="H3" s="317"/>
      <c r="I3" s="317"/>
      <c r="J3" s="317"/>
      <c r="K3" s="322"/>
      <c r="L3" s="322"/>
      <c r="M3" s="322"/>
      <c r="N3" s="322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24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51" t="s">
        <v>637</v>
      </c>
      <c r="AN3" s="51" t="s">
        <v>638</v>
      </c>
      <c r="AO3" s="51" t="s">
        <v>639</v>
      </c>
      <c r="AP3" s="317"/>
      <c r="AQ3" s="317"/>
      <c r="AR3" s="317"/>
      <c r="AS3" s="317"/>
      <c r="AT3" s="317"/>
      <c r="AU3" s="317"/>
      <c r="AV3" s="76" t="s">
        <v>640</v>
      </c>
      <c r="AW3" s="76" t="s">
        <v>641</v>
      </c>
      <c r="AX3" s="76" t="s">
        <v>642</v>
      </c>
      <c r="AY3" s="76" t="s">
        <v>643</v>
      </c>
      <c r="AZ3" s="76" t="s">
        <v>325</v>
      </c>
      <c r="BA3" s="76" t="s">
        <v>642</v>
      </c>
      <c r="BB3" s="76" t="s">
        <v>643</v>
      </c>
      <c r="BC3" s="76" t="s">
        <v>325</v>
      </c>
      <c r="BD3" s="76" t="s">
        <v>640</v>
      </c>
      <c r="BE3" s="76" t="s">
        <v>641</v>
      </c>
      <c r="BF3" s="76" t="s">
        <v>642</v>
      </c>
      <c r="BG3" s="76" t="s">
        <v>643</v>
      </c>
      <c r="BH3" s="76" t="s">
        <v>325</v>
      </c>
      <c r="BI3" s="76" t="s">
        <v>644</v>
      </c>
      <c r="BJ3" s="76" t="s">
        <v>645</v>
      </c>
      <c r="BK3" s="317"/>
      <c r="BL3" s="317"/>
      <c r="BM3" s="317"/>
    </row>
    <row r="4" spans="1:249" ht="30" customHeight="1">
      <c r="A4" s="52">
        <v>1</v>
      </c>
      <c r="B4" s="53" t="s">
        <v>646</v>
      </c>
      <c r="C4" s="53" t="s">
        <v>647</v>
      </c>
      <c r="D4" s="52" t="s">
        <v>648</v>
      </c>
      <c r="E4" s="53" t="s">
        <v>649</v>
      </c>
      <c r="F4" s="53" t="s">
        <v>650</v>
      </c>
      <c r="G4" s="53" t="s">
        <v>651</v>
      </c>
      <c r="H4" s="53">
        <v>66</v>
      </c>
      <c r="I4" s="53">
        <v>2018</v>
      </c>
      <c r="J4" s="53">
        <v>2018</v>
      </c>
      <c r="K4" s="65">
        <v>5.6680000000000001</v>
      </c>
      <c r="L4" s="65">
        <v>1.774</v>
      </c>
      <c r="M4" s="65">
        <v>7.1310000000000002</v>
      </c>
      <c r="N4" s="65"/>
      <c r="O4" s="53" t="s">
        <v>652</v>
      </c>
      <c r="P4" s="53">
        <v>14</v>
      </c>
      <c r="Q4" s="53" t="s">
        <v>653</v>
      </c>
      <c r="R4" s="53" t="s">
        <v>654</v>
      </c>
      <c r="S4" s="53" t="s">
        <v>654</v>
      </c>
      <c r="T4" s="53">
        <v>11</v>
      </c>
      <c r="U4" s="53" t="s">
        <v>655</v>
      </c>
      <c r="V4" s="53" t="s">
        <v>656</v>
      </c>
      <c r="W4" s="53"/>
      <c r="X4" s="53"/>
      <c r="Y4" s="53">
        <v>1</v>
      </c>
      <c r="Z4" s="53">
        <v>1</v>
      </c>
      <c r="AA4" s="53">
        <f t="shared" ref="AA4:AA9" si="0">AX4+AY4+BA4+BB4</f>
        <v>12</v>
      </c>
      <c r="AB4" s="53">
        <v>2</v>
      </c>
      <c r="AC4" s="53">
        <v>1</v>
      </c>
      <c r="AD4" s="53"/>
      <c r="AE4" s="53"/>
      <c r="AF4" s="53"/>
      <c r="AG4" s="53"/>
      <c r="AH4" s="53">
        <v>1</v>
      </c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>
        <v>4</v>
      </c>
      <c r="AW4" s="53"/>
      <c r="AX4" s="53">
        <v>3</v>
      </c>
      <c r="AY4" s="53">
        <v>1</v>
      </c>
      <c r="AZ4" s="53">
        <f t="shared" ref="AZ4:AZ9" si="1">SUM(AV4:AY4)</f>
        <v>8</v>
      </c>
      <c r="BA4" s="53">
        <v>6</v>
      </c>
      <c r="BB4" s="53">
        <v>2</v>
      </c>
      <c r="BC4" s="53">
        <f t="shared" ref="BC4:BC9" si="2">SUM(BA4:BB4)</f>
        <v>8</v>
      </c>
      <c r="BD4" s="53">
        <v>1</v>
      </c>
      <c r="BE4" s="53">
        <v>1</v>
      </c>
      <c r="BF4" s="53">
        <v>1</v>
      </c>
      <c r="BG4" s="53">
        <v>2</v>
      </c>
      <c r="BH4" s="53">
        <f t="shared" ref="BH4:BH9" si="3">SUM(BD4:BG4)</f>
        <v>5</v>
      </c>
      <c r="BI4" s="53">
        <v>3</v>
      </c>
      <c r="BJ4" s="53">
        <v>2</v>
      </c>
      <c r="BK4" s="53">
        <v>2</v>
      </c>
      <c r="BL4" s="53"/>
      <c r="BM4" s="53">
        <f t="shared" ref="BM4:BM9" si="4">SUM(AZ4,BC4,BH4:BL4)</f>
        <v>28</v>
      </c>
    </row>
    <row r="5" spans="1:249" ht="30" customHeight="1">
      <c r="A5" s="52">
        <v>2</v>
      </c>
      <c r="B5" s="52" t="s">
        <v>657</v>
      </c>
      <c r="C5" s="52" t="s">
        <v>428</v>
      </c>
      <c r="D5" s="52" t="s">
        <v>648</v>
      </c>
      <c r="E5" s="53" t="s">
        <v>658</v>
      </c>
      <c r="F5" s="53" t="s">
        <v>659</v>
      </c>
      <c r="G5" s="53" t="s">
        <v>651</v>
      </c>
      <c r="H5" s="53">
        <v>100</v>
      </c>
      <c r="I5" s="53" t="s">
        <v>660</v>
      </c>
      <c r="J5" s="53">
        <v>2017</v>
      </c>
      <c r="K5" s="65">
        <v>5.0369999999999999</v>
      </c>
      <c r="L5" s="65">
        <v>0</v>
      </c>
      <c r="M5" s="65">
        <v>10.369</v>
      </c>
      <c r="N5" s="65"/>
      <c r="O5" s="53" t="s">
        <v>652</v>
      </c>
      <c r="P5" s="53">
        <v>18</v>
      </c>
      <c r="Q5" s="53" t="s">
        <v>653</v>
      </c>
      <c r="R5" s="53" t="s">
        <v>654</v>
      </c>
      <c r="S5" s="53" t="s">
        <v>654</v>
      </c>
      <c r="T5" s="53">
        <v>17</v>
      </c>
      <c r="U5" s="53" t="s">
        <v>655</v>
      </c>
      <c r="V5" s="53" t="s">
        <v>656</v>
      </c>
      <c r="W5" s="53">
        <v>0</v>
      </c>
      <c r="X5" s="53"/>
      <c r="Y5" s="53">
        <v>1</v>
      </c>
      <c r="Z5" s="53">
        <v>1</v>
      </c>
      <c r="AA5" s="53">
        <f t="shared" si="0"/>
        <v>7</v>
      </c>
      <c r="AB5" s="53">
        <v>3</v>
      </c>
      <c r="AC5" s="53">
        <v>1</v>
      </c>
      <c r="AD5" s="53">
        <v>0</v>
      </c>
      <c r="AE5" s="53">
        <v>2</v>
      </c>
      <c r="AF5" s="53">
        <v>1</v>
      </c>
      <c r="AG5" s="53">
        <v>3</v>
      </c>
      <c r="AH5" s="53">
        <f>BG5-1</f>
        <v>1</v>
      </c>
      <c r="AI5" s="53"/>
      <c r="AJ5" s="53"/>
      <c r="AK5" s="53">
        <v>3</v>
      </c>
      <c r="AL5" s="53"/>
      <c r="AM5" s="53"/>
      <c r="AN5" s="53"/>
      <c r="AO5" s="53"/>
      <c r="AP5" s="53"/>
      <c r="AQ5" s="53">
        <v>2</v>
      </c>
      <c r="AR5" s="53">
        <v>1</v>
      </c>
      <c r="AS5" s="53">
        <v>7</v>
      </c>
      <c r="AT5" s="53">
        <v>2</v>
      </c>
      <c r="AU5" s="53">
        <v>1</v>
      </c>
      <c r="AV5" s="53">
        <v>2</v>
      </c>
      <c r="AW5" s="53"/>
      <c r="AX5" s="53">
        <v>1</v>
      </c>
      <c r="AY5" s="53">
        <v>1</v>
      </c>
      <c r="AZ5" s="53">
        <f t="shared" si="1"/>
        <v>4</v>
      </c>
      <c r="BA5" s="53">
        <v>4</v>
      </c>
      <c r="BB5" s="53">
        <v>1</v>
      </c>
      <c r="BC5" s="53">
        <f t="shared" si="2"/>
        <v>5</v>
      </c>
      <c r="BD5" s="53"/>
      <c r="BE5" s="53"/>
      <c r="BF5" s="53"/>
      <c r="BG5" s="53">
        <v>2</v>
      </c>
      <c r="BH5" s="53">
        <f t="shared" si="3"/>
        <v>2</v>
      </c>
      <c r="BI5" s="53">
        <v>3</v>
      </c>
      <c r="BJ5" s="53">
        <v>2</v>
      </c>
      <c r="BK5" s="53">
        <v>2</v>
      </c>
      <c r="BL5" s="53"/>
      <c r="BM5" s="53">
        <f t="shared" si="4"/>
        <v>18</v>
      </c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</row>
    <row r="6" spans="1:249" s="44" customFormat="1" ht="30" customHeight="1">
      <c r="A6" s="52">
        <v>3</v>
      </c>
      <c r="B6" s="54" t="s">
        <v>661</v>
      </c>
      <c r="C6" s="52" t="s">
        <v>662</v>
      </c>
      <c r="D6" s="52" t="s">
        <v>648</v>
      </c>
      <c r="E6" s="52" t="s">
        <v>663</v>
      </c>
      <c r="F6" s="52" t="s">
        <v>664</v>
      </c>
      <c r="G6" s="52" t="s">
        <v>651</v>
      </c>
      <c r="H6" s="52">
        <v>99</v>
      </c>
      <c r="I6" s="52">
        <v>2017</v>
      </c>
      <c r="J6" s="52">
        <v>2019</v>
      </c>
      <c r="K6" s="58">
        <v>4.2850000000000001</v>
      </c>
      <c r="L6" s="58">
        <v>2.492</v>
      </c>
      <c r="M6" s="58">
        <v>4.8869999999999996</v>
      </c>
      <c r="N6" s="66"/>
      <c r="O6" s="58" t="s">
        <v>652</v>
      </c>
      <c r="P6" s="58">
        <v>10</v>
      </c>
      <c r="Q6" s="58">
        <v>1</v>
      </c>
      <c r="R6" s="58" t="s">
        <v>654</v>
      </c>
      <c r="S6" s="58" t="s">
        <v>654</v>
      </c>
      <c r="T6" s="58">
        <v>37</v>
      </c>
      <c r="U6" s="58" t="s">
        <v>655</v>
      </c>
      <c r="V6" s="58" t="s">
        <v>665</v>
      </c>
      <c r="W6" s="58">
        <v>2</v>
      </c>
      <c r="X6" s="58">
        <v>1</v>
      </c>
      <c r="Y6" s="58">
        <v>1</v>
      </c>
      <c r="Z6" s="58">
        <v>1</v>
      </c>
      <c r="AA6" s="58"/>
      <c r="AB6" s="58">
        <v>6</v>
      </c>
      <c r="AC6" s="53">
        <v>1</v>
      </c>
      <c r="AD6" s="58">
        <v>3</v>
      </c>
      <c r="AE6" s="58">
        <v>3</v>
      </c>
      <c r="AF6" s="58">
        <v>1</v>
      </c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>
        <v>2</v>
      </c>
      <c r="AR6" s="53">
        <v>1</v>
      </c>
      <c r="AS6" s="58"/>
      <c r="AT6" s="58"/>
      <c r="AU6" s="53">
        <v>1</v>
      </c>
      <c r="AV6" s="58">
        <v>4</v>
      </c>
      <c r="AW6" s="58">
        <v>0</v>
      </c>
      <c r="AX6" s="58">
        <v>3</v>
      </c>
      <c r="AY6" s="58">
        <v>1</v>
      </c>
      <c r="AZ6" s="58">
        <f t="shared" si="1"/>
        <v>8</v>
      </c>
      <c r="BA6" s="58">
        <v>7</v>
      </c>
      <c r="BB6" s="58">
        <v>1</v>
      </c>
      <c r="BC6" s="58">
        <f t="shared" si="2"/>
        <v>8</v>
      </c>
      <c r="BD6" s="58"/>
      <c r="BE6" s="58"/>
      <c r="BF6" s="58"/>
      <c r="BG6" s="58">
        <v>2</v>
      </c>
      <c r="BH6" s="58">
        <f t="shared" si="3"/>
        <v>2</v>
      </c>
      <c r="BI6" s="58">
        <v>3</v>
      </c>
      <c r="BJ6" s="58">
        <v>3</v>
      </c>
      <c r="BK6" s="58">
        <v>2</v>
      </c>
      <c r="BL6" s="58"/>
      <c r="BM6" s="5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</row>
    <row r="7" spans="1:249" ht="30" customHeight="1">
      <c r="A7" s="52">
        <v>4</v>
      </c>
      <c r="B7" s="52" t="s">
        <v>666</v>
      </c>
      <c r="C7" s="52" t="s">
        <v>667</v>
      </c>
      <c r="D7" s="52" t="s">
        <v>648</v>
      </c>
      <c r="E7" s="53" t="s">
        <v>668</v>
      </c>
      <c r="F7" s="53" t="s">
        <v>664</v>
      </c>
      <c r="G7" s="53" t="s">
        <v>651</v>
      </c>
      <c r="H7" s="53">
        <v>80</v>
      </c>
      <c r="I7" s="53" t="s">
        <v>669</v>
      </c>
      <c r="J7" s="53">
        <v>2018</v>
      </c>
      <c r="K7" s="65">
        <v>5.1180000000000003</v>
      </c>
      <c r="L7" s="65">
        <v>1.5409999999999999</v>
      </c>
      <c r="M7" s="65">
        <v>7.0570000000000004</v>
      </c>
      <c r="N7" s="65"/>
      <c r="O7" s="53" t="s">
        <v>652</v>
      </c>
      <c r="P7" s="53">
        <v>14</v>
      </c>
      <c r="Q7" s="53" t="s">
        <v>653</v>
      </c>
      <c r="R7" s="53" t="s">
        <v>654</v>
      </c>
      <c r="S7" s="53" t="s">
        <v>654</v>
      </c>
      <c r="T7" s="53">
        <v>11</v>
      </c>
      <c r="U7" s="53" t="s">
        <v>670</v>
      </c>
      <c r="V7" s="53" t="s">
        <v>656</v>
      </c>
      <c r="W7" s="53"/>
      <c r="X7" s="53"/>
      <c r="Y7" s="53">
        <v>1</v>
      </c>
      <c r="Z7" s="53">
        <v>1</v>
      </c>
      <c r="AA7" s="53">
        <f t="shared" si="0"/>
        <v>12</v>
      </c>
      <c r="AB7" s="53">
        <v>2</v>
      </c>
      <c r="AC7" s="53">
        <v>1</v>
      </c>
      <c r="AD7" s="53">
        <v>2</v>
      </c>
      <c r="AE7" s="53">
        <v>1</v>
      </c>
      <c r="AF7" s="53">
        <v>1</v>
      </c>
      <c r="AG7" s="53"/>
      <c r="AH7" s="53">
        <v>1</v>
      </c>
      <c r="AI7" s="53"/>
      <c r="AJ7" s="53"/>
      <c r="AK7" s="53">
        <v>2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>
        <v>4</v>
      </c>
      <c r="AW7" s="53"/>
      <c r="AX7" s="53">
        <v>3</v>
      </c>
      <c r="AY7" s="53">
        <v>1</v>
      </c>
      <c r="AZ7" s="53">
        <f t="shared" si="1"/>
        <v>8</v>
      </c>
      <c r="BA7" s="53">
        <v>7</v>
      </c>
      <c r="BB7" s="53">
        <v>1</v>
      </c>
      <c r="BC7" s="53">
        <f t="shared" si="2"/>
        <v>8</v>
      </c>
      <c r="BD7" s="53">
        <v>1</v>
      </c>
      <c r="BE7" s="53">
        <v>1</v>
      </c>
      <c r="BF7" s="53">
        <v>1</v>
      </c>
      <c r="BG7" s="53">
        <v>2</v>
      </c>
      <c r="BH7" s="53">
        <f t="shared" si="3"/>
        <v>5</v>
      </c>
      <c r="BI7" s="53">
        <v>3</v>
      </c>
      <c r="BJ7" s="53">
        <v>2</v>
      </c>
      <c r="BK7" s="53">
        <v>2</v>
      </c>
      <c r="BL7" s="53"/>
      <c r="BM7" s="53">
        <f t="shared" si="4"/>
        <v>28</v>
      </c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</row>
    <row r="8" spans="1:249" ht="30" customHeight="1">
      <c r="A8" s="52">
        <v>5</v>
      </c>
      <c r="B8" s="52" t="s">
        <v>671</v>
      </c>
      <c r="C8" s="52" t="s">
        <v>672</v>
      </c>
      <c r="D8" s="52" t="s">
        <v>648</v>
      </c>
      <c r="E8" s="53" t="s">
        <v>673</v>
      </c>
      <c r="F8" s="53" t="s">
        <v>650</v>
      </c>
      <c r="G8" s="53" t="s">
        <v>651</v>
      </c>
      <c r="H8" s="53">
        <v>99</v>
      </c>
      <c r="I8" s="53" t="s">
        <v>674</v>
      </c>
      <c r="J8" s="53">
        <v>2018</v>
      </c>
      <c r="K8" s="65">
        <v>6.1529999999999996</v>
      </c>
      <c r="L8" s="65"/>
      <c r="M8" s="65">
        <v>5.375</v>
      </c>
      <c r="N8" s="65"/>
      <c r="O8" s="53" t="s">
        <v>652</v>
      </c>
      <c r="P8" s="53">
        <v>23</v>
      </c>
      <c r="Q8" s="53" t="s">
        <v>653</v>
      </c>
      <c r="R8" s="53" t="s">
        <v>654</v>
      </c>
      <c r="S8" s="53" t="s">
        <v>654</v>
      </c>
      <c r="T8" s="53">
        <v>9</v>
      </c>
      <c r="U8" s="53" t="s">
        <v>655</v>
      </c>
      <c r="V8" s="53" t="s">
        <v>656</v>
      </c>
      <c r="W8" s="53">
        <v>1</v>
      </c>
      <c r="X8" s="53"/>
      <c r="Y8" s="53">
        <v>1</v>
      </c>
      <c r="Z8" s="53">
        <v>1</v>
      </c>
      <c r="AA8" s="53">
        <f t="shared" si="0"/>
        <v>12</v>
      </c>
      <c r="AB8" s="53">
        <v>2</v>
      </c>
      <c r="AC8" s="53">
        <v>1</v>
      </c>
      <c r="AD8" s="53">
        <v>3</v>
      </c>
      <c r="AE8" s="53">
        <v>1</v>
      </c>
      <c r="AF8" s="53">
        <v>1</v>
      </c>
      <c r="AG8" s="53"/>
      <c r="AH8" s="53">
        <v>1</v>
      </c>
      <c r="AI8" s="53"/>
      <c r="AJ8" s="53"/>
      <c r="AK8" s="53">
        <v>2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>
        <v>4</v>
      </c>
      <c r="AW8" s="53"/>
      <c r="AX8" s="53">
        <v>3</v>
      </c>
      <c r="AY8" s="53">
        <v>1</v>
      </c>
      <c r="AZ8" s="53">
        <f t="shared" si="1"/>
        <v>8</v>
      </c>
      <c r="BA8" s="53">
        <v>7</v>
      </c>
      <c r="BB8" s="53">
        <v>1</v>
      </c>
      <c r="BC8" s="53">
        <f t="shared" si="2"/>
        <v>8</v>
      </c>
      <c r="BD8" s="53"/>
      <c r="BE8" s="53"/>
      <c r="BF8" s="53"/>
      <c r="BG8" s="53">
        <v>2</v>
      </c>
      <c r="BH8" s="53">
        <f t="shared" si="3"/>
        <v>2</v>
      </c>
      <c r="BI8" s="53">
        <v>3</v>
      </c>
      <c r="BJ8" s="53">
        <v>3</v>
      </c>
      <c r="BK8" s="53">
        <v>2</v>
      </c>
      <c r="BL8" s="53"/>
      <c r="BM8" s="53">
        <f t="shared" si="4"/>
        <v>26</v>
      </c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</row>
    <row r="9" spans="1:249" ht="30" customHeight="1">
      <c r="A9" s="52">
        <v>6</v>
      </c>
      <c r="B9" s="52" t="s">
        <v>675</v>
      </c>
      <c r="C9" s="52" t="s">
        <v>676</v>
      </c>
      <c r="D9" s="52" t="s">
        <v>648</v>
      </c>
      <c r="E9" s="53" t="s">
        <v>677</v>
      </c>
      <c r="F9" s="53" t="s">
        <v>650</v>
      </c>
      <c r="G9" s="53" t="s">
        <v>651</v>
      </c>
      <c r="H9" s="53">
        <v>90</v>
      </c>
      <c r="I9" s="53" t="s">
        <v>678</v>
      </c>
      <c r="J9" s="53">
        <v>2017</v>
      </c>
      <c r="K9" s="65">
        <v>5.33</v>
      </c>
      <c r="L9" s="65">
        <v>2.41</v>
      </c>
      <c r="M9" s="65">
        <v>6.23</v>
      </c>
      <c r="N9" s="65"/>
      <c r="O9" s="53" t="s">
        <v>652</v>
      </c>
      <c r="P9" s="53">
        <v>23</v>
      </c>
      <c r="Q9" s="53" t="s">
        <v>653</v>
      </c>
      <c r="R9" s="53" t="s">
        <v>654</v>
      </c>
      <c r="S9" s="53" t="s">
        <v>654</v>
      </c>
      <c r="T9" s="53">
        <v>11</v>
      </c>
      <c r="U9" s="53" t="s">
        <v>679</v>
      </c>
      <c r="V9" s="53" t="s">
        <v>656</v>
      </c>
      <c r="W9" s="53">
        <v>1</v>
      </c>
      <c r="X9" s="53"/>
      <c r="Y9" s="53">
        <v>1</v>
      </c>
      <c r="Z9" s="53">
        <v>1</v>
      </c>
      <c r="AA9" s="53">
        <f t="shared" si="0"/>
        <v>14</v>
      </c>
      <c r="AB9" s="53">
        <v>2</v>
      </c>
      <c r="AC9" s="53"/>
      <c r="AD9" s="53">
        <v>3</v>
      </c>
      <c r="AE9" s="53">
        <v>1</v>
      </c>
      <c r="AF9" s="53">
        <v>1</v>
      </c>
      <c r="AG9" s="53"/>
      <c r="AH9" s="53">
        <v>1</v>
      </c>
      <c r="AI9" s="53"/>
      <c r="AJ9" s="53"/>
      <c r="AK9" s="53">
        <v>2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>
        <v>5</v>
      </c>
      <c r="AW9" s="53"/>
      <c r="AX9" s="53">
        <v>4</v>
      </c>
      <c r="AY9" s="53">
        <v>1</v>
      </c>
      <c r="AZ9" s="53">
        <f t="shared" si="1"/>
        <v>10</v>
      </c>
      <c r="BA9" s="53">
        <v>7</v>
      </c>
      <c r="BB9" s="53">
        <v>2</v>
      </c>
      <c r="BC9" s="53">
        <f t="shared" si="2"/>
        <v>9</v>
      </c>
      <c r="BD9" s="53"/>
      <c r="BE9" s="53"/>
      <c r="BF9" s="53"/>
      <c r="BG9" s="53">
        <v>2</v>
      </c>
      <c r="BH9" s="53">
        <f t="shared" si="3"/>
        <v>2</v>
      </c>
      <c r="BI9" s="53">
        <v>2</v>
      </c>
      <c r="BJ9" s="53">
        <v>1</v>
      </c>
      <c r="BK9" s="53">
        <v>1</v>
      </c>
      <c r="BL9" s="53"/>
      <c r="BM9" s="53">
        <f t="shared" si="4"/>
        <v>25</v>
      </c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</row>
    <row r="10" spans="1:249" s="45" customFormat="1" ht="30" customHeight="1">
      <c r="A10" s="55" t="s">
        <v>325</v>
      </c>
      <c r="B10" s="55"/>
      <c r="C10" s="55">
        <f>A9</f>
        <v>6</v>
      </c>
      <c r="D10" s="55"/>
      <c r="E10" s="56"/>
      <c r="F10" s="56"/>
      <c r="G10" s="56"/>
      <c r="H10" s="56"/>
      <c r="I10" s="56"/>
      <c r="J10" s="56"/>
      <c r="K10" s="67"/>
      <c r="L10" s="67"/>
      <c r="M10" s="67"/>
      <c r="N10" s="67"/>
      <c r="O10" s="56"/>
      <c r="P10" s="56"/>
      <c r="Q10" s="56"/>
      <c r="R10" s="56"/>
      <c r="S10" s="56"/>
      <c r="T10" s="56"/>
      <c r="U10" s="56"/>
      <c r="V10" s="56"/>
      <c r="W10" s="56">
        <f t="shared" ref="W10:BM10" si="5">SUM(W4:W9)</f>
        <v>4</v>
      </c>
      <c r="X10" s="56">
        <f t="shared" si="5"/>
        <v>1</v>
      </c>
      <c r="Y10" s="56">
        <f t="shared" si="5"/>
        <v>6</v>
      </c>
      <c r="Z10" s="56">
        <f t="shared" si="5"/>
        <v>6</v>
      </c>
      <c r="AA10" s="56">
        <f t="shared" si="5"/>
        <v>57</v>
      </c>
      <c r="AB10" s="56">
        <f t="shared" si="5"/>
        <v>17</v>
      </c>
      <c r="AC10" s="56">
        <f t="shared" si="5"/>
        <v>5</v>
      </c>
      <c r="AD10" s="56">
        <f t="shared" si="5"/>
        <v>11</v>
      </c>
      <c r="AE10" s="56">
        <f t="shared" si="5"/>
        <v>8</v>
      </c>
      <c r="AF10" s="56">
        <f t="shared" si="5"/>
        <v>5</v>
      </c>
      <c r="AG10" s="56">
        <f t="shared" si="5"/>
        <v>3</v>
      </c>
      <c r="AH10" s="56">
        <f t="shared" si="5"/>
        <v>5</v>
      </c>
      <c r="AI10" s="56">
        <f t="shared" si="5"/>
        <v>0</v>
      </c>
      <c r="AJ10" s="56">
        <f t="shared" si="5"/>
        <v>0</v>
      </c>
      <c r="AK10" s="56">
        <f t="shared" si="5"/>
        <v>9</v>
      </c>
      <c r="AL10" s="56">
        <f t="shared" si="5"/>
        <v>0</v>
      </c>
      <c r="AM10" s="56">
        <f t="shared" si="5"/>
        <v>0</v>
      </c>
      <c r="AN10" s="56">
        <f t="shared" si="5"/>
        <v>0</v>
      </c>
      <c r="AO10" s="56">
        <f t="shared" si="5"/>
        <v>0</v>
      </c>
      <c r="AP10" s="56">
        <f t="shared" si="5"/>
        <v>0</v>
      </c>
      <c r="AQ10" s="56">
        <f t="shared" si="5"/>
        <v>4</v>
      </c>
      <c r="AR10" s="56">
        <f t="shared" si="5"/>
        <v>2</v>
      </c>
      <c r="AS10" s="56">
        <f t="shared" si="5"/>
        <v>7</v>
      </c>
      <c r="AT10" s="56">
        <f t="shared" si="5"/>
        <v>2</v>
      </c>
      <c r="AU10" s="56">
        <f t="shared" si="5"/>
        <v>2</v>
      </c>
      <c r="AV10" s="56">
        <f t="shared" si="5"/>
        <v>23</v>
      </c>
      <c r="AW10" s="56">
        <f t="shared" si="5"/>
        <v>0</v>
      </c>
      <c r="AX10" s="56">
        <f t="shared" si="5"/>
        <v>17</v>
      </c>
      <c r="AY10" s="56">
        <f t="shared" si="5"/>
        <v>6</v>
      </c>
      <c r="AZ10" s="56">
        <f t="shared" si="5"/>
        <v>46</v>
      </c>
      <c r="BA10" s="56">
        <f t="shared" si="5"/>
        <v>38</v>
      </c>
      <c r="BB10" s="56">
        <f t="shared" si="5"/>
        <v>8</v>
      </c>
      <c r="BC10" s="56">
        <f t="shared" si="5"/>
        <v>46</v>
      </c>
      <c r="BD10" s="56">
        <f t="shared" si="5"/>
        <v>2</v>
      </c>
      <c r="BE10" s="56">
        <f t="shared" si="5"/>
        <v>2</v>
      </c>
      <c r="BF10" s="56">
        <f t="shared" si="5"/>
        <v>2</v>
      </c>
      <c r="BG10" s="56">
        <f t="shared" si="5"/>
        <v>12</v>
      </c>
      <c r="BH10" s="56">
        <f t="shared" si="5"/>
        <v>18</v>
      </c>
      <c r="BI10" s="56">
        <f t="shared" si="5"/>
        <v>17</v>
      </c>
      <c r="BJ10" s="56">
        <f t="shared" si="5"/>
        <v>13</v>
      </c>
      <c r="BK10" s="56">
        <f t="shared" si="5"/>
        <v>11</v>
      </c>
      <c r="BL10" s="56">
        <f t="shared" si="5"/>
        <v>0</v>
      </c>
      <c r="BM10" s="56">
        <f t="shared" si="5"/>
        <v>125</v>
      </c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</row>
    <row r="11" spans="1:249" ht="30" customHeight="1">
      <c r="A11" s="52">
        <v>1</v>
      </c>
      <c r="B11" s="52" t="s">
        <v>680</v>
      </c>
      <c r="C11" s="52" t="s">
        <v>681</v>
      </c>
      <c r="D11" s="52" t="s">
        <v>682</v>
      </c>
      <c r="E11" s="53" t="s">
        <v>683</v>
      </c>
      <c r="F11" s="53" t="s">
        <v>659</v>
      </c>
      <c r="G11" s="53" t="s">
        <v>651</v>
      </c>
      <c r="H11" s="53">
        <v>108</v>
      </c>
      <c r="I11" s="53" t="s">
        <v>684</v>
      </c>
      <c r="J11" s="53">
        <v>2018</v>
      </c>
      <c r="K11" s="65">
        <v>4.2889999999999997</v>
      </c>
      <c r="L11" s="65"/>
      <c r="N11" s="65">
        <v>11.516</v>
      </c>
      <c r="O11" s="53" t="s">
        <v>652</v>
      </c>
      <c r="P11" s="53">
        <v>52</v>
      </c>
      <c r="Q11" s="53" t="s">
        <v>653</v>
      </c>
      <c r="R11" s="53" t="s">
        <v>654</v>
      </c>
      <c r="S11" s="53" t="s">
        <v>654</v>
      </c>
      <c r="T11" s="53">
        <v>11</v>
      </c>
      <c r="U11" s="53" t="s">
        <v>655</v>
      </c>
      <c r="V11" s="53" t="s">
        <v>685</v>
      </c>
      <c r="W11" s="53">
        <v>1</v>
      </c>
      <c r="X11" s="53"/>
      <c r="Y11" s="53">
        <v>1</v>
      </c>
      <c r="Z11" s="53">
        <v>1</v>
      </c>
      <c r="AA11" s="53">
        <f t="shared" ref="AA11:AA25" si="6">AX11+AY11+BA11+BB11</f>
        <v>13</v>
      </c>
      <c r="AB11" s="53">
        <v>4</v>
      </c>
      <c r="AC11" s="53"/>
      <c r="AD11" s="53">
        <v>4</v>
      </c>
      <c r="AE11" s="53">
        <v>3</v>
      </c>
      <c r="AF11" s="53">
        <v>0</v>
      </c>
      <c r="AG11" s="53">
        <v>3</v>
      </c>
      <c r="AH11" s="53">
        <v>0</v>
      </c>
      <c r="AI11" s="53"/>
      <c r="AJ11" s="53"/>
      <c r="AK11" s="53">
        <v>2</v>
      </c>
      <c r="AL11" s="53"/>
      <c r="AM11" s="53"/>
      <c r="AN11" s="53"/>
      <c r="AO11" s="53"/>
      <c r="AP11" s="53">
        <v>2</v>
      </c>
      <c r="AQ11" s="53">
        <v>2</v>
      </c>
      <c r="AR11" s="53">
        <v>1</v>
      </c>
      <c r="AS11" s="53">
        <v>13</v>
      </c>
      <c r="AT11" s="53">
        <v>1</v>
      </c>
      <c r="AU11" s="53">
        <v>1</v>
      </c>
      <c r="AV11" s="53">
        <v>4</v>
      </c>
      <c r="AW11" s="53"/>
      <c r="AX11" s="53">
        <v>5</v>
      </c>
      <c r="AY11" s="53">
        <v>1</v>
      </c>
      <c r="AZ11" s="53">
        <f t="shared" ref="AZ11:AZ35" si="7">SUM(AV11:AY11)</f>
        <v>10</v>
      </c>
      <c r="BA11" s="53">
        <v>6</v>
      </c>
      <c r="BB11" s="53">
        <v>1</v>
      </c>
      <c r="BC11" s="53">
        <f t="shared" ref="BC11:BC35" si="8">SUM(BA11:BB11)</f>
        <v>7</v>
      </c>
      <c r="BD11" s="53">
        <v>1</v>
      </c>
      <c r="BE11" s="53">
        <v>1</v>
      </c>
      <c r="BF11" s="53"/>
      <c r="BG11" s="53">
        <v>2</v>
      </c>
      <c r="BH11" s="53">
        <f t="shared" ref="BH11:BH27" si="9">SUM(BD11:BG11)</f>
        <v>4</v>
      </c>
      <c r="BI11" s="53">
        <v>4</v>
      </c>
      <c r="BJ11" s="53">
        <v>1</v>
      </c>
      <c r="BK11" s="53">
        <v>2</v>
      </c>
      <c r="BL11" s="53"/>
      <c r="BM11" s="53">
        <f t="shared" ref="BM11:BM28" si="10">SUM(AZ11,BC11,BH11:BL11)</f>
        <v>28</v>
      </c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</row>
    <row r="12" spans="1:249" ht="30" customHeight="1">
      <c r="A12" s="52">
        <v>2</v>
      </c>
      <c r="B12" s="52" t="s">
        <v>686</v>
      </c>
      <c r="C12" s="52" t="s">
        <v>68</v>
      </c>
      <c r="D12" s="52" t="s">
        <v>682</v>
      </c>
      <c r="E12" s="53" t="s">
        <v>687</v>
      </c>
      <c r="F12" s="53" t="s">
        <v>659</v>
      </c>
      <c r="G12" s="53" t="s">
        <v>651</v>
      </c>
      <c r="H12" s="53">
        <v>120</v>
      </c>
      <c r="I12" s="53" t="s">
        <v>688</v>
      </c>
      <c r="J12" s="53">
        <v>2018</v>
      </c>
      <c r="K12" s="65">
        <v>13</v>
      </c>
      <c r="L12" s="65"/>
      <c r="M12" s="65"/>
      <c r="N12" s="65">
        <v>8.5879999999999992</v>
      </c>
      <c r="O12" s="53" t="s">
        <v>652</v>
      </c>
      <c r="P12" s="53">
        <v>14</v>
      </c>
      <c r="Q12" s="53" t="s">
        <v>653</v>
      </c>
      <c r="R12" s="53" t="s">
        <v>654</v>
      </c>
      <c r="S12" s="53" t="s">
        <v>654</v>
      </c>
      <c r="T12" s="53">
        <v>12</v>
      </c>
      <c r="U12" s="53" t="s">
        <v>655</v>
      </c>
      <c r="V12" s="53" t="s">
        <v>656</v>
      </c>
      <c r="W12" s="53">
        <v>1</v>
      </c>
      <c r="X12" s="53">
        <v>2</v>
      </c>
      <c r="Y12" s="53">
        <v>1</v>
      </c>
      <c r="Z12" s="53">
        <v>1</v>
      </c>
      <c r="AA12" s="53">
        <v>16</v>
      </c>
      <c r="AB12" s="53">
        <v>3</v>
      </c>
      <c r="AC12" s="53"/>
      <c r="AD12" s="53">
        <v>3</v>
      </c>
      <c r="AE12" s="53">
        <v>3</v>
      </c>
      <c r="AF12" s="53"/>
      <c r="AG12" s="53">
        <v>3</v>
      </c>
      <c r="AH12" s="53"/>
      <c r="AI12" s="53"/>
      <c r="AJ12" s="53"/>
      <c r="AK12" s="53">
        <v>1</v>
      </c>
      <c r="AL12" s="53"/>
      <c r="AM12" s="53"/>
      <c r="AN12" s="53"/>
      <c r="AO12" s="53"/>
      <c r="AP12" s="53">
        <v>2</v>
      </c>
      <c r="AQ12" s="53">
        <v>2</v>
      </c>
      <c r="AR12" s="53">
        <v>0</v>
      </c>
      <c r="AS12" s="53"/>
      <c r="AT12" s="53"/>
      <c r="AU12" s="53">
        <v>1</v>
      </c>
      <c r="AV12" s="53">
        <v>7</v>
      </c>
      <c r="AW12" s="53"/>
      <c r="AX12" s="53">
        <v>5</v>
      </c>
      <c r="AY12" s="53">
        <v>1</v>
      </c>
      <c r="AZ12" s="53">
        <f t="shared" si="7"/>
        <v>13</v>
      </c>
      <c r="BA12" s="53">
        <v>11</v>
      </c>
      <c r="BB12" s="53">
        <v>1</v>
      </c>
      <c r="BC12" s="53">
        <f t="shared" si="8"/>
        <v>12</v>
      </c>
      <c r="BD12" s="53">
        <v>1</v>
      </c>
      <c r="BE12" s="53">
        <v>1</v>
      </c>
      <c r="BF12" s="53">
        <v>0</v>
      </c>
      <c r="BG12" s="53">
        <v>1</v>
      </c>
      <c r="BH12" s="53">
        <f t="shared" si="9"/>
        <v>3</v>
      </c>
      <c r="BI12" s="53">
        <v>7</v>
      </c>
      <c r="BJ12" s="53">
        <v>1</v>
      </c>
      <c r="BK12" s="53">
        <v>2</v>
      </c>
      <c r="BL12" s="53">
        <v>1</v>
      </c>
      <c r="BM12" s="53">
        <f t="shared" si="10"/>
        <v>39</v>
      </c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</row>
    <row r="13" spans="1:249" s="45" customFormat="1" ht="30" customHeight="1">
      <c r="A13" s="55" t="s">
        <v>325</v>
      </c>
      <c r="B13" s="55"/>
      <c r="C13" s="55">
        <f>A12</f>
        <v>2</v>
      </c>
      <c r="D13" s="55"/>
      <c r="E13" s="56"/>
      <c r="F13" s="56"/>
      <c r="G13" s="56"/>
      <c r="H13" s="56"/>
      <c r="I13" s="56"/>
      <c r="J13" s="56"/>
      <c r="K13" s="67"/>
      <c r="L13" s="67"/>
      <c r="M13" s="67"/>
      <c r="N13" s="67"/>
      <c r="O13" s="56"/>
      <c r="P13" s="56"/>
      <c r="Q13" s="56"/>
      <c r="R13" s="56"/>
      <c r="S13" s="56"/>
      <c r="T13" s="56"/>
      <c r="U13" s="56"/>
      <c r="V13" s="56"/>
      <c r="W13" s="56">
        <f t="shared" ref="W13:BM13" si="11">SUM(W11:W12)</f>
        <v>2</v>
      </c>
      <c r="X13" s="56">
        <f t="shared" si="11"/>
        <v>2</v>
      </c>
      <c r="Y13" s="56">
        <f t="shared" si="11"/>
        <v>2</v>
      </c>
      <c r="Z13" s="56">
        <f t="shared" si="11"/>
        <v>2</v>
      </c>
      <c r="AA13" s="56">
        <f t="shared" si="11"/>
        <v>29</v>
      </c>
      <c r="AB13" s="56">
        <f t="shared" si="11"/>
        <v>7</v>
      </c>
      <c r="AC13" s="56">
        <f t="shared" si="11"/>
        <v>0</v>
      </c>
      <c r="AD13" s="56">
        <f t="shared" si="11"/>
        <v>7</v>
      </c>
      <c r="AE13" s="56">
        <f t="shared" si="11"/>
        <v>6</v>
      </c>
      <c r="AF13" s="56">
        <f t="shared" si="11"/>
        <v>0</v>
      </c>
      <c r="AG13" s="56">
        <f t="shared" si="11"/>
        <v>6</v>
      </c>
      <c r="AH13" s="56">
        <f t="shared" si="11"/>
        <v>0</v>
      </c>
      <c r="AI13" s="56">
        <f t="shared" si="11"/>
        <v>0</v>
      </c>
      <c r="AJ13" s="56">
        <f t="shared" si="11"/>
        <v>0</v>
      </c>
      <c r="AK13" s="56">
        <f t="shared" si="11"/>
        <v>3</v>
      </c>
      <c r="AL13" s="56">
        <f t="shared" si="11"/>
        <v>0</v>
      </c>
      <c r="AM13" s="56">
        <f t="shared" si="11"/>
        <v>0</v>
      </c>
      <c r="AN13" s="56">
        <f t="shared" si="11"/>
        <v>0</v>
      </c>
      <c r="AO13" s="56">
        <f t="shared" si="11"/>
        <v>0</v>
      </c>
      <c r="AP13" s="56">
        <f t="shared" si="11"/>
        <v>4</v>
      </c>
      <c r="AQ13" s="56">
        <f t="shared" si="11"/>
        <v>4</v>
      </c>
      <c r="AR13" s="56">
        <f t="shared" si="11"/>
        <v>1</v>
      </c>
      <c r="AS13" s="56">
        <f t="shared" si="11"/>
        <v>13</v>
      </c>
      <c r="AT13" s="56">
        <f t="shared" si="11"/>
        <v>1</v>
      </c>
      <c r="AU13" s="56">
        <f t="shared" si="11"/>
        <v>2</v>
      </c>
      <c r="AV13" s="56">
        <f t="shared" si="11"/>
        <v>11</v>
      </c>
      <c r="AW13" s="56">
        <f t="shared" si="11"/>
        <v>0</v>
      </c>
      <c r="AX13" s="56">
        <f t="shared" si="11"/>
        <v>10</v>
      </c>
      <c r="AY13" s="56">
        <f t="shared" si="11"/>
        <v>2</v>
      </c>
      <c r="AZ13" s="56">
        <f t="shared" si="11"/>
        <v>23</v>
      </c>
      <c r="BA13" s="56">
        <f t="shared" si="11"/>
        <v>17</v>
      </c>
      <c r="BB13" s="56">
        <f t="shared" si="11"/>
        <v>2</v>
      </c>
      <c r="BC13" s="56">
        <f t="shared" si="11"/>
        <v>19</v>
      </c>
      <c r="BD13" s="56">
        <f t="shared" si="11"/>
        <v>2</v>
      </c>
      <c r="BE13" s="56">
        <f t="shared" si="11"/>
        <v>2</v>
      </c>
      <c r="BF13" s="56">
        <f t="shared" si="11"/>
        <v>0</v>
      </c>
      <c r="BG13" s="56">
        <f t="shared" si="11"/>
        <v>3</v>
      </c>
      <c r="BH13" s="56">
        <f t="shared" si="11"/>
        <v>7</v>
      </c>
      <c r="BI13" s="56">
        <f t="shared" si="11"/>
        <v>11</v>
      </c>
      <c r="BJ13" s="56">
        <f t="shared" si="11"/>
        <v>2</v>
      </c>
      <c r="BK13" s="56">
        <f t="shared" si="11"/>
        <v>4</v>
      </c>
      <c r="BL13" s="56">
        <f t="shared" si="11"/>
        <v>1</v>
      </c>
      <c r="BM13" s="56">
        <f t="shared" si="11"/>
        <v>67</v>
      </c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</row>
    <row r="14" spans="1:249" ht="30" customHeight="1">
      <c r="A14" s="52">
        <v>1</v>
      </c>
      <c r="B14" s="52" t="s">
        <v>689</v>
      </c>
      <c r="C14" s="52" t="s">
        <v>143</v>
      </c>
      <c r="D14" s="52" t="s">
        <v>690</v>
      </c>
      <c r="E14" s="53" t="s">
        <v>691</v>
      </c>
      <c r="F14" s="53" t="s">
        <v>650</v>
      </c>
      <c r="G14" s="53" t="s">
        <v>692</v>
      </c>
      <c r="H14" s="53">
        <v>40</v>
      </c>
      <c r="I14" s="53" t="s">
        <v>693</v>
      </c>
      <c r="J14" s="53">
        <v>2017</v>
      </c>
      <c r="K14" s="65">
        <v>2.8860000000000001</v>
      </c>
      <c r="L14" s="65"/>
      <c r="M14" s="65"/>
      <c r="N14" s="65">
        <v>3.375</v>
      </c>
      <c r="O14" s="53" t="s">
        <v>652</v>
      </c>
      <c r="P14" s="53">
        <v>34</v>
      </c>
      <c r="Q14" s="53" t="s">
        <v>653</v>
      </c>
      <c r="R14" s="53" t="s">
        <v>654</v>
      </c>
      <c r="S14" s="53" t="s">
        <v>654</v>
      </c>
      <c r="T14" s="53">
        <v>25</v>
      </c>
      <c r="U14" s="53" t="s">
        <v>694</v>
      </c>
      <c r="V14" s="53" t="s">
        <v>656</v>
      </c>
      <c r="W14" s="53">
        <v>1</v>
      </c>
      <c r="X14" s="53">
        <v>1</v>
      </c>
      <c r="Y14" s="53">
        <v>1</v>
      </c>
      <c r="Z14" s="53">
        <v>1</v>
      </c>
      <c r="AA14" s="53">
        <f t="shared" si="6"/>
        <v>7</v>
      </c>
      <c r="AB14" s="53">
        <v>3</v>
      </c>
      <c r="AC14" s="53"/>
      <c r="AD14" s="53">
        <v>2</v>
      </c>
      <c r="AE14" s="53">
        <v>2</v>
      </c>
      <c r="AF14" s="53"/>
      <c r="AG14" s="53">
        <v>3</v>
      </c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>
        <v>3</v>
      </c>
      <c r="AW14" s="53"/>
      <c r="AX14" s="53">
        <v>1</v>
      </c>
      <c r="AY14" s="53">
        <v>1</v>
      </c>
      <c r="AZ14" s="53">
        <f t="shared" si="7"/>
        <v>5</v>
      </c>
      <c r="BA14" s="53">
        <v>4</v>
      </c>
      <c r="BB14" s="53">
        <v>1</v>
      </c>
      <c r="BC14" s="53">
        <f t="shared" si="8"/>
        <v>5</v>
      </c>
      <c r="BD14" s="53"/>
      <c r="BE14" s="53"/>
      <c r="BF14" s="53"/>
      <c r="BG14" s="53">
        <v>1</v>
      </c>
      <c r="BH14" s="53">
        <f t="shared" si="9"/>
        <v>1</v>
      </c>
      <c r="BI14" s="53">
        <v>3</v>
      </c>
      <c r="BJ14" s="53">
        <v>2</v>
      </c>
      <c r="BK14" s="53">
        <v>2</v>
      </c>
      <c r="BL14" s="53"/>
      <c r="BM14" s="53">
        <f t="shared" si="10"/>
        <v>18</v>
      </c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</row>
    <row r="15" spans="1:249" ht="30" customHeight="1">
      <c r="A15" s="52">
        <v>2</v>
      </c>
      <c r="B15" s="52" t="s">
        <v>695</v>
      </c>
      <c r="C15" s="52" t="s">
        <v>696</v>
      </c>
      <c r="D15" s="52" t="s">
        <v>690</v>
      </c>
      <c r="E15" s="53" t="s">
        <v>697</v>
      </c>
      <c r="F15" s="53" t="s">
        <v>659</v>
      </c>
      <c r="G15" s="53" t="s">
        <v>651</v>
      </c>
      <c r="H15" s="53">
        <v>80</v>
      </c>
      <c r="I15" s="53" t="s">
        <v>669</v>
      </c>
      <c r="J15" s="53">
        <v>2017</v>
      </c>
      <c r="K15" s="65">
        <v>3.9889999999999999</v>
      </c>
      <c r="L15" s="65"/>
      <c r="M15" s="65"/>
      <c r="N15" s="65"/>
      <c r="O15" s="53" t="s">
        <v>652</v>
      </c>
      <c r="P15" s="53">
        <v>14</v>
      </c>
      <c r="Q15" s="53" t="s">
        <v>653</v>
      </c>
      <c r="R15" s="53" t="s">
        <v>654</v>
      </c>
      <c r="S15" s="53" t="s">
        <v>654</v>
      </c>
      <c r="T15" s="53">
        <v>8</v>
      </c>
      <c r="U15" s="53" t="s">
        <v>694</v>
      </c>
      <c r="V15" s="53" t="s">
        <v>656</v>
      </c>
      <c r="W15" s="53">
        <v>1</v>
      </c>
      <c r="X15" s="53"/>
      <c r="Y15" s="53">
        <v>1</v>
      </c>
      <c r="Z15" s="53">
        <v>1</v>
      </c>
      <c r="AA15" s="53">
        <f t="shared" si="6"/>
        <v>9</v>
      </c>
      <c r="AB15" s="53">
        <v>2</v>
      </c>
      <c r="AC15" s="53"/>
      <c r="AD15" s="53">
        <v>2</v>
      </c>
      <c r="AE15" s="53">
        <v>2</v>
      </c>
      <c r="AF15" s="53"/>
      <c r="AG15" s="53">
        <v>2</v>
      </c>
      <c r="AH15" s="53"/>
      <c r="AI15" s="53"/>
      <c r="AJ15" s="53"/>
      <c r="AK15" s="53">
        <v>1</v>
      </c>
      <c r="AL15" s="53">
        <v>1</v>
      </c>
      <c r="AM15" s="53"/>
      <c r="AN15" s="53"/>
      <c r="AO15" s="53"/>
      <c r="AP15" s="53">
        <v>1</v>
      </c>
      <c r="AQ15" s="53">
        <v>2</v>
      </c>
      <c r="AR15" s="53"/>
      <c r="AS15" s="53"/>
      <c r="AT15" s="53"/>
      <c r="AU15" s="53"/>
      <c r="AV15" s="53">
        <v>3</v>
      </c>
      <c r="AW15" s="53"/>
      <c r="AX15" s="53">
        <v>2</v>
      </c>
      <c r="AY15" s="53">
        <v>1</v>
      </c>
      <c r="AZ15" s="53">
        <f t="shared" si="7"/>
        <v>6</v>
      </c>
      <c r="BA15" s="53">
        <v>5</v>
      </c>
      <c r="BB15" s="53">
        <v>1</v>
      </c>
      <c r="BC15" s="53">
        <f t="shared" si="8"/>
        <v>6</v>
      </c>
      <c r="BD15" s="53"/>
      <c r="BE15" s="53"/>
      <c r="BF15" s="53"/>
      <c r="BG15" s="53"/>
      <c r="BH15" s="53">
        <f t="shared" si="9"/>
        <v>0</v>
      </c>
      <c r="BI15" s="53">
        <v>2</v>
      </c>
      <c r="BJ15" s="53">
        <v>0</v>
      </c>
      <c r="BK15" s="53">
        <v>2</v>
      </c>
      <c r="BL15" s="53"/>
      <c r="BM15" s="53">
        <f t="shared" si="10"/>
        <v>16</v>
      </c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</row>
    <row r="16" spans="1:249" ht="30" customHeight="1">
      <c r="A16" s="52">
        <v>3</v>
      </c>
      <c r="B16" s="52" t="s">
        <v>698</v>
      </c>
      <c r="C16" s="52" t="s">
        <v>699</v>
      </c>
      <c r="D16" s="52" t="s">
        <v>690</v>
      </c>
      <c r="E16" s="53" t="s">
        <v>700</v>
      </c>
      <c r="F16" s="53" t="s">
        <v>664</v>
      </c>
      <c r="G16" s="53" t="s">
        <v>651</v>
      </c>
      <c r="H16" s="53">
        <v>50</v>
      </c>
      <c r="I16" s="53" t="s">
        <v>701</v>
      </c>
      <c r="J16" s="53">
        <v>2017</v>
      </c>
      <c r="K16" s="65">
        <v>3.919</v>
      </c>
      <c r="L16" s="65"/>
      <c r="M16" s="65"/>
      <c r="N16" s="65"/>
      <c r="O16" s="53" t="s">
        <v>652</v>
      </c>
      <c r="P16" s="53">
        <v>8</v>
      </c>
      <c r="Q16" s="53" t="s">
        <v>653</v>
      </c>
      <c r="R16" s="53" t="s">
        <v>654</v>
      </c>
      <c r="S16" s="53" t="s">
        <v>654</v>
      </c>
      <c r="T16" s="53">
        <v>6</v>
      </c>
      <c r="U16" s="53" t="s">
        <v>655</v>
      </c>
      <c r="V16" s="53" t="s">
        <v>656</v>
      </c>
      <c r="W16" s="53">
        <v>1</v>
      </c>
      <c r="X16" s="53"/>
      <c r="Y16" s="53">
        <v>1</v>
      </c>
      <c r="Z16" s="53">
        <v>1</v>
      </c>
      <c r="AA16" s="53">
        <f t="shared" si="6"/>
        <v>8</v>
      </c>
      <c r="AB16" s="53">
        <v>2</v>
      </c>
      <c r="AC16" s="53"/>
      <c r="AD16" s="53">
        <v>2</v>
      </c>
      <c r="AE16" s="53">
        <v>2</v>
      </c>
      <c r="AF16" s="53"/>
      <c r="AG16" s="53">
        <v>2</v>
      </c>
      <c r="AH16" s="53"/>
      <c r="AI16" s="53"/>
      <c r="AJ16" s="53"/>
      <c r="AK16" s="53">
        <v>1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>
        <v>3</v>
      </c>
      <c r="AW16" s="53"/>
      <c r="AX16" s="53">
        <v>2</v>
      </c>
      <c r="AY16" s="53">
        <v>2</v>
      </c>
      <c r="AZ16" s="53">
        <f t="shared" si="7"/>
        <v>7</v>
      </c>
      <c r="BA16" s="53">
        <v>2</v>
      </c>
      <c r="BB16" s="53">
        <v>2</v>
      </c>
      <c r="BC16" s="53">
        <f t="shared" si="8"/>
        <v>4</v>
      </c>
      <c r="BD16" s="53"/>
      <c r="BE16" s="53"/>
      <c r="BF16" s="53"/>
      <c r="BG16" s="53"/>
      <c r="BH16" s="53">
        <f t="shared" si="9"/>
        <v>0</v>
      </c>
      <c r="BI16" s="53">
        <v>2</v>
      </c>
      <c r="BJ16" s="53"/>
      <c r="BK16" s="53">
        <v>2</v>
      </c>
      <c r="BL16" s="53"/>
      <c r="BM16" s="53">
        <f t="shared" si="10"/>
        <v>15</v>
      </c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</row>
    <row r="17" spans="1:249" ht="30" customHeight="1">
      <c r="A17" s="52">
        <v>4</v>
      </c>
      <c r="B17" s="52" t="s">
        <v>702</v>
      </c>
      <c r="C17" s="52" t="s">
        <v>61</v>
      </c>
      <c r="D17" s="52" t="s">
        <v>690</v>
      </c>
      <c r="E17" s="53" t="s">
        <v>703</v>
      </c>
      <c r="F17" s="53" t="s">
        <v>704</v>
      </c>
      <c r="G17" s="53" t="s">
        <v>651</v>
      </c>
      <c r="H17" s="53">
        <v>40</v>
      </c>
      <c r="I17" s="53" t="s">
        <v>705</v>
      </c>
      <c r="J17" s="53">
        <v>2018</v>
      </c>
      <c r="K17" s="65">
        <v>7.39</v>
      </c>
      <c r="L17" s="65"/>
      <c r="M17" s="65"/>
      <c r="N17" s="65"/>
      <c r="O17" s="53" t="s">
        <v>652</v>
      </c>
      <c r="P17" s="53">
        <v>5</v>
      </c>
      <c r="Q17" s="53" t="s">
        <v>653</v>
      </c>
      <c r="R17" s="53" t="s">
        <v>654</v>
      </c>
      <c r="S17" s="53" t="s">
        <v>654</v>
      </c>
      <c r="T17" s="53">
        <v>10</v>
      </c>
      <c r="U17" s="53" t="s">
        <v>694</v>
      </c>
      <c r="V17" s="53" t="s">
        <v>656</v>
      </c>
      <c r="W17" s="53">
        <v>1</v>
      </c>
      <c r="X17" s="53"/>
      <c r="Y17" s="53">
        <v>1</v>
      </c>
      <c r="Z17" s="53">
        <v>1</v>
      </c>
      <c r="AA17" s="53">
        <f t="shared" si="6"/>
        <v>6</v>
      </c>
      <c r="AB17" s="53">
        <v>2</v>
      </c>
      <c r="AC17" s="53"/>
      <c r="AD17" s="53">
        <v>2</v>
      </c>
      <c r="AE17" s="53">
        <v>2</v>
      </c>
      <c r="AF17" s="53"/>
      <c r="AG17" s="53">
        <v>2</v>
      </c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>
        <v>2</v>
      </c>
      <c r="AW17" s="53"/>
      <c r="AX17" s="53">
        <v>1</v>
      </c>
      <c r="AY17" s="53">
        <v>1</v>
      </c>
      <c r="AZ17" s="53">
        <f t="shared" si="7"/>
        <v>4</v>
      </c>
      <c r="BA17" s="53">
        <v>4</v>
      </c>
      <c r="BB17" s="53">
        <v>0</v>
      </c>
      <c r="BC17" s="53">
        <f t="shared" si="8"/>
        <v>4</v>
      </c>
      <c r="BD17" s="53"/>
      <c r="BE17" s="53"/>
      <c r="BF17" s="53"/>
      <c r="BG17" s="53"/>
      <c r="BH17" s="53">
        <f t="shared" si="9"/>
        <v>0</v>
      </c>
      <c r="BI17" s="53">
        <v>2</v>
      </c>
      <c r="BJ17" s="53"/>
      <c r="BK17" s="53">
        <v>1</v>
      </c>
      <c r="BL17" s="53"/>
      <c r="BM17" s="53">
        <f t="shared" si="10"/>
        <v>11</v>
      </c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</row>
    <row r="18" spans="1:249" ht="30" customHeight="1">
      <c r="A18" s="52">
        <v>5</v>
      </c>
      <c r="B18" s="52" t="s">
        <v>706</v>
      </c>
      <c r="C18" s="52" t="s">
        <v>707</v>
      </c>
      <c r="D18" s="52" t="s">
        <v>690</v>
      </c>
      <c r="E18" s="53" t="s">
        <v>708</v>
      </c>
      <c r="F18" s="53" t="s">
        <v>709</v>
      </c>
      <c r="G18" s="53" t="s">
        <v>651</v>
      </c>
      <c r="H18" s="53">
        <v>60</v>
      </c>
      <c r="I18" s="53" t="s">
        <v>710</v>
      </c>
      <c r="J18" s="53">
        <v>2017</v>
      </c>
      <c r="K18" s="65">
        <v>3.5830000000000002</v>
      </c>
      <c r="L18" s="65"/>
      <c r="M18" s="65">
        <v>4.0350000000000001</v>
      </c>
      <c r="N18" s="65">
        <v>0</v>
      </c>
      <c r="O18" s="53" t="s">
        <v>652</v>
      </c>
      <c r="P18" s="53">
        <v>17</v>
      </c>
      <c r="Q18" s="53" t="s">
        <v>653</v>
      </c>
      <c r="R18" s="53" t="s">
        <v>654</v>
      </c>
      <c r="S18" s="53" t="s">
        <v>654</v>
      </c>
      <c r="T18" s="53">
        <v>13</v>
      </c>
      <c r="U18" s="53" t="s">
        <v>694</v>
      </c>
      <c r="V18" s="53" t="s">
        <v>656</v>
      </c>
      <c r="W18" s="53">
        <v>1</v>
      </c>
      <c r="X18" s="53"/>
      <c r="Y18" s="53">
        <v>1</v>
      </c>
      <c r="Z18" s="53">
        <v>1</v>
      </c>
      <c r="AA18" s="53">
        <f t="shared" si="6"/>
        <v>10</v>
      </c>
      <c r="AB18" s="53">
        <v>6</v>
      </c>
      <c r="AC18" s="53"/>
      <c r="AD18" s="53">
        <v>2</v>
      </c>
      <c r="AE18" s="53">
        <v>2</v>
      </c>
      <c r="AF18" s="53"/>
      <c r="AG18" s="53">
        <v>2</v>
      </c>
      <c r="AH18" s="53">
        <f>BG18-1</f>
        <v>1</v>
      </c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>
        <v>2</v>
      </c>
      <c r="AW18" s="53"/>
      <c r="AX18" s="53">
        <v>2</v>
      </c>
      <c r="AY18" s="53">
        <v>1</v>
      </c>
      <c r="AZ18" s="53">
        <f t="shared" si="7"/>
        <v>5</v>
      </c>
      <c r="BA18" s="53">
        <v>5</v>
      </c>
      <c r="BB18" s="53">
        <v>2</v>
      </c>
      <c r="BC18" s="53">
        <f t="shared" si="8"/>
        <v>7</v>
      </c>
      <c r="BD18" s="53"/>
      <c r="BE18" s="53"/>
      <c r="BF18" s="53"/>
      <c r="BG18" s="53">
        <v>2</v>
      </c>
      <c r="BH18" s="53">
        <f t="shared" si="9"/>
        <v>2</v>
      </c>
      <c r="BI18" s="53">
        <v>3</v>
      </c>
      <c r="BJ18" s="53">
        <v>3</v>
      </c>
      <c r="BK18" s="53">
        <v>2</v>
      </c>
      <c r="BL18" s="53"/>
      <c r="BM18" s="53">
        <f t="shared" si="10"/>
        <v>22</v>
      </c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</row>
    <row r="19" spans="1:249" ht="30" customHeight="1">
      <c r="A19" s="52">
        <v>6</v>
      </c>
      <c r="B19" s="52" t="s">
        <v>711</v>
      </c>
      <c r="C19" s="52" t="s">
        <v>712</v>
      </c>
      <c r="D19" s="52" t="s">
        <v>690</v>
      </c>
      <c r="E19" s="57" t="s">
        <v>713</v>
      </c>
      <c r="F19" s="52" t="s">
        <v>709</v>
      </c>
      <c r="G19" s="53" t="s">
        <v>651</v>
      </c>
      <c r="H19" s="52">
        <v>39.39</v>
      </c>
      <c r="I19" s="52" t="s">
        <v>669</v>
      </c>
      <c r="J19" s="68"/>
      <c r="K19" s="65">
        <v>6.0789999999999997</v>
      </c>
      <c r="L19" s="65"/>
      <c r="M19" s="65"/>
      <c r="N19" s="65">
        <v>5.5030000000000001</v>
      </c>
      <c r="O19" s="52" t="s">
        <v>652</v>
      </c>
      <c r="P19" s="52">
        <v>14</v>
      </c>
      <c r="Q19" s="52" t="s">
        <v>653</v>
      </c>
      <c r="R19" s="52" t="s">
        <v>654</v>
      </c>
      <c r="S19" s="52" t="s">
        <v>654</v>
      </c>
      <c r="T19" s="53">
        <v>9</v>
      </c>
      <c r="U19" s="52" t="s">
        <v>694</v>
      </c>
      <c r="V19" s="52" t="s">
        <v>656</v>
      </c>
      <c r="W19" s="68">
        <v>1</v>
      </c>
      <c r="X19" s="68"/>
      <c r="Y19" s="52">
        <v>1</v>
      </c>
      <c r="Z19" s="53">
        <v>1</v>
      </c>
      <c r="AA19" s="52">
        <f t="shared" si="6"/>
        <v>7</v>
      </c>
      <c r="AB19" s="53">
        <v>3</v>
      </c>
      <c r="AC19" s="53"/>
      <c r="AD19" s="53">
        <v>3</v>
      </c>
      <c r="AE19" s="53">
        <v>3</v>
      </c>
      <c r="AF19" s="53"/>
      <c r="AG19" s="53">
        <v>3</v>
      </c>
      <c r="AH19" s="52">
        <f>BG19-1</f>
        <v>1</v>
      </c>
      <c r="AI19" s="68"/>
      <c r="AJ19" s="68"/>
      <c r="AK19" s="53">
        <v>1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53">
        <v>2</v>
      </c>
      <c r="AW19" s="53"/>
      <c r="AX19" s="53">
        <v>2</v>
      </c>
      <c r="AY19" s="53">
        <v>1</v>
      </c>
      <c r="AZ19" s="53">
        <f t="shared" si="7"/>
        <v>5</v>
      </c>
      <c r="BA19" s="53">
        <v>3</v>
      </c>
      <c r="BB19" s="53">
        <v>1</v>
      </c>
      <c r="BC19" s="53">
        <f t="shared" si="8"/>
        <v>4</v>
      </c>
      <c r="BD19" s="53">
        <v>2</v>
      </c>
      <c r="BE19" s="53"/>
      <c r="BF19" s="53"/>
      <c r="BG19" s="53">
        <v>2</v>
      </c>
      <c r="BH19" s="53">
        <f t="shared" si="9"/>
        <v>4</v>
      </c>
      <c r="BI19" s="52">
        <v>3</v>
      </c>
      <c r="BJ19" s="52"/>
      <c r="BK19" s="52">
        <v>1</v>
      </c>
      <c r="BL19" s="52">
        <v>1</v>
      </c>
      <c r="BM19" s="53">
        <f t="shared" si="10"/>
        <v>18</v>
      </c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</row>
    <row r="20" spans="1:249" ht="30" customHeight="1">
      <c r="A20" s="52">
        <v>7</v>
      </c>
      <c r="B20" s="52" t="s">
        <v>714</v>
      </c>
      <c r="C20" s="52" t="s">
        <v>715</v>
      </c>
      <c r="D20" s="52" t="s">
        <v>690</v>
      </c>
      <c r="E20" s="53" t="s">
        <v>716</v>
      </c>
      <c r="F20" s="53" t="s">
        <v>709</v>
      </c>
      <c r="G20" s="53" t="s">
        <v>651</v>
      </c>
      <c r="H20" s="53">
        <v>46</v>
      </c>
      <c r="I20" s="53" t="s">
        <v>717</v>
      </c>
      <c r="J20" s="53">
        <v>2018</v>
      </c>
      <c r="K20" s="65">
        <v>3.5129999999999999</v>
      </c>
      <c r="L20" s="65">
        <v>0</v>
      </c>
      <c r="M20" s="65"/>
      <c r="N20" s="65"/>
      <c r="O20" s="53" t="s">
        <v>652</v>
      </c>
      <c r="P20" s="53">
        <v>20</v>
      </c>
      <c r="Q20" s="53" t="s">
        <v>653</v>
      </c>
      <c r="R20" s="53" t="s">
        <v>654</v>
      </c>
      <c r="S20" s="53" t="s">
        <v>654</v>
      </c>
      <c r="T20" s="53">
        <v>8</v>
      </c>
      <c r="U20" s="53" t="s">
        <v>694</v>
      </c>
      <c r="V20" s="53" t="s">
        <v>656</v>
      </c>
      <c r="W20" s="53">
        <v>1</v>
      </c>
      <c r="X20" s="53"/>
      <c r="Y20" s="53">
        <v>1</v>
      </c>
      <c r="Z20" s="53">
        <v>1</v>
      </c>
      <c r="AA20" s="53">
        <f t="shared" si="6"/>
        <v>9</v>
      </c>
      <c r="AB20" s="53">
        <v>2</v>
      </c>
      <c r="AC20" s="53"/>
      <c r="AD20" s="53">
        <v>3</v>
      </c>
      <c r="AE20" s="53">
        <v>2</v>
      </c>
      <c r="AF20" s="53"/>
      <c r="AG20" s="53">
        <v>2</v>
      </c>
      <c r="AH20" s="53"/>
      <c r="AI20" s="53"/>
      <c r="AJ20" s="53"/>
      <c r="AK20" s="53">
        <v>1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>
        <v>2</v>
      </c>
      <c r="AW20" s="53"/>
      <c r="AX20" s="53">
        <v>3</v>
      </c>
      <c r="AY20" s="53">
        <v>1</v>
      </c>
      <c r="AZ20" s="53">
        <f t="shared" si="7"/>
        <v>6</v>
      </c>
      <c r="BA20" s="53">
        <v>4</v>
      </c>
      <c r="BB20" s="53">
        <v>1</v>
      </c>
      <c r="BC20" s="53">
        <f t="shared" si="8"/>
        <v>5</v>
      </c>
      <c r="BD20" s="53"/>
      <c r="BE20" s="53"/>
      <c r="BF20" s="53"/>
      <c r="BG20" s="53"/>
      <c r="BH20" s="53">
        <f t="shared" si="9"/>
        <v>0</v>
      </c>
      <c r="BI20" s="53">
        <v>4</v>
      </c>
      <c r="BJ20" s="53">
        <v>2</v>
      </c>
      <c r="BK20" s="53">
        <v>1</v>
      </c>
      <c r="BL20" s="53">
        <v>1</v>
      </c>
      <c r="BM20" s="53">
        <f t="shared" si="10"/>
        <v>19</v>
      </c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</row>
    <row r="21" spans="1:249" ht="30" customHeight="1">
      <c r="A21" s="52">
        <v>8</v>
      </c>
      <c r="B21" s="52" t="s">
        <v>718</v>
      </c>
      <c r="C21" s="52" t="s">
        <v>719</v>
      </c>
      <c r="D21" s="52" t="s">
        <v>690</v>
      </c>
      <c r="E21" s="53" t="s">
        <v>720</v>
      </c>
      <c r="F21" s="53" t="s">
        <v>709</v>
      </c>
      <c r="G21" s="53" t="s">
        <v>651</v>
      </c>
      <c r="H21" s="53">
        <v>33.659999999999997</v>
      </c>
      <c r="I21" s="53" t="s">
        <v>721</v>
      </c>
      <c r="J21" s="53">
        <v>2018</v>
      </c>
      <c r="K21" s="65">
        <v>4.4649999999999999</v>
      </c>
      <c r="L21" s="65"/>
      <c r="M21" s="65"/>
      <c r="N21" s="65">
        <v>1.8009999999999999</v>
      </c>
      <c r="O21" s="53" t="s">
        <v>652</v>
      </c>
      <c r="P21" s="53">
        <v>22</v>
      </c>
      <c r="Q21" s="53" t="s">
        <v>653</v>
      </c>
      <c r="R21" s="53" t="s">
        <v>654</v>
      </c>
      <c r="S21" s="53" t="s">
        <v>654</v>
      </c>
      <c r="T21" s="53">
        <v>7</v>
      </c>
      <c r="U21" s="53" t="s">
        <v>694</v>
      </c>
      <c r="V21" s="53" t="s">
        <v>656</v>
      </c>
      <c r="W21" s="53">
        <v>1</v>
      </c>
      <c r="X21" s="53"/>
      <c r="Y21" s="53">
        <v>1</v>
      </c>
      <c r="Z21" s="53">
        <v>1</v>
      </c>
      <c r="AA21" s="53">
        <f t="shared" si="6"/>
        <v>8</v>
      </c>
      <c r="AB21" s="53">
        <v>2</v>
      </c>
      <c r="AC21" s="53"/>
      <c r="AD21" s="53">
        <v>1</v>
      </c>
      <c r="AE21" s="53">
        <v>2</v>
      </c>
      <c r="AF21" s="53"/>
      <c r="AG21" s="53">
        <v>2</v>
      </c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>
        <v>4</v>
      </c>
      <c r="AW21" s="53"/>
      <c r="AX21" s="53">
        <v>4</v>
      </c>
      <c r="AY21" s="53"/>
      <c r="AZ21" s="53">
        <f t="shared" si="7"/>
        <v>8</v>
      </c>
      <c r="BA21" s="53">
        <v>4</v>
      </c>
      <c r="BB21" s="53"/>
      <c r="BC21" s="53">
        <f t="shared" si="8"/>
        <v>4</v>
      </c>
      <c r="BD21" s="53"/>
      <c r="BE21" s="53"/>
      <c r="BF21" s="53"/>
      <c r="BG21" s="53">
        <v>1</v>
      </c>
      <c r="BH21" s="53">
        <f t="shared" si="9"/>
        <v>1</v>
      </c>
      <c r="BI21" s="53">
        <v>3</v>
      </c>
      <c r="BJ21" s="53"/>
      <c r="BK21" s="53">
        <v>2</v>
      </c>
      <c r="BL21" s="53"/>
      <c r="BM21" s="53">
        <f t="shared" si="10"/>
        <v>18</v>
      </c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</row>
    <row r="22" spans="1:249" ht="30" customHeight="1">
      <c r="A22" s="52">
        <v>9</v>
      </c>
      <c r="B22" s="52" t="s">
        <v>722</v>
      </c>
      <c r="C22" s="52" t="s">
        <v>723</v>
      </c>
      <c r="D22" s="52" t="s">
        <v>690</v>
      </c>
      <c r="E22" s="53" t="s">
        <v>724</v>
      </c>
      <c r="F22" s="53" t="s">
        <v>650</v>
      </c>
      <c r="G22" s="53" t="s">
        <v>651</v>
      </c>
      <c r="H22" s="53">
        <v>40</v>
      </c>
      <c r="I22" s="53" t="s">
        <v>678</v>
      </c>
      <c r="J22" s="53">
        <v>2018</v>
      </c>
      <c r="K22" s="65">
        <v>2.5459999999999998</v>
      </c>
      <c r="L22" s="65">
        <v>0</v>
      </c>
      <c r="M22" s="65"/>
      <c r="N22" s="65"/>
      <c r="O22" s="53" t="s">
        <v>652</v>
      </c>
      <c r="P22" s="53">
        <v>23</v>
      </c>
      <c r="Q22" s="53" t="s">
        <v>653</v>
      </c>
      <c r="R22" s="53" t="s">
        <v>654</v>
      </c>
      <c r="S22" s="53" t="s">
        <v>654</v>
      </c>
      <c r="T22" s="53">
        <v>4</v>
      </c>
      <c r="U22" s="53" t="s">
        <v>679</v>
      </c>
      <c r="V22" s="53" t="s">
        <v>656</v>
      </c>
      <c r="W22" s="53"/>
      <c r="X22" s="53"/>
      <c r="Y22" s="53">
        <v>1</v>
      </c>
      <c r="Z22" s="53">
        <v>1</v>
      </c>
      <c r="AA22" s="53">
        <f t="shared" si="6"/>
        <v>7</v>
      </c>
      <c r="AB22" s="53">
        <v>2</v>
      </c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>
        <v>3</v>
      </c>
      <c r="AW22" s="53"/>
      <c r="AX22" s="53">
        <v>2</v>
      </c>
      <c r="AY22" s="53">
        <v>1</v>
      </c>
      <c r="AZ22" s="53">
        <f t="shared" si="7"/>
        <v>6</v>
      </c>
      <c r="BA22" s="53">
        <v>3</v>
      </c>
      <c r="BB22" s="53">
        <v>1</v>
      </c>
      <c r="BC22" s="53">
        <f t="shared" si="8"/>
        <v>4</v>
      </c>
      <c r="BD22" s="53"/>
      <c r="BE22" s="53"/>
      <c r="BF22" s="53"/>
      <c r="BG22" s="53"/>
      <c r="BH22" s="53">
        <f t="shared" si="9"/>
        <v>0</v>
      </c>
      <c r="BI22" s="53">
        <v>2</v>
      </c>
      <c r="BJ22" s="53">
        <v>2</v>
      </c>
      <c r="BK22" s="53">
        <v>2</v>
      </c>
      <c r="BL22" s="53"/>
      <c r="BM22" s="53">
        <f t="shared" si="10"/>
        <v>16</v>
      </c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</row>
    <row r="23" spans="1:249" ht="30" customHeight="1">
      <c r="A23" s="52">
        <v>10</v>
      </c>
      <c r="B23" s="52" t="s">
        <v>725</v>
      </c>
      <c r="C23" s="52" t="s">
        <v>726</v>
      </c>
      <c r="D23" s="52" t="s">
        <v>690</v>
      </c>
      <c r="E23" s="57" t="s">
        <v>727</v>
      </c>
      <c r="F23" s="52" t="s">
        <v>704</v>
      </c>
      <c r="G23" s="52" t="s">
        <v>651</v>
      </c>
      <c r="H23" s="52">
        <v>42</v>
      </c>
      <c r="I23" s="52" t="s">
        <v>728</v>
      </c>
      <c r="J23" s="68"/>
      <c r="K23" s="69">
        <v>6.7359999999999998</v>
      </c>
      <c r="L23" s="69">
        <v>0</v>
      </c>
      <c r="M23" s="70"/>
      <c r="N23" s="70"/>
      <c r="O23" s="52" t="s">
        <v>652</v>
      </c>
      <c r="P23" s="52">
        <v>4</v>
      </c>
      <c r="Q23" s="52" t="s">
        <v>653</v>
      </c>
      <c r="R23" s="52" t="s">
        <v>654</v>
      </c>
      <c r="S23" s="52" t="s">
        <v>654</v>
      </c>
      <c r="T23" s="68">
        <v>2</v>
      </c>
      <c r="U23" s="52" t="s">
        <v>679</v>
      </c>
      <c r="V23" s="52" t="s">
        <v>685</v>
      </c>
      <c r="W23" s="68"/>
      <c r="X23" s="68"/>
      <c r="Y23" s="52">
        <v>1</v>
      </c>
      <c r="Z23" s="53">
        <v>1</v>
      </c>
      <c r="AA23" s="52">
        <f t="shared" si="6"/>
        <v>9</v>
      </c>
      <c r="AB23" s="52"/>
      <c r="AC23" s="68"/>
      <c r="AD23" s="68"/>
      <c r="AE23" s="68"/>
      <c r="AF23" s="68"/>
      <c r="AG23" s="68"/>
      <c r="AH23" s="52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52">
        <v>3</v>
      </c>
      <c r="AW23" s="68"/>
      <c r="AX23" s="52">
        <v>2</v>
      </c>
      <c r="AY23" s="52">
        <v>1</v>
      </c>
      <c r="AZ23" s="53">
        <f t="shared" si="7"/>
        <v>6</v>
      </c>
      <c r="BA23" s="52">
        <v>5</v>
      </c>
      <c r="BB23" s="52">
        <v>1</v>
      </c>
      <c r="BC23" s="53">
        <f t="shared" si="8"/>
        <v>6</v>
      </c>
      <c r="BD23" s="68"/>
      <c r="BE23" s="68"/>
      <c r="BF23" s="68"/>
      <c r="BG23" s="52"/>
      <c r="BH23" s="53">
        <f t="shared" si="9"/>
        <v>0</v>
      </c>
      <c r="BI23" s="52">
        <v>1</v>
      </c>
      <c r="BJ23" s="52">
        <v>1</v>
      </c>
      <c r="BK23" s="52">
        <v>2</v>
      </c>
      <c r="BL23" s="52"/>
      <c r="BM23" s="53">
        <f t="shared" si="10"/>
        <v>16</v>
      </c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</row>
    <row r="24" spans="1:249" ht="30" customHeight="1">
      <c r="A24" s="52">
        <v>11</v>
      </c>
      <c r="B24" s="52" t="s">
        <v>729</v>
      </c>
      <c r="C24" s="52" t="s">
        <v>730</v>
      </c>
      <c r="D24" s="52" t="s">
        <v>690</v>
      </c>
      <c r="E24" s="53" t="s">
        <v>731</v>
      </c>
      <c r="F24" s="53" t="s">
        <v>704</v>
      </c>
      <c r="G24" s="53" t="s">
        <v>692</v>
      </c>
      <c r="H24" s="53">
        <v>60</v>
      </c>
      <c r="I24" s="53" t="s">
        <v>693</v>
      </c>
      <c r="J24" s="53">
        <v>2017</v>
      </c>
      <c r="K24" s="65">
        <v>4.5</v>
      </c>
      <c r="L24" s="65">
        <v>1.37</v>
      </c>
      <c r="M24" s="65"/>
      <c r="N24" s="65">
        <v>4.0999999999999996</v>
      </c>
      <c r="O24" s="53" t="s">
        <v>652</v>
      </c>
      <c r="P24" s="53">
        <v>6</v>
      </c>
      <c r="Q24" s="53" t="s">
        <v>653</v>
      </c>
      <c r="R24" s="53" t="s">
        <v>654</v>
      </c>
      <c r="S24" s="53" t="s">
        <v>654</v>
      </c>
      <c r="T24" s="53">
        <v>6</v>
      </c>
      <c r="U24" s="53" t="s">
        <v>694</v>
      </c>
      <c r="V24" s="53" t="s">
        <v>656</v>
      </c>
      <c r="W24" s="53"/>
      <c r="X24" s="53"/>
      <c r="Y24" s="53">
        <v>1</v>
      </c>
      <c r="Z24" s="53">
        <v>1</v>
      </c>
      <c r="AA24" s="53">
        <f t="shared" si="6"/>
        <v>10</v>
      </c>
      <c r="AB24" s="53">
        <v>1</v>
      </c>
      <c r="AC24" s="53"/>
      <c r="AD24" s="53">
        <v>2</v>
      </c>
      <c r="AE24" s="53">
        <v>1</v>
      </c>
      <c r="AF24" s="53"/>
      <c r="AG24" s="53">
        <v>1</v>
      </c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>
        <v>3</v>
      </c>
      <c r="AW24" s="53"/>
      <c r="AX24" s="53">
        <v>3</v>
      </c>
      <c r="AY24" s="53">
        <v>1</v>
      </c>
      <c r="AZ24" s="53">
        <f t="shared" si="7"/>
        <v>7</v>
      </c>
      <c r="BA24" s="53">
        <v>5</v>
      </c>
      <c r="BB24" s="53">
        <v>1</v>
      </c>
      <c r="BC24" s="53">
        <f t="shared" si="8"/>
        <v>6</v>
      </c>
      <c r="BD24" s="53"/>
      <c r="BE24" s="53"/>
      <c r="BF24" s="53"/>
      <c r="BG24" s="53">
        <v>1</v>
      </c>
      <c r="BH24" s="53">
        <f t="shared" si="9"/>
        <v>1</v>
      </c>
      <c r="BI24" s="53">
        <v>1</v>
      </c>
      <c r="BJ24" s="53">
        <v>1</v>
      </c>
      <c r="BK24" s="53">
        <v>2</v>
      </c>
      <c r="BL24" s="53"/>
      <c r="BM24" s="53">
        <f t="shared" si="10"/>
        <v>18</v>
      </c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</row>
    <row r="25" spans="1:249" ht="30" customHeight="1">
      <c r="A25" s="52">
        <v>12</v>
      </c>
      <c r="B25" s="52" t="s">
        <v>732</v>
      </c>
      <c r="C25" s="52" t="s">
        <v>733</v>
      </c>
      <c r="D25" s="52" t="s">
        <v>690</v>
      </c>
      <c r="E25" s="53" t="s">
        <v>734</v>
      </c>
      <c r="F25" s="53" t="s">
        <v>709</v>
      </c>
      <c r="G25" s="53" t="s">
        <v>651</v>
      </c>
      <c r="H25" s="53">
        <v>60</v>
      </c>
      <c r="I25" s="53" t="s">
        <v>735</v>
      </c>
      <c r="J25" s="53">
        <v>2017</v>
      </c>
      <c r="K25" s="65">
        <v>3.66</v>
      </c>
      <c r="L25" s="65"/>
      <c r="M25" s="65">
        <v>4.07</v>
      </c>
      <c r="N25" s="65"/>
      <c r="O25" s="53" t="s">
        <v>652</v>
      </c>
      <c r="P25" s="53">
        <v>19</v>
      </c>
      <c r="Q25" s="53" t="s">
        <v>653</v>
      </c>
      <c r="R25" s="53" t="s">
        <v>654</v>
      </c>
      <c r="S25" s="53" t="s">
        <v>654</v>
      </c>
      <c r="T25" s="53">
        <v>12</v>
      </c>
      <c r="U25" s="53" t="s">
        <v>694</v>
      </c>
      <c r="V25" s="53" t="s">
        <v>656</v>
      </c>
      <c r="W25" s="53">
        <v>1</v>
      </c>
      <c r="X25" s="53"/>
      <c r="Y25" s="53">
        <v>1</v>
      </c>
      <c r="Z25" s="53">
        <v>1</v>
      </c>
      <c r="AA25" s="53">
        <f t="shared" si="6"/>
        <v>10</v>
      </c>
      <c r="AB25" s="53">
        <v>6</v>
      </c>
      <c r="AC25" s="53"/>
      <c r="AD25" s="53">
        <v>2</v>
      </c>
      <c r="AE25" s="53">
        <v>2</v>
      </c>
      <c r="AF25" s="53">
        <v>1</v>
      </c>
      <c r="AG25" s="53">
        <v>2</v>
      </c>
      <c r="AH25" s="53">
        <f>BG25-1</f>
        <v>1</v>
      </c>
      <c r="AI25" s="53"/>
      <c r="AJ25" s="53"/>
      <c r="AK25" s="53">
        <v>2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>
        <v>2</v>
      </c>
      <c r="AW25" s="53"/>
      <c r="AX25" s="53">
        <v>2</v>
      </c>
      <c r="AY25" s="53">
        <v>1</v>
      </c>
      <c r="AZ25" s="53">
        <f t="shared" si="7"/>
        <v>5</v>
      </c>
      <c r="BA25" s="53">
        <v>5</v>
      </c>
      <c r="BB25" s="53">
        <v>2</v>
      </c>
      <c r="BC25" s="53">
        <f t="shared" si="8"/>
        <v>7</v>
      </c>
      <c r="BD25" s="53">
        <v>1</v>
      </c>
      <c r="BE25" s="53"/>
      <c r="BF25" s="53"/>
      <c r="BG25" s="53">
        <v>2</v>
      </c>
      <c r="BH25" s="53">
        <f t="shared" si="9"/>
        <v>3</v>
      </c>
      <c r="BI25" s="53">
        <v>3</v>
      </c>
      <c r="BJ25" s="53">
        <v>3</v>
      </c>
      <c r="BK25" s="53">
        <v>2</v>
      </c>
      <c r="BL25" s="53"/>
      <c r="BM25" s="53">
        <f t="shared" si="10"/>
        <v>23</v>
      </c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</row>
    <row r="26" spans="1:249" ht="30" customHeight="1">
      <c r="A26" s="52">
        <v>13</v>
      </c>
      <c r="B26" s="52" t="s">
        <v>736</v>
      </c>
      <c r="C26" s="52" t="s">
        <v>737</v>
      </c>
      <c r="D26" s="52" t="s">
        <v>690</v>
      </c>
      <c r="E26" s="53" t="s">
        <v>738</v>
      </c>
      <c r="F26" s="53" t="s">
        <v>709</v>
      </c>
      <c r="G26" s="53" t="s">
        <v>651</v>
      </c>
      <c r="H26" s="53">
        <v>65</v>
      </c>
      <c r="I26" s="53" t="s">
        <v>660</v>
      </c>
      <c r="J26" s="53">
        <v>2017</v>
      </c>
      <c r="K26" s="65">
        <v>4.93</v>
      </c>
      <c r="L26" s="65"/>
      <c r="M26" s="65">
        <v>4.57</v>
      </c>
      <c r="N26" s="65"/>
      <c r="O26" s="53" t="s">
        <v>652</v>
      </c>
      <c r="P26" s="53">
        <v>20</v>
      </c>
      <c r="Q26" s="53" t="s">
        <v>653</v>
      </c>
      <c r="R26" s="53" t="s">
        <v>654</v>
      </c>
      <c r="S26" s="53" t="s">
        <v>654</v>
      </c>
      <c r="T26" s="53">
        <v>44</v>
      </c>
      <c r="U26" s="53" t="s">
        <v>655</v>
      </c>
      <c r="V26" s="53" t="s">
        <v>656</v>
      </c>
      <c r="W26" s="53">
        <v>1</v>
      </c>
      <c r="X26" s="53">
        <v>1</v>
      </c>
      <c r="Y26" s="53">
        <v>1</v>
      </c>
      <c r="Z26" s="53">
        <v>1</v>
      </c>
      <c r="AA26" s="53">
        <v>10</v>
      </c>
      <c r="AB26" s="53">
        <v>6</v>
      </c>
      <c r="AC26" s="53"/>
      <c r="AD26" s="53">
        <v>4</v>
      </c>
      <c r="AE26" s="53">
        <v>2</v>
      </c>
      <c r="AF26" s="53">
        <v>1</v>
      </c>
      <c r="AG26" s="53">
        <v>3</v>
      </c>
      <c r="AH26" s="53">
        <f>BG26-1</f>
        <v>1</v>
      </c>
      <c r="AI26" s="53"/>
      <c r="AJ26" s="53"/>
      <c r="AK26" s="53">
        <v>2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>
        <v>3</v>
      </c>
      <c r="AW26" s="53"/>
      <c r="AX26" s="53">
        <v>5</v>
      </c>
      <c r="AY26" s="53">
        <v>1</v>
      </c>
      <c r="AZ26" s="53">
        <f t="shared" si="7"/>
        <v>9</v>
      </c>
      <c r="BA26" s="53">
        <v>4</v>
      </c>
      <c r="BB26" s="53">
        <v>2</v>
      </c>
      <c r="BC26" s="53">
        <f t="shared" si="8"/>
        <v>6</v>
      </c>
      <c r="BD26" s="53">
        <v>1</v>
      </c>
      <c r="BE26" s="53">
        <v>1</v>
      </c>
      <c r="BF26" s="53">
        <v>0</v>
      </c>
      <c r="BG26" s="53">
        <v>2</v>
      </c>
      <c r="BH26" s="53">
        <f t="shared" si="9"/>
        <v>4</v>
      </c>
      <c r="BI26" s="53">
        <v>4</v>
      </c>
      <c r="BJ26" s="53">
        <v>2</v>
      </c>
      <c r="BK26" s="53">
        <v>2</v>
      </c>
      <c r="BL26" s="53">
        <v>0</v>
      </c>
      <c r="BM26" s="53">
        <f t="shared" si="10"/>
        <v>27</v>
      </c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</row>
    <row r="27" spans="1:249" ht="30" customHeight="1">
      <c r="A27" s="52">
        <v>14</v>
      </c>
      <c r="B27" s="52" t="s">
        <v>739</v>
      </c>
      <c r="C27" s="52" t="s">
        <v>740</v>
      </c>
      <c r="D27" s="52" t="s">
        <v>690</v>
      </c>
      <c r="E27" s="53" t="s">
        <v>741</v>
      </c>
      <c r="F27" s="53" t="s">
        <v>709</v>
      </c>
      <c r="G27" s="53" t="s">
        <v>651</v>
      </c>
      <c r="H27" s="53">
        <v>58</v>
      </c>
      <c r="I27" s="53" t="s">
        <v>701</v>
      </c>
      <c r="J27" s="53">
        <v>2018</v>
      </c>
      <c r="K27" s="65">
        <v>6.81</v>
      </c>
      <c r="L27" s="65"/>
      <c r="M27" s="65">
        <v>6.73</v>
      </c>
      <c r="N27" s="65"/>
      <c r="O27" s="53" t="s">
        <v>652</v>
      </c>
      <c r="P27" s="53">
        <v>19</v>
      </c>
      <c r="Q27" s="53" t="s">
        <v>653</v>
      </c>
      <c r="R27" s="53" t="s">
        <v>654</v>
      </c>
      <c r="S27" s="53" t="s">
        <v>654</v>
      </c>
      <c r="T27" s="53">
        <v>9</v>
      </c>
      <c r="U27" s="53" t="s">
        <v>679</v>
      </c>
      <c r="V27" s="53" t="s">
        <v>656</v>
      </c>
      <c r="W27" s="53">
        <v>1</v>
      </c>
      <c r="X27" s="53"/>
      <c r="Y27" s="53">
        <v>1</v>
      </c>
      <c r="Z27" s="53">
        <v>1</v>
      </c>
      <c r="AA27" s="53">
        <f>AX27+AY27+BA27+BB27</f>
        <v>8</v>
      </c>
      <c r="AB27" s="53">
        <v>3</v>
      </c>
      <c r="AC27" s="53"/>
      <c r="AD27" s="53">
        <v>3</v>
      </c>
      <c r="AE27" s="53">
        <v>3</v>
      </c>
      <c r="AF27" s="53">
        <v>1</v>
      </c>
      <c r="AG27" s="53">
        <v>3</v>
      </c>
      <c r="AH27" s="53"/>
      <c r="AI27" s="53"/>
      <c r="AJ27" s="53"/>
      <c r="AK27" s="53">
        <v>2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>
        <v>2</v>
      </c>
      <c r="AW27" s="53"/>
      <c r="AX27" s="53">
        <v>3</v>
      </c>
      <c r="AY27" s="53"/>
      <c r="AZ27" s="53">
        <f t="shared" si="7"/>
        <v>5</v>
      </c>
      <c r="BA27" s="53">
        <v>4</v>
      </c>
      <c r="BB27" s="53">
        <v>1</v>
      </c>
      <c r="BC27" s="53">
        <f t="shared" si="8"/>
        <v>5</v>
      </c>
      <c r="BD27" s="53">
        <v>1</v>
      </c>
      <c r="BE27" s="53">
        <v>1</v>
      </c>
      <c r="BF27" s="53"/>
      <c r="BG27" s="53">
        <v>2</v>
      </c>
      <c r="BH27" s="53">
        <f t="shared" si="9"/>
        <v>4</v>
      </c>
      <c r="BI27" s="53">
        <v>2</v>
      </c>
      <c r="BJ27" s="53">
        <v>1</v>
      </c>
      <c r="BK27" s="53">
        <v>2</v>
      </c>
      <c r="BL27" s="53"/>
      <c r="BM27" s="53">
        <f t="shared" si="10"/>
        <v>19</v>
      </c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</row>
    <row r="28" spans="1:249" s="46" customFormat="1" ht="30" customHeight="1">
      <c r="A28" s="52">
        <v>15</v>
      </c>
      <c r="B28" s="54" t="s">
        <v>742</v>
      </c>
      <c r="C28" s="58" t="s">
        <v>743</v>
      </c>
      <c r="D28" s="52" t="s">
        <v>690</v>
      </c>
      <c r="E28" s="54" t="s">
        <v>744</v>
      </c>
      <c r="F28" s="54" t="s">
        <v>704</v>
      </c>
      <c r="G28" s="58" t="s">
        <v>745</v>
      </c>
      <c r="H28" s="58">
        <v>30</v>
      </c>
      <c r="I28" s="58">
        <v>2019</v>
      </c>
      <c r="J28" s="58">
        <v>2019</v>
      </c>
      <c r="K28" s="58">
        <v>3.6240000000000001</v>
      </c>
      <c r="L28" s="58"/>
      <c r="M28" s="58"/>
      <c r="N28" s="58">
        <v>0</v>
      </c>
      <c r="O28" s="58" t="s">
        <v>652</v>
      </c>
      <c r="P28" s="58">
        <v>10</v>
      </c>
      <c r="Q28" s="58">
        <v>1</v>
      </c>
      <c r="R28" s="58" t="s">
        <v>654</v>
      </c>
      <c r="S28" s="58" t="s">
        <v>654</v>
      </c>
      <c r="T28" s="58">
        <v>6</v>
      </c>
      <c r="U28" s="58" t="s">
        <v>655</v>
      </c>
      <c r="V28" s="58" t="s">
        <v>665</v>
      </c>
      <c r="W28" s="58">
        <v>2</v>
      </c>
      <c r="X28" s="58"/>
      <c r="Y28" s="58">
        <v>1</v>
      </c>
      <c r="Z28" s="58">
        <v>1</v>
      </c>
      <c r="AA28" s="58">
        <v>5</v>
      </c>
      <c r="AB28" s="58">
        <v>2</v>
      </c>
      <c r="AC28" s="58">
        <v>1</v>
      </c>
      <c r="AD28" s="58">
        <v>2</v>
      </c>
      <c r="AE28" s="58">
        <v>2</v>
      </c>
      <c r="AF28" s="58"/>
      <c r="AG28" s="58">
        <v>2</v>
      </c>
      <c r="AH28" s="58"/>
      <c r="AI28" s="58"/>
      <c r="AJ28" s="58"/>
      <c r="AK28" s="58"/>
      <c r="AL28" s="58"/>
      <c r="AM28" s="58"/>
      <c r="AN28" s="58"/>
      <c r="AO28" s="58"/>
      <c r="AP28" s="58"/>
      <c r="AQ28" s="58">
        <v>2</v>
      </c>
      <c r="AR28" s="53">
        <v>1</v>
      </c>
      <c r="AS28" s="58"/>
      <c r="AT28" s="58"/>
      <c r="AU28" s="53">
        <v>1</v>
      </c>
      <c r="AV28" s="58">
        <v>2</v>
      </c>
      <c r="AW28" s="58"/>
      <c r="AX28" s="58">
        <v>1</v>
      </c>
      <c r="AY28" s="58">
        <v>1</v>
      </c>
      <c r="AZ28" s="58">
        <f t="shared" si="7"/>
        <v>4</v>
      </c>
      <c r="BA28" s="58">
        <v>2</v>
      </c>
      <c r="BB28" s="58">
        <v>1</v>
      </c>
      <c r="BC28" s="58">
        <f t="shared" si="8"/>
        <v>3</v>
      </c>
      <c r="BD28" s="58"/>
      <c r="BE28" s="58"/>
      <c r="BF28" s="58"/>
      <c r="BG28" s="58"/>
      <c r="BH28" s="58"/>
      <c r="BI28" s="58">
        <v>4</v>
      </c>
      <c r="BJ28" s="58"/>
      <c r="BK28" s="58">
        <v>2</v>
      </c>
      <c r="BL28" s="58"/>
      <c r="BM28" s="68">
        <f t="shared" si="10"/>
        <v>13</v>
      </c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</row>
    <row r="29" spans="1:249" s="44" customFormat="1" ht="34.9" customHeight="1">
      <c r="A29" s="52">
        <v>16</v>
      </c>
      <c r="B29" s="54" t="s">
        <v>746</v>
      </c>
      <c r="C29" s="58" t="s">
        <v>747</v>
      </c>
      <c r="D29" s="52" t="s">
        <v>690</v>
      </c>
      <c r="E29" s="54" t="s">
        <v>748</v>
      </c>
      <c r="F29" s="54" t="s">
        <v>709</v>
      </c>
      <c r="G29" s="58" t="s">
        <v>745</v>
      </c>
      <c r="H29" s="58">
        <v>45</v>
      </c>
      <c r="I29" s="58">
        <v>2019</v>
      </c>
      <c r="J29" s="58">
        <v>2019</v>
      </c>
      <c r="K29" s="58">
        <v>4.2969999999999997</v>
      </c>
      <c r="L29" s="58"/>
      <c r="M29" s="58">
        <v>4.8730000000000002</v>
      </c>
      <c r="N29" s="58"/>
      <c r="O29" s="58" t="s">
        <v>652</v>
      </c>
      <c r="P29" s="58">
        <v>10</v>
      </c>
      <c r="Q29" s="58" t="s">
        <v>653</v>
      </c>
      <c r="R29" s="58" t="s">
        <v>654</v>
      </c>
      <c r="S29" s="58" t="s">
        <v>654</v>
      </c>
      <c r="T29" s="58">
        <v>12</v>
      </c>
      <c r="U29" s="58" t="s">
        <v>655</v>
      </c>
      <c r="V29" s="58" t="s">
        <v>665</v>
      </c>
      <c r="W29" s="58">
        <v>3</v>
      </c>
      <c r="X29" s="58"/>
      <c r="Y29" s="58">
        <v>1</v>
      </c>
      <c r="Z29" s="58">
        <v>1</v>
      </c>
      <c r="AA29" s="58">
        <v>7</v>
      </c>
      <c r="AB29" s="58">
        <v>5</v>
      </c>
      <c r="AC29" s="58">
        <v>1</v>
      </c>
      <c r="AD29" s="58">
        <v>3</v>
      </c>
      <c r="AE29" s="58">
        <v>2</v>
      </c>
      <c r="AF29" s="58"/>
      <c r="AG29" s="58">
        <v>3</v>
      </c>
      <c r="AH29" s="58"/>
      <c r="AI29" s="58"/>
      <c r="AJ29" s="58"/>
      <c r="AK29" s="58">
        <v>1</v>
      </c>
      <c r="AL29" s="58"/>
      <c r="AM29" s="58"/>
      <c r="AN29" s="58"/>
      <c r="AO29" s="58"/>
      <c r="AP29" s="58"/>
      <c r="AQ29" s="58">
        <v>2</v>
      </c>
      <c r="AR29" s="53">
        <v>1</v>
      </c>
      <c r="AS29" s="58"/>
      <c r="AT29" s="58"/>
      <c r="AU29" s="53">
        <v>1</v>
      </c>
      <c r="AV29" s="58">
        <v>3</v>
      </c>
      <c r="AW29" s="58"/>
      <c r="AX29" s="58">
        <v>3</v>
      </c>
      <c r="AY29" s="58"/>
      <c r="AZ29" s="58">
        <f t="shared" si="7"/>
        <v>6</v>
      </c>
      <c r="BA29" s="58">
        <v>4</v>
      </c>
      <c r="BB29" s="58"/>
      <c r="BC29" s="58">
        <f t="shared" si="8"/>
        <v>4</v>
      </c>
      <c r="BD29" s="58"/>
      <c r="BE29" s="58"/>
      <c r="BF29" s="58"/>
      <c r="BG29" s="58">
        <v>2</v>
      </c>
      <c r="BH29" s="58">
        <f t="shared" ref="BH29:BH35" si="12">SUM(BD29:BG29)</f>
        <v>2</v>
      </c>
      <c r="BI29" s="58">
        <v>3</v>
      </c>
      <c r="BJ29" s="58">
        <v>2</v>
      </c>
      <c r="BK29" s="58">
        <v>2</v>
      </c>
      <c r="BL29" s="58"/>
      <c r="BM29" s="58">
        <f t="shared" ref="BM29:BM31" si="13">AZ29+BC29+BH29+BI29+BJ29+BK29+BL29</f>
        <v>19</v>
      </c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</row>
    <row r="30" spans="1:249" s="44" customFormat="1" ht="34.9" customHeight="1">
      <c r="A30" s="52">
        <v>17</v>
      </c>
      <c r="B30" s="54" t="s">
        <v>749</v>
      </c>
      <c r="C30" s="58" t="s">
        <v>750</v>
      </c>
      <c r="D30" s="52" t="s">
        <v>690</v>
      </c>
      <c r="E30" s="54" t="s">
        <v>751</v>
      </c>
      <c r="F30" s="54" t="s">
        <v>704</v>
      </c>
      <c r="G30" s="44" t="s">
        <v>745</v>
      </c>
      <c r="H30" s="58">
        <v>23.25</v>
      </c>
      <c r="I30" s="58">
        <v>2019</v>
      </c>
      <c r="J30" s="58">
        <v>2019</v>
      </c>
      <c r="K30" s="58">
        <v>2.3109999999999999</v>
      </c>
      <c r="L30" s="71">
        <v>0</v>
      </c>
      <c r="M30" s="58">
        <v>3.7029999999999998</v>
      </c>
      <c r="N30" s="58">
        <v>0</v>
      </c>
      <c r="O30" s="58" t="s">
        <v>652</v>
      </c>
      <c r="P30" s="58">
        <v>10</v>
      </c>
      <c r="Q30" s="58" t="s">
        <v>653</v>
      </c>
      <c r="R30" s="58" t="s">
        <v>654</v>
      </c>
      <c r="S30" s="58" t="s">
        <v>654</v>
      </c>
      <c r="T30" s="58">
        <v>12</v>
      </c>
      <c r="U30" s="58" t="s">
        <v>655</v>
      </c>
      <c r="V30" s="58" t="s">
        <v>665</v>
      </c>
      <c r="W30" s="58">
        <v>2</v>
      </c>
      <c r="X30" s="58"/>
      <c r="Y30" s="58">
        <v>1</v>
      </c>
      <c r="Z30" s="58">
        <v>1</v>
      </c>
      <c r="AA30" s="58">
        <v>3</v>
      </c>
      <c r="AB30" s="58">
        <v>3</v>
      </c>
      <c r="AC30" s="58">
        <v>1</v>
      </c>
      <c r="AD30" s="58"/>
      <c r="AE30" s="58">
        <v>3</v>
      </c>
      <c r="AF30" s="58"/>
      <c r="AG30" s="58">
        <v>3</v>
      </c>
      <c r="AH30" s="58"/>
      <c r="AI30" s="58"/>
      <c r="AJ30" s="58"/>
      <c r="AK30" s="58">
        <v>1</v>
      </c>
      <c r="AL30" s="58"/>
      <c r="AM30" s="58"/>
      <c r="AN30" s="58"/>
      <c r="AO30" s="58"/>
      <c r="AP30" s="58"/>
      <c r="AQ30" s="58">
        <v>2</v>
      </c>
      <c r="AR30" s="53">
        <v>1</v>
      </c>
      <c r="AS30" s="58"/>
      <c r="AT30" s="58"/>
      <c r="AU30" s="53">
        <v>1</v>
      </c>
      <c r="AV30" s="58">
        <v>1</v>
      </c>
      <c r="AW30" s="58"/>
      <c r="AX30" s="58">
        <v>1</v>
      </c>
      <c r="AY30" s="58"/>
      <c r="AZ30" s="58">
        <f t="shared" si="7"/>
        <v>2</v>
      </c>
      <c r="BA30" s="58">
        <v>2</v>
      </c>
      <c r="BB30" s="58"/>
      <c r="BC30" s="58">
        <f t="shared" si="8"/>
        <v>2</v>
      </c>
      <c r="BD30" s="58"/>
      <c r="BE30" s="58"/>
      <c r="BF30" s="58"/>
      <c r="BG30" s="58">
        <v>1</v>
      </c>
      <c r="BH30" s="58">
        <f t="shared" si="12"/>
        <v>1</v>
      </c>
      <c r="BI30" s="58">
        <v>3</v>
      </c>
      <c r="BJ30" s="58"/>
      <c r="BK30" s="58">
        <v>1</v>
      </c>
      <c r="BL30" s="58"/>
      <c r="BM30" s="58">
        <f t="shared" si="13"/>
        <v>9</v>
      </c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</row>
    <row r="31" spans="1:249" s="44" customFormat="1" ht="34.9" customHeight="1">
      <c r="A31" s="52">
        <v>18</v>
      </c>
      <c r="B31" s="54" t="s">
        <v>752</v>
      </c>
      <c r="C31" s="58" t="s">
        <v>753</v>
      </c>
      <c r="D31" s="52" t="s">
        <v>690</v>
      </c>
      <c r="E31" s="58" t="s">
        <v>754</v>
      </c>
      <c r="F31" s="58" t="s">
        <v>659</v>
      </c>
      <c r="G31" s="58" t="s">
        <v>745</v>
      </c>
      <c r="H31" s="58">
        <v>30</v>
      </c>
      <c r="I31" s="58">
        <v>2020</v>
      </c>
      <c r="J31" s="58">
        <v>2020</v>
      </c>
      <c r="K31" s="58">
        <v>2.62</v>
      </c>
      <c r="L31" s="58">
        <v>0.82</v>
      </c>
      <c r="M31" s="58">
        <v>3.7839999999999998</v>
      </c>
      <c r="N31" s="58">
        <v>0</v>
      </c>
      <c r="O31" s="58" t="s">
        <v>652</v>
      </c>
      <c r="P31" s="58">
        <v>10</v>
      </c>
      <c r="Q31" s="58">
        <v>1</v>
      </c>
      <c r="R31" s="58" t="s">
        <v>654</v>
      </c>
      <c r="S31" s="58" t="s">
        <v>654</v>
      </c>
      <c r="T31" s="58">
        <v>20</v>
      </c>
      <c r="U31" s="58" t="s">
        <v>655</v>
      </c>
      <c r="V31" s="58" t="s">
        <v>665</v>
      </c>
      <c r="W31" s="58">
        <v>1</v>
      </c>
      <c r="X31" s="58"/>
      <c r="Y31" s="58">
        <v>1</v>
      </c>
      <c r="Z31" s="58">
        <v>1</v>
      </c>
      <c r="AA31" s="58">
        <v>5</v>
      </c>
      <c r="AB31" s="58">
        <v>2</v>
      </c>
      <c r="AC31" s="58">
        <v>1</v>
      </c>
      <c r="AD31" s="58"/>
      <c r="AE31" s="58">
        <v>3</v>
      </c>
      <c r="AF31" s="58"/>
      <c r="AG31" s="58">
        <v>3</v>
      </c>
      <c r="AH31" s="58"/>
      <c r="AI31" s="58"/>
      <c r="AJ31" s="58"/>
      <c r="AK31" s="58">
        <v>1</v>
      </c>
      <c r="AL31" s="58"/>
      <c r="AM31" s="58"/>
      <c r="AN31" s="58"/>
      <c r="AO31" s="58"/>
      <c r="AP31" s="58"/>
      <c r="AQ31" s="58">
        <v>2</v>
      </c>
      <c r="AR31" s="53">
        <v>1</v>
      </c>
      <c r="AS31" s="58"/>
      <c r="AT31" s="58"/>
      <c r="AU31" s="53">
        <v>1</v>
      </c>
      <c r="AV31" s="58">
        <v>2</v>
      </c>
      <c r="AW31" s="58"/>
      <c r="AX31" s="58">
        <v>2</v>
      </c>
      <c r="AY31" s="58"/>
      <c r="AZ31" s="58">
        <f t="shared" si="7"/>
        <v>4</v>
      </c>
      <c r="BA31" s="58">
        <v>3</v>
      </c>
      <c r="BB31" s="58"/>
      <c r="BC31" s="58">
        <f t="shared" si="8"/>
        <v>3</v>
      </c>
      <c r="BD31" s="58"/>
      <c r="BE31" s="58"/>
      <c r="BF31" s="58"/>
      <c r="BG31" s="58">
        <v>1</v>
      </c>
      <c r="BH31" s="58">
        <f t="shared" si="12"/>
        <v>1</v>
      </c>
      <c r="BI31" s="58">
        <v>3</v>
      </c>
      <c r="BJ31" s="58"/>
      <c r="BK31" s="58">
        <v>1</v>
      </c>
      <c r="BL31" s="58"/>
      <c r="BM31" s="58">
        <f t="shared" si="13"/>
        <v>12</v>
      </c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</row>
    <row r="32" spans="1:249" ht="30" customHeight="1">
      <c r="A32" s="52">
        <v>19</v>
      </c>
      <c r="B32" s="52" t="s">
        <v>755</v>
      </c>
      <c r="C32" s="52" t="s">
        <v>522</v>
      </c>
      <c r="D32" s="52" t="s">
        <v>690</v>
      </c>
      <c r="E32" s="57" t="s">
        <v>756</v>
      </c>
      <c r="F32" s="53" t="s">
        <v>664</v>
      </c>
      <c r="G32" s="52" t="s">
        <v>692</v>
      </c>
      <c r="H32" s="52">
        <v>60</v>
      </c>
      <c r="I32" s="52" t="s">
        <v>669</v>
      </c>
      <c r="J32" s="68"/>
      <c r="K32" s="69">
        <v>0</v>
      </c>
      <c r="L32" s="69">
        <v>2.3069999999999999</v>
      </c>
      <c r="M32" s="70">
        <v>5.1470000000000002</v>
      </c>
      <c r="N32" s="70"/>
      <c r="O32" s="52" t="s">
        <v>652</v>
      </c>
      <c r="P32" s="52">
        <v>8</v>
      </c>
      <c r="Q32" s="52" t="s">
        <v>653</v>
      </c>
      <c r="R32" s="52" t="s">
        <v>654</v>
      </c>
      <c r="S32" s="52" t="s">
        <v>654</v>
      </c>
      <c r="T32" s="68">
        <v>9</v>
      </c>
      <c r="U32" s="52" t="s">
        <v>670</v>
      </c>
      <c r="V32" s="52" t="s">
        <v>656</v>
      </c>
      <c r="W32" s="68">
        <v>1</v>
      </c>
      <c r="X32" s="68"/>
      <c r="Y32" s="52">
        <v>1</v>
      </c>
      <c r="Z32" s="53">
        <v>1</v>
      </c>
      <c r="AA32" s="52">
        <f t="shared" ref="AA32:AA34" si="14">AX32+AY32+BA32+BB32</f>
        <v>8</v>
      </c>
      <c r="AB32" s="52">
        <v>1</v>
      </c>
      <c r="AC32" s="68"/>
      <c r="AD32" s="68"/>
      <c r="AE32" s="68"/>
      <c r="AF32" s="68"/>
      <c r="AG32" s="68"/>
      <c r="AH32" s="52"/>
      <c r="AI32" s="68"/>
      <c r="AJ32" s="68"/>
      <c r="AK32" s="53">
        <v>2</v>
      </c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52">
        <v>3</v>
      </c>
      <c r="AW32" s="68"/>
      <c r="AX32" s="52">
        <v>4</v>
      </c>
      <c r="AY32" s="52">
        <v>0</v>
      </c>
      <c r="AZ32" s="53">
        <f t="shared" si="7"/>
        <v>7</v>
      </c>
      <c r="BA32" s="52">
        <v>3</v>
      </c>
      <c r="BB32" s="52">
        <v>1</v>
      </c>
      <c r="BC32" s="53">
        <f t="shared" si="8"/>
        <v>4</v>
      </c>
      <c r="BD32" s="68"/>
      <c r="BE32" s="68"/>
      <c r="BF32" s="68"/>
      <c r="BG32" s="52"/>
      <c r="BH32" s="53">
        <f t="shared" si="12"/>
        <v>0</v>
      </c>
      <c r="BI32" s="52">
        <v>3</v>
      </c>
      <c r="BJ32" s="52"/>
      <c r="BK32" s="52">
        <v>2</v>
      </c>
      <c r="BL32" s="52"/>
      <c r="BM32" s="53">
        <f t="shared" ref="BM32:BM34" si="15">SUM(AZ32,BC32,BH32:BL32)</f>
        <v>16</v>
      </c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</row>
    <row r="33" spans="1:249" ht="30" customHeight="1">
      <c r="A33" s="52">
        <v>20</v>
      </c>
      <c r="B33" s="52" t="s">
        <v>757</v>
      </c>
      <c r="C33" s="52" t="s">
        <v>758</v>
      </c>
      <c r="D33" s="52" t="s">
        <v>690</v>
      </c>
      <c r="E33" s="52" t="s">
        <v>759</v>
      </c>
      <c r="F33" s="53" t="s">
        <v>664</v>
      </c>
      <c r="G33" s="52" t="s">
        <v>651</v>
      </c>
      <c r="H33" s="52">
        <v>55</v>
      </c>
      <c r="I33" s="52" t="s">
        <v>760</v>
      </c>
      <c r="J33" s="52"/>
      <c r="K33" s="69"/>
      <c r="L33" s="69"/>
      <c r="M33" s="69"/>
      <c r="N33" s="69">
        <v>3.1440000000000001</v>
      </c>
      <c r="O33" s="52" t="s">
        <v>652</v>
      </c>
      <c r="P33" s="52">
        <v>15</v>
      </c>
      <c r="Q33" s="52" t="s">
        <v>653</v>
      </c>
      <c r="R33" s="52" t="s">
        <v>654</v>
      </c>
      <c r="S33" s="52" t="s">
        <v>654</v>
      </c>
      <c r="T33" s="52">
        <v>9</v>
      </c>
      <c r="U33" s="52" t="s">
        <v>679</v>
      </c>
      <c r="V33" s="52" t="s">
        <v>656</v>
      </c>
      <c r="W33" s="52">
        <v>1</v>
      </c>
      <c r="X33" s="52"/>
      <c r="Y33" s="52">
        <v>1</v>
      </c>
      <c r="Z33" s="53">
        <v>1</v>
      </c>
      <c r="AA33" s="52">
        <f t="shared" si="14"/>
        <v>8</v>
      </c>
      <c r="AB33" s="52">
        <v>2</v>
      </c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>
        <v>2</v>
      </c>
      <c r="AW33" s="52"/>
      <c r="AX33" s="52">
        <v>3</v>
      </c>
      <c r="AY33" s="52">
        <v>1</v>
      </c>
      <c r="AZ33" s="68">
        <f t="shared" si="7"/>
        <v>6</v>
      </c>
      <c r="BA33" s="52">
        <v>3</v>
      </c>
      <c r="BB33" s="52">
        <v>1</v>
      </c>
      <c r="BC33" s="68">
        <f t="shared" si="8"/>
        <v>4</v>
      </c>
      <c r="BD33" s="52"/>
      <c r="BE33" s="52"/>
      <c r="BF33" s="52"/>
      <c r="BG33" s="52"/>
      <c r="BH33" s="68">
        <f t="shared" si="12"/>
        <v>0</v>
      </c>
      <c r="BI33" s="52">
        <v>2</v>
      </c>
      <c r="BJ33" s="52"/>
      <c r="BK33" s="52">
        <v>2</v>
      </c>
      <c r="BL33" s="52"/>
      <c r="BM33" s="68">
        <f t="shared" si="15"/>
        <v>14</v>
      </c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</row>
    <row r="34" spans="1:249" ht="30" customHeight="1">
      <c r="A34" s="52">
        <v>21</v>
      </c>
      <c r="B34" s="52" t="s">
        <v>761</v>
      </c>
      <c r="C34" s="52" t="s">
        <v>762</v>
      </c>
      <c r="D34" s="52" t="s">
        <v>690</v>
      </c>
      <c r="E34" s="53" t="s">
        <v>763</v>
      </c>
      <c r="F34" s="53" t="s">
        <v>709</v>
      </c>
      <c r="G34" s="53" t="s">
        <v>651</v>
      </c>
      <c r="H34" s="53">
        <v>50</v>
      </c>
      <c r="I34" s="53" t="s">
        <v>684</v>
      </c>
      <c r="J34" s="53">
        <v>2017</v>
      </c>
      <c r="K34" s="65">
        <v>9.3699999999999992</v>
      </c>
      <c r="L34" s="65"/>
      <c r="M34" s="50">
        <v>0</v>
      </c>
      <c r="N34" s="65">
        <v>5.77</v>
      </c>
      <c r="O34" s="53" t="s">
        <v>652</v>
      </c>
      <c r="P34" s="53">
        <v>68</v>
      </c>
      <c r="Q34" s="53" t="s">
        <v>653</v>
      </c>
      <c r="R34" s="53" t="s">
        <v>654</v>
      </c>
      <c r="S34" s="53" t="s">
        <v>654</v>
      </c>
      <c r="T34" s="53">
        <v>6</v>
      </c>
      <c r="U34" s="53" t="s">
        <v>694</v>
      </c>
      <c r="V34" s="53" t="s">
        <v>656</v>
      </c>
      <c r="W34" s="53"/>
      <c r="X34" s="53"/>
      <c r="Y34" s="53">
        <v>1</v>
      </c>
      <c r="Z34" s="53">
        <v>1</v>
      </c>
      <c r="AA34" s="53">
        <f t="shared" si="14"/>
        <v>7</v>
      </c>
      <c r="AB34" s="53">
        <v>4</v>
      </c>
      <c r="AC34" s="53">
        <v>1</v>
      </c>
      <c r="AD34" s="53">
        <v>2</v>
      </c>
      <c r="AE34" s="53">
        <v>2</v>
      </c>
      <c r="AF34" s="53"/>
      <c r="AG34" s="53">
        <v>2</v>
      </c>
      <c r="AH34" s="53">
        <v>1</v>
      </c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>
        <v>4</v>
      </c>
      <c r="AW34" s="53"/>
      <c r="AX34" s="53">
        <v>2</v>
      </c>
      <c r="AY34" s="53">
        <v>1</v>
      </c>
      <c r="AZ34" s="68">
        <f t="shared" si="7"/>
        <v>7</v>
      </c>
      <c r="BA34" s="53">
        <v>3</v>
      </c>
      <c r="BB34" s="53">
        <v>1</v>
      </c>
      <c r="BC34" s="68">
        <f t="shared" si="8"/>
        <v>4</v>
      </c>
      <c r="BD34" s="53"/>
      <c r="BE34" s="53"/>
      <c r="BF34" s="53"/>
      <c r="BG34" s="53"/>
      <c r="BH34" s="68">
        <f t="shared" si="12"/>
        <v>0</v>
      </c>
      <c r="BI34" s="53">
        <v>2</v>
      </c>
      <c r="BJ34" s="53">
        <v>2</v>
      </c>
      <c r="BK34" s="53">
        <v>2</v>
      </c>
      <c r="BL34" s="53"/>
      <c r="BM34" s="68">
        <f t="shared" si="15"/>
        <v>17</v>
      </c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</row>
    <row r="35" spans="1:249" ht="30" customHeight="1">
      <c r="A35" s="52">
        <v>22</v>
      </c>
      <c r="B35" s="52" t="s">
        <v>764</v>
      </c>
      <c r="C35" s="52" t="s">
        <v>765</v>
      </c>
      <c r="D35" s="52" t="s">
        <v>690</v>
      </c>
      <c r="E35" s="53" t="s">
        <v>766</v>
      </c>
      <c r="F35" s="53" t="s">
        <v>659</v>
      </c>
      <c r="G35" s="53" t="s">
        <v>651</v>
      </c>
      <c r="H35" s="53">
        <v>33</v>
      </c>
      <c r="I35" s="53" t="s">
        <v>767</v>
      </c>
      <c r="J35" s="53">
        <v>2018</v>
      </c>
      <c r="K35" s="65">
        <v>4.2279999999999998</v>
      </c>
      <c r="L35" s="65"/>
      <c r="M35" s="65"/>
      <c r="N35" s="65">
        <v>4.1120000000000001</v>
      </c>
      <c r="O35" s="53" t="s">
        <v>652</v>
      </c>
      <c r="P35" s="53">
        <v>20</v>
      </c>
      <c r="Q35" s="53" t="s">
        <v>653</v>
      </c>
      <c r="R35" s="53" t="s">
        <v>654</v>
      </c>
      <c r="S35" s="53" t="s">
        <v>654</v>
      </c>
      <c r="T35" s="53">
        <v>3</v>
      </c>
      <c r="U35" s="53" t="s">
        <v>655</v>
      </c>
      <c r="V35" s="53" t="s">
        <v>656</v>
      </c>
      <c r="W35" s="53">
        <v>1</v>
      </c>
      <c r="X35" s="53"/>
      <c r="Y35" s="53">
        <v>1</v>
      </c>
      <c r="Z35" s="53">
        <v>1</v>
      </c>
      <c r="AA35" s="53">
        <v>8</v>
      </c>
      <c r="AB35" s="53">
        <v>2</v>
      </c>
      <c r="AC35" s="53">
        <v>1</v>
      </c>
      <c r="AD35" s="53"/>
      <c r="AE35" s="53">
        <v>3</v>
      </c>
      <c r="AF35" s="53"/>
      <c r="AG35" s="53">
        <v>3</v>
      </c>
      <c r="AH35" s="53"/>
      <c r="AI35" s="53"/>
      <c r="AJ35" s="53"/>
      <c r="AK35" s="53">
        <v>1</v>
      </c>
      <c r="AL35" s="53"/>
      <c r="AM35" s="53"/>
      <c r="AN35" s="53"/>
      <c r="AO35" s="53"/>
      <c r="AP35" s="53">
        <v>1</v>
      </c>
      <c r="AQ35" s="53">
        <v>2</v>
      </c>
      <c r="AR35" s="53"/>
      <c r="AS35" s="53">
        <v>8</v>
      </c>
      <c r="AT35" s="53">
        <v>1</v>
      </c>
      <c r="AU35" s="53">
        <v>1</v>
      </c>
      <c r="AV35" s="53">
        <v>3</v>
      </c>
      <c r="AW35" s="53"/>
      <c r="AX35" s="53">
        <v>3</v>
      </c>
      <c r="AY35" s="53"/>
      <c r="AZ35" s="53">
        <f t="shared" si="7"/>
        <v>6</v>
      </c>
      <c r="BA35" s="53">
        <v>4</v>
      </c>
      <c r="BB35" s="53"/>
      <c r="BC35" s="53">
        <f t="shared" si="8"/>
        <v>4</v>
      </c>
      <c r="BD35" s="53">
        <v>0</v>
      </c>
      <c r="BE35" s="53"/>
      <c r="BF35" s="53"/>
      <c r="BG35" s="53">
        <v>1</v>
      </c>
      <c r="BH35" s="53">
        <f t="shared" si="12"/>
        <v>1</v>
      </c>
      <c r="BI35" s="53">
        <v>3</v>
      </c>
      <c r="BJ35" s="53">
        <v>0</v>
      </c>
      <c r="BK35" s="53">
        <v>2</v>
      </c>
      <c r="BL35" s="53"/>
      <c r="BM35" s="58">
        <f>AZ35+BC35+BH35+BI35+BJ35+BK35+BL35</f>
        <v>16</v>
      </c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  <c r="IJ35" s="77"/>
      <c r="IK35" s="77"/>
      <c r="IL35" s="77"/>
      <c r="IM35" s="77"/>
      <c r="IN35" s="77"/>
      <c r="IO35" s="77"/>
    </row>
    <row r="36" spans="1:249" s="45" customFormat="1" ht="30" customHeight="1">
      <c r="A36" s="55" t="s">
        <v>325</v>
      </c>
      <c r="B36" s="55"/>
      <c r="C36" s="59">
        <f>A35</f>
        <v>22</v>
      </c>
      <c r="D36" s="60"/>
      <c r="E36" s="56"/>
      <c r="F36" s="56"/>
      <c r="G36" s="56"/>
      <c r="H36" s="56"/>
      <c r="I36" s="56"/>
      <c r="J36" s="56"/>
      <c r="K36" s="67"/>
      <c r="L36" s="67"/>
      <c r="M36" s="67"/>
      <c r="N36" s="67"/>
      <c r="O36" s="56"/>
      <c r="P36" s="56"/>
      <c r="Q36" s="56"/>
      <c r="R36" s="56"/>
      <c r="S36" s="56"/>
      <c r="T36" s="56"/>
      <c r="U36" s="56"/>
      <c r="V36" s="56"/>
      <c r="W36" s="56">
        <f t="shared" ref="W36:BM36" si="16">SUM(W14:W35)</f>
        <v>22</v>
      </c>
      <c r="X36" s="56">
        <f t="shared" si="16"/>
        <v>2</v>
      </c>
      <c r="Y36" s="56">
        <f t="shared" si="16"/>
        <v>22</v>
      </c>
      <c r="Z36" s="56">
        <f t="shared" si="16"/>
        <v>22</v>
      </c>
      <c r="AA36" s="56">
        <f t="shared" si="16"/>
        <v>169</v>
      </c>
      <c r="AB36" s="56">
        <f t="shared" si="16"/>
        <v>61</v>
      </c>
      <c r="AC36" s="56">
        <f t="shared" si="16"/>
        <v>6</v>
      </c>
      <c r="AD36" s="56">
        <f t="shared" si="16"/>
        <v>35</v>
      </c>
      <c r="AE36" s="56">
        <f t="shared" si="16"/>
        <v>40</v>
      </c>
      <c r="AF36" s="56">
        <f t="shared" si="16"/>
        <v>3</v>
      </c>
      <c r="AG36" s="56">
        <f t="shared" si="16"/>
        <v>43</v>
      </c>
      <c r="AH36" s="56">
        <f t="shared" si="16"/>
        <v>5</v>
      </c>
      <c r="AI36" s="56">
        <f t="shared" si="16"/>
        <v>0</v>
      </c>
      <c r="AJ36" s="56">
        <f t="shared" si="16"/>
        <v>0</v>
      </c>
      <c r="AK36" s="56">
        <f t="shared" si="16"/>
        <v>16</v>
      </c>
      <c r="AL36" s="56">
        <f t="shared" si="16"/>
        <v>1</v>
      </c>
      <c r="AM36" s="56">
        <f t="shared" si="16"/>
        <v>0</v>
      </c>
      <c r="AN36" s="56">
        <f t="shared" si="16"/>
        <v>0</v>
      </c>
      <c r="AO36" s="56">
        <f t="shared" si="16"/>
        <v>0</v>
      </c>
      <c r="AP36" s="56">
        <f t="shared" si="16"/>
        <v>2</v>
      </c>
      <c r="AQ36" s="56">
        <f t="shared" si="16"/>
        <v>12</v>
      </c>
      <c r="AR36" s="56">
        <f t="shared" si="16"/>
        <v>4</v>
      </c>
      <c r="AS36" s="56">
        <f t="shared" si="16"/>
        <v>8</v>
      </c>
      <c r="AT36" s="56">
        <f t="shared" si="16"/>
        <v>1</v>
      </c>
      <c r="AU36" s="56">
        <f t="shared" si="16"/>
        <v>5</v>
      </c>
      <c r="AV36" s="56">
        <f t="shared" si="16"/>
        <v>57</v>
      </c>
      <c r="AW36" s="56">
        <f t="shared" si="16"/>
        <v>0</v>
      </c>
      <c r="AX36" s="56">
        <f t="shared" si="16"/>
        <v>53</v>
      </c>
      <c r="AY36" s="56">
        <f t="shared" si="16"/>
        <v>16</v>
      </c>
      <c r="AZ36" s="56">
        <f t="shared" si="16"/>
        <v>126</v>
      </c>
      <c r="BA36" s="56">
        <f t="shared" si="16"/>
        <v>81</v>
      </c>
      <c r="BB36" s="56">
        <f t="shared" si="16"/>
        <v>20</v>
      </c>
      <c r="BC36" s="56">
        <f t="shared" si="16"/>
        <v>101</v>
      </c>
      <c r="BD36" s="56">
        <f t="shared" si="16"/>
        <v>5</v>
      </c>
      <c r="BE36" s="56">
        <f t="shared" si="16"/>
        <v>2</v>
      </c>
      <c r="BF36" s="56">
        <f t="shared" si="16"/>
        <v>0</v>
      </c>
      <c r="BG36" s="56">
        <f t="shared" si="16"/>
        <v>18</v>
      </c>
      <c r="BH36" s="56">
        <f t="shared" si="16"/>
        <v>25</v>
      </c>
      <c r="BI36" s="56">
        <f t="shared" si="16"/>
        <v>58</v>
      </c>
      <c r="BJ36" s="56">
        <f t="shared" si="16"/>
        <v>21</v>
      </c>
      <c r="BK36" s="56">
        <f t="shared" si="16"/>
        <v>39</v>
      </c>
      <c r="BL36" s="56">
        <f t="shared" si="16"/>
        <v>2</v>
      </c>
      <c r="BM36" s="56">
        <f t="shared" si="16"/>
        <v>372</v>
      </c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</row>
    <row r="37" spans="1:249" ht="30" customHeight="1">
      <c r="A37" s="52">
        <v>1</v>
      </c>
      <c r="B37" s="52" t="s">
        <v>768</v>
      </c>
      <c r="C37" s="52" t="s">
        <v>769</v>
      </c>
      <c r="D37" s="52" t="s">
        <v>770</v>
      </c>
      <c r="E37" s="57" t="s">
        <v>771</v>
      </c>
      <c r="F37" s="52" t="s">
        <v>650</v>
      </c>
      <c r="G37" s="52" t="s">
        <v>651</v>
      </c>
      <c r="H37" s="52">
        <v>37</v>
      </c>
      <c r="I37" s="52" t="s">
        <v>701</v>
      </c>
      <c r="J37" s="53"/>
      <c r="K37" s="69"/>
      <c r="L37" s="69"/>
      <c r="M37" s="65"/>
      <c r="N37" s="70"/>
      <c r="O37" s="52" t="s">
        <v>652</v>
      </c>
      <c r="P37" s="52">
        <v>6</v>
      </c>
      <c r="Q37" s="52" t="s">
        <v>653</v>
      </c>
      <c r="R37" s="52" t="s">
        <v>654</v>
      </c>
      <c r="S37" s="52" t="s">
        <v>654</v>
      </c>
      <c r="T37" s="68">
        <v>4</v>
      </c>
      <c r="U37" s="52" t="s">
        <v>679</v>
      </c>
      <c r="V37" s="52" t="s">
        <v>656</v>
      </c>
      <c r="W37" s="68"/>
      <c r="X37" s="68"/>
      <c r="Y37" s="53">
        <v>1</v>
      </c>
      <c r="Z37" s="53">
        <v>1</v>
      </c>
      <c r="AA37" s="52">
        <f t="shared" ref="AA37:AA59" si="17">AX37+AY37+BA37+BB37</f>
        <v>8</v>
      </c>
      <c r="AB37" s="52"/>
      <c r="AC37" s="53"/>
      <c r="AD37" s="53"/>
      <c r="AE37" s="53"/>
      <c r="AF37" s="53"/>
      <c r="AG37" s="53"/>
      <c r="AH37" s="52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52">
        <v>3</v>
      </c>
      <c r="AW37" s="53"/>
      <c r="AX37" s="52">
        <v>4</v>
      </c>
      <c r="AY37" s="52"/>
      <c r="AZ37" s="68">
        <f t="shared" ref="AZ37:AZ63" si="18">SUM(AV37:AY37)</f>
        <v>7</v>
      </c>
      <c r="BA37" s="52">
        <v>4</v>
      </c>
      <c r="BB37" s="52"/>
      <c r="BC37" s="68">
        <f t="shared" ref="BC37:BC63" si="19">SUM(BA37:BB37)</f>
        <v>4</v>
      </c>
      <c r="BD37" s="68"/>
      <c r="BE37" s="68"/>
      <c r="BF37" s="68"/>
      <c r="BG37" s="52"/>
      <c r="BH37" s="68">
        <f t="shared" ref="BH37:BH63" si="20">SUM(BD37:BG37)</f>
        <v>0</v>
      </c>
      <c r="BI37" s="52"/>
      <c r="BJ37" s="53"/>
      <c r="BK37" s="52"/>
      <c r="BL37" s="52">
        <v>1</v>
      </c>
      <c r="BM37" s="68">
        <f t="shared" ref="BM37:BM63" si="21">SUM(AZ37,BC37,BH37:BL37)</f>
        <v>12</v>
      </c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  <c r="GX37" s="77"/>
      <c r="GY37" s="77"/>
      <c r="GZ37" s="77"/>
      <c r="HA37" s="77"/>
      <c r="HB37" s="77"/>
      <c r="HC37" s="77"/>
      <c r="HD37" s="77"/>
      <c r="HE37" s="77"/>
      <c r="HF37" s="77"/>
      <c r="HG37" s="77"/>
      <c r="HH37" s="77"/>
      <c r="HI37" s="77"/>
      <c r="HJ37" s="77"/>
      <c r="HK37" s="77"/>
      <c r="HL37" s="77"/>
      <c r="HM37" s="77"/>
      <c r="HN37" s="77"/>
      <c r="HO37" s="77"/>
      <c r="HP37" s="77"/>
      <c r="HQ37" s="77"/>
      <c r="HR37" s="77"/>
      <c r="HS37" s="77"/>
      <c r="HT37" s="77"/>
      <c r="HU37" s="77"/>
      <c r="HV37" s="77"/>
      <c r="HW37" s="77"/>
      <c r="HX37" s="77"/>
      <c r="HY37" s="77"/>
      <c r="HZ37" s="77"/>
      <c r="IA37" s="77"/>
      <c r="IB37" s="77"/>
      <c r="IC37" s="77"/>
      <c r="ID37" s="77"/>
      <c r="IE37" s="77"/>
      <c r="IF37" s="77"/>
      <c r="IG37" s="77"/>
      <c r="IH37" s="77"/>
      <c r="II37" s="77"/>
      <c r="IJ37" s="77"/>
      <c r="IK37" s="77"/>
      <c r="IL37" s="77"/>
      <c r="IM37" s="77"/>
      <c r="IN37" s="77"/>
      <c r="IO37" s="77"/>
    </row>
    <row r="38" spans="1:249" s="47" customFormat="1" ht="30" customHeight="1">
      <c r="A38" s="52">
        <v>2</v>
      </c>
      <c r="B38" s="52" t="s">
        <v>772</v>
      </c>
      <c r="C38" s="52" t="s">
        <v>773</v>
      </c>
      <c r="D38" s="52" t="s">
        <v>770</v>
      </c>
      <c r="E38" s="52" t="s">
        <v>774</v>
      </c>
      <c r="F38" s="52" t="s">
        <v>775</v>
      </c>
      <c r="G38" s="52" t="s">
        <v>651</v>
      </c>
      <c r="H38" s="52">
        <v>21.03</v>
      </c>
      <c r="I38" s="52" t="s">
        <v>776</v>
      </c>
      <c r="J38" s="52">
        <v>2019</v>
      </c>
      <c r="K38" s="69">
        <v>0</v>
      </c>
      <c r="L38" s="69">
        <v>0</v>
      </c>
      <c r="M38" s="69">
        <v>0</v>
      </c>
      <c r="N38" s="69">
        <v>0</v>
      </c>
      <c r="O38" s="52" t="s">
        <v>652</v>
      </c>
      <c r="P38" s="52">
        <v>18</v>
      </c>
      <c r="Q38" s="52">
        <v>1</v>
      </c>
      <c r="R38" s="52" t="s">
        <v>654</v>
      </c>
      <c r="S38" s="52" t="s">
        <v>654</v>
      </c>
      <c r="T38" s="52">
        <v>9</v>
      </c>
      <c r="U38" s="52" t="s">
        <v>777</v>
      </c>
      <c r="V38" s="52" t="s">
        <v>778</v>
      </c>
      <c r="W38" s="52">
        <v>2</v>
      </c>
      <c r="X38" s="52">
        <v>2</v>
      </c>
      <c r="Y38" s="52">
        <v>15</v>
      </c>
      <c r="Z38" s="53">
        <v>1</v>
      </c>
      <c r="AA38" s="52">
        <v>6</v>
      </c>
      <c r="AB38" s="52">
        <v>2</v>
      </c>
      <c r="AC38" s="52">
        <v>0</v>
      </c>
      <c r="AD38" s="52">
        <v>0</v>
      </c>
      <c r="AE38" s="52">
        <v>2</v>
      </c>
      <c r="AF38" s="52">
        <v>0</v>
      </c>
      <c r="AG38" s="52">
        <v>2</v>
      </c>
      <c r="AH38" s="52">
        <v>0</v>
      </c>
      <c r="AI38" s="52">
        <v>0</v>
      </c>
      <c r="AJ38" s="52">
        <v>0</v>
      </c>
      <c r="AK38" s="52">
        <v>2</v>
      </c>
      <c r="AL38" s="52">
        <v>0</v>
      </c>
      <c r="AM38" s="52">
        <v>0</v>
      </c>
      <c r="AN38" s="52">
        <v>0</v>
      </c>
      <c r="AO38" s="52"/>
      <c r="AP38" s="52">
        <v>0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3</v>
      </c>
      <c r="AW38" s="52">
        <v>0</v>
      </c>
      <c r="AX38" s="52">
        <v>2</v>
      </c>
      <c r="AY38" s="52">
        <v>0</v>
      </c>
      <c r="AZ38" s="68">
        <f t="shared" si="18"/>
        <v>5</v>
      </c>
      <c r="BA38" s="52">
        <v>3</v>
      </c>
      <c r="BB38" s="52">
        <v>1</v>
      </c>
      <c r="BC38" s="68">
        <f t="shared" si="19"/>
        <v>4</v>
      </c>
      <c r="BD38" s="52">
        <v>0</v>
      </c>
      <c r="BE38" s="52">
        <v>0</v>
      </c>
      <c r="BF38" s="52">
        <v>0</v>
      </c>
      <c r="BG38" s="52">
        <v>0</v>
      </c>
      <c r="BH38" s="68">
        <f t="shared" si="20"/>
        <v>0</v>
      </c>
      <c r="BI38" s="52">
        <v>2</v>
      </c>
      <c r="BJ38" s="52">
        <v>0</v>
      </c>
      <c r="BK38" s="52">
        <v>2</v>
      </c>
      <c r="BL38" s="52">
        <v>0</v>
      </c>
      <c r="BM38" s="68">
        <f t="shared" si="21"/>
        <v>13</v>
      </c>
    </row>
    <row r="39" spans="1:249" ht="30" customHeight="1">
      <c r="A39" s="52">
        <v>3</v>
      </c>
      <c r="B39" s="52" t="s">
        <v>779</v>
      </c>
      <c r="C39" s="52" t="s">
        <v>780</v>
      </c>
      <c r="D39" s="52" t="s">
        <v>770</v>
      </c>
      <c r="E39" s="61" t="s">
        <v>781</v>
      </c>
      <c r="F39" s="61" t="s">
        <v>650</v>
      </c>
      <c r="G39" s="52" t="s">
        <v>651</v>
      </c>
      <c r="H39" s="61">
        <v>38</v>
      </c>
      <c r="I39" s="61" t="s">
        <v>782</v>
      </c>
      <c r="J39" s="68"/>
      <c r="K39" s="69">
        <v>0</v>
      </c>
      <c r="L39" s="69"/>
      <c r="M39" s="70"/>
      <c r="N39" s="70"/>
      <c r="O39" s="52" t="s">
        <v>652</v>
      </c>
      <c r="P39" s="52">
        <v>20</v>
      </c>
      <c r="Q39" s="52" t="s">
        <v>653</v>
      </c>
      <c r="R39" s="52" t="s">
        <v>654</v>
      </c>
      <c r="S39" s="52" t="s">
        <v>654</v>
      </c>
      <c r="T39" s="68">
        <v>2</v>
      </c>
      <c r="U39" s="52" t="s">
        <v>679</v>
      </c>
      <c r="V39" s="52" t="s">
        <v>656</v>
      </c>
      <c r="W39" s="68"/>
      <c r="X39" s="68"/>
      <c r="Y39" s="52">
        <v>1</v>
      </c>
      <c r="Z39" s="53">
        <v>1</v>
      </c>
      <c r="AA39" s="52">
        <f t="shared" si="17"/>
        <v>9</v>
      </c>
      <c r="AB39" s="52"/>
      <c r="AC39" s="68"/>
      <c r="AD39" s="68"/>
      <c r="AE39" s="68"/>
      <c r="AF39" s="68"/>
      <c r="AG39" s="68"/>
      <c r="AH39" s="52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52">
        <v>1</v>
      </c>
      <c r="AW39" s="68"/>
      <c r="AX39" s="52">
        <v>4</v>
      </c>
      <c r="AY39" s="52"/>
      <c r="AZ39" s="68">
        <f t="shared" si="18"/>
        <v>5</v>
      </c>
      <c r="BA39" s="52">
        <v>5</v>
      </c>
      <c r="BB39" s="52"/>
      <c r="BC39" s="68">
        <f t="shared" si="19"/>
        <v>5</v>
      </c>
      <c r="BD39" s="68"/>
      <c r="BE39" s="68"/>
      <c r="BF39" s="68"/>
      <c r="BG39" s="52"/>
      <c r="BH39" s="68">
        <f t="shared" si="20"/>
        <v>0</v>
      </c>
      <c r="BI39" s="52">
        <v>2</v>
      </c>
      <c r="BJ39" s="52"/>
      <c r="BK39" s="52"/>
      <c r="BL39" s="52">
        <v>1</v>
      </c>
      <c r="BM39" s="68">
        <f t="shared" si="21"/>
        <v>13</v>
      </c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  <c r="IN39" s="77"/>
      <c r="IO39" s="77"/>
    </row>
    <row r="40" spans="1:249" ht="30" customHeight="1">
      <c r="A40" s="52">
        <v>4</v>
      </c>
      <c r="B40" s="52" t="s">
        <v>783</v>
      </c>
      <c r="C40" s="52" t="s">
        <v>784</v>
      </c>
      <c r="D40" s="52" t="s">
        <v>770</v>
      </c>
      <c r="E40" s="57" t="s">
        <v>785</v>
      </c>
      <c r="F40" s="52" t="s">
        <v>659</v>
      </c>
      <c r="G40" s="52" t="s">
        <v>651</v>
      </c>
      <c r="H40" s="52">
        <v>34</v>
      </c>
      <c r="I40" s="52" t="s">
        <v>786</v>
      </c>
      <c r="J40" s="68"/>
      <c r="K40" s="69">
        <v>3.5779999999999998</v>
      </c>
      <c r="L40" s="69"/>
      <c r="M40" s="70"/>
      <c r="N40" s="70"/>
      <c r="O40" s="52" t="s">
        <v>652</v>
      </c>
      <c r="P40" s="52">
        <v>17</v>
      </c>
      <c r="Q40" s="52" t="s">
        <v>653</v>
      </c>
      <c r="R40" s="52" t="s">
        <v>654</v>
      </c>
      <c r="S40" s="52" t="s">
        <v>654</v>
      </c>
      <c r="T40" s="68">
        <v>3</v>
      </c>
      <c r="U40" s="52" t="s">
        <v>679</v>
      </c>
      <c r="V40" s="52" t="s">
        <v>656</v>
      </c>
      <c r="W40" s="68">
        <v>1</v>
      </c>
      <c r="X40" s="68"/>
      <c r="Y40" s="52">
        <v>1</v>
      </c>
      <c r="Z40" s="53">
        <v>1</v>
      </c>
      <c r="AA40" s="53">
        <v>8</v>
      </c>
      <c r="AB40" s="53">
        <v>2</v>
      </c>
      <c r="AC40" s="53">
        <v>1</v>
      </c>
      <c r="AD40" s="68"/>
      <c r="AE40" s="53">
        <v>2</v>
      </c>
      <c r="AF40" s="68"/>
      <c r="AG40" s="53">
        <v>2</v>
      </c>
      <c r="AH40" s="52"/>
      <c r="AI40" s="68"/>
      <c r="AJ40" s="68"/>
      <c r="AK40" s="53">
        <v>1</v>
      </c>
      <c r="AL40" s="53">
        <v>1</v>
      </c>
      <c r="AM40" s="68"/>
      <c r="AN40" s="68"/>
      <c r="AO40" s="68"/>
      <c r="AP40" s="68">
        <v>1</v>
      </c>
      <c r="AQ40" s="68">
        <v>2</v>
      </c>
      <c r="AR40" s="68">
        <v>0</v>
      </c>
      <c r="AS40" s="68">
        <v>8</v>
      </c>
      <c r="AT40" s="68">
        <v>1</v>
      </c>
      <c r="AU40" s="68">
        <v>0</v>
      </c>
      <c r="AV40" s="52">
        <v>2</v>
      </c>
      <c r="AW40" s="68"/>
      <c r="AX40" s="52">
        <v>2</v>
      </c>
      <c r="AY40" s="52">
        <v>1</v>
      </c>
      <c r="AZ40" s="68">
        <f t="shared" si="18"/>
        <v>5</v>
      </c>
      <c r="BA40" s="52">
        <v>5</v>
      </c>
      <c r="BB40" s="52">
        <v>1</v>
      </c>
      <c r="BC40" s="68">
        <f t="shared" si="19"/>
        <v>6</v>
      </c>
      <c r="BD40" s="68"/>
      <c r="BE40" s="68"/>
      <c r="BF40" s="68"/>
      <c r="BG40" s="52"/>
      <c r="BH40" s="68">
        <f t="shared" si="20"/>
        <v>0</v>
      </c>
      <c r="BI40" s="52">
        <v>2</v>
      </c>
      <c r="BJ40" s="52"/>
      <c r="BK40" s="52">
        <v>1</v>
      </c>
      <c r="BL40" s="52"/>
      <c r="BM40" s="68">
        <f t="shared" si="21"/>
        <v>14</v>
      </c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  <c r="GX40" s="77"/>
      <c r="GY40" s="77"/>
      <c r="GZ40" s="77"/>
      <c r="HA40" s="77"/>
      <c r="HB40" s="77"/>
      <c r="HC40" s="77"/>
      <c r="HD40" s="77"/>
      <c r="HE40" s="77"/>
      <c r="HF40" s="77"/>
      <c r="HG40" s="77"/>
      <c r="HH40" s="77"/>
      <c r="HI40" s="77"/>
      <c r="HJ40" s="77"/>
      <c r="HK40" s="77"/>
      <c r="HL40" s="77"/>
      <c r="HM40" s="77"/>
      <c r="HN40" s="77"/>
      <c r="HO40" s="77"/>
      <c r="HP40" s="77"/>
      <c r="HQ40" s="77"/>
      <c r="HR40" s="77"/>
      <c r="HS40" s="77"/>
      <c r="HT40" s="77"/>
      <c r="HU40" s="77"/>
      <c r="HV40" s="77"/>
      <c r="HW40" s="77"/>
      <c r="HX40" s="77"/>
      <c r="HY40" s="77"/>
      <c r="HZ40" s="77"/>
      <c r="IA40" s="77"/>
      <c r="IB40" s="77"/>
      <c r="IC40" s="77"/>
      <c r="ID40" s="77"/>
      <c r="IE40" s="77"/>
      <c r="IF40" s="77"/>
      <c r="IG40" s="77"/>
      <c r="IH40" s="77"/>
      <c r="II40" s="77"/>
      <c r="IJ40" s="77"/>
      <c r="IK40" s="77"/>
      <c r="IL40" s="77"/>
      <c r="IM40" s="77"/>
      <c r="IN40" s="77"/>
      <c r="IO40" s="77"/>
    </row>
    <row r="41" spans="1:249" ht="30" customHeight="1">
      <c r="A41" s="52">
        <v>5</v>
      </c>
      <c r="B41" s="52" t="s">
        <v>787</v>
      </c>
      <c r="C41" s="52" t="s">
        <v>788</v>
      </c>
      <c r="D41" s="52" t="s">
        <v>770</v>
      </c>
      <c r="E41" s="57" t="s">
        <v>789</v>
      </c>
      <c r="F41" s="53" t="s">
        <v>664</v>
      </c>
      <c r="G41" s="52" t="s">
        <v>651</v>
      </c>
      <c r="H41" s="52">
        <v>39</v>
      </c>
      <c r="I41" s="52" t="s">
        <v>790</v>
      </c>
      <c r="J41" s="68"/>
      <c r="K41" s="69"/>
      <c r="L41" s="69"/>
      <c r="M41" s="70"/>
      <c r="N41" s="70"/>
      <c r="O41" s="52" t="s">
        <v>652</v>
      </c>
      <c r="P41" s="52">
        <v>14</v>
      </c>
      <c r="Q41" s="52" t="s">
        <v>653</v>
      </c>
      <c r="R41" s="52" t="s">
        <v>654</v>
      </c>
      <c r="S41" s="52" t="s">
        <v>654</v>
      </c>
      <c r="T41" s="68">
        <v>2</v>
      </c>
      <c r="U41" s="52" t="s">
        <v>679</v>
      </c>
      <c r="V41" s="52" t="s">
        <v>791</v>
      </c>
      <c r="W41" s="68"/>
      <c r="X41" s="68"/>
      <c r="Y41" s="52">
        <v>1</v>
      </c>
      <c r="Z41" s="53">
        <v>1</v>
      </c>
      <c r="AA41" s="52">
        <f t="shared" si="17"/>
        <v>11</v>
      </c>
      <c r="AB41" s="52"/>
      <c r="AC41" s="68"/>
      <c r="AD41" s="68"/>
      <c r="AE41" s="68"/>
      <c r="AF41" s="68"/>
      <c r="AG41" s="68"/>
      <c r="AH41" s="52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52">
        <v>1</v>
      </c>
      <c r="AW41" s="68"/>
      <c r="AX41" s="52">
        <v>6</v>
      </c>
      <c r="AY41" s="52"/>
      <c r="AZ41" s="68">
        <f t="shared" si="18"/>
        <v>7</v>
      </c>
      <c r="BA41" s="52">
        <v>5</v>
      </c>
      <c r="BB41" s="52"/>
      <c r="BC41" s="68">
        <f t="shared" si="19"/>
        <v>5</v>
      </c>
      <c r="BD41" s="68"/>
      <c r="BE41" s="68"/>
      <c r="BF41" s="68"/>
      <c r="BG41" s="52"/>
      <c r="BH41" s="68">
        <f t="shared" si="20"/>
        <v>0</v>
      </c>
      <c r="BI41" s="52">
        <v>2</v>
      </c>
      <c r="BJ41" s="52"/>
      <c r="BK41" s="52"/>
      <c r="BL41" s="52">
        <v>1</v>
      </c>
      <c r="BM41" s="68">
        <f t="shared" si="21"/>
        <v>15</v>
      </c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  <c r="GX41" s="77"/>
      <c r="GY41" s="77"/>
      <c r="GZ41" s="77"/>
      <c r="HA41" s="77"/>
      <c r="HB41" s="77"/>
      <c r="HC41" s="77"/>
      <c r="HD41" s="77"/>
      <c r="HE41" s="77"/>
      <c r="HF41" s="77"/>
      <c r="HG41" s="77"/>
      <c r="HH41" s="77"/>
      <c r="HI41" s="77"/>
      <c r="HJ41" s="77"/>
      <c r="HK41" s="77"/>
      <c r="HL41" s="77"/>
      <c r="HM41" s="77"/>
      <c r="HN41" s="77"/>
      <c r="HO41" s="77"/>
      <c r="HP41" s="77"/>
      <c r="HQ41" s="77"/>
      <c r="HR41" s="77"/>
      <c r="HS41" s="77"/>
      <c r="HT41" s="77"/>
      <c r="HU41" s="77"/>
      <c r="HV41" s="77"/>
      <c r="HW41" s="77"/>
      <c r="HX41" s="77"/>
      <c r="HY41" s="77"/>
      <c r="HZ41" s="77"/>
      <c r="IA41" s="77"/>
      <c r="IB41" s="77"/>
      <c r="IC41" s="77"/>
      <c r="ID41" s="77"/>
      <c r="IE41" s="77"/>
      <c r="IF41" s="77"/>
      <c r="IG41" s="77"/>
      <c r="IH41" s="77"/>
      <c r="II41" s="77"/>
      <c r="IJ41" s="77"/>
      <c r="IK41" s="77"/>
      <c r="IL41" s="77"/>
      <c r="IM41" s="77"/>
      <c r="IN41" s="77"/>
      <c r="IO41" s="77"/>
    </row>
    <row r="42" spans="1:249" ht="30" customHeight="1">
      <c r="A42" s="52">
        <v>6</v>
      </c>
      <c r="B42" s="52" t="s">
        <v>792</v>
      </c>
      <c r="C42" s="52" t="s">
        <v>27</v>
      </c>
      <c r="D42" s="52" t="s">
        <v>770</v>
      </c>
      <c r="E42" s="57" t="s">
        <v>793</v>
      </c>
      <c r="F42" s="53" t="s">
        <v>664</v>
      </c>
      <c r="G42" s="52" t="s">
        <v>651</v>
      </c>
      <c r="H42" s="52">
        <v>19</v>
      </c>
      <c r="I42" s="52" t="s">
        <v>684</v>
      </c>
      <c r="J42" s="68"/>
      <c r="K42" s="69"/>
      <c r="L42" s="69">
        <v>0</v>
      </c>
      <c r="M42" s="70"/>
      <c r="N42" s="70"/>
      <c r="O42" s="52" t="s">
        <v>652</v>
      </c>
      <c r="P42" s="52">
        <v>12</v>
      </c>
      <c r="Q42" s="52" t="s">
        <v>794</v>
      </c>
      <c r="R42" s="52" t="s">
        <v>654</v>
      </c>
      <c r="S42" s="52" t="s">
        <v>654</v>
      </c>
      <c r="T42" s="68">
        <v>2</v>
      </c>
      <c r="U42" s="52" t="s">
        <v>679</v>
      </c>
      <c r="V42" s="52" t="s">
        <v>791</v>
      </c>
      <c r="W42" s="68">
        <v>1</v>
      </c>
      <c r="X42" s="68"/>
      <c r="Y42" s="52">
        <v>1</v>
      </c>
      <c r="Z42" s="53">
        <v>1</v>
      </c>
      <c r="AA42" s="52">
        <f t="shared" si="17"/>
        <v>6</v>
      </c>
      <c r="AB42" s="52"/>
      <c r="AC42" s="68"/>
      <c r="AD42" s="68"/>
      <c r="AE42" s="68"/>
      <c r="AF42" s="68"/>
      <c r="AG42" s="68"/>
      <c r="AH42" s="52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52">
        <v>1</v>
      </c>
      <c r="AW42" s="68"/>
      <c r="AX42" s="52">
        <v>3</v>
      </c>
      <c r="AY42" s="52"/>
      <c r="AZ42" s="68">
        <f t="shared" si="18"/>
        <v>4</v>
      </c>
      <c r="BA42" s="52">
        <v>3</v>
      </c>
      <c r="BB42" s="52"/>
      <c r="BC42" s="68">
        <f t="shared" si="19"/>
        <v>3</v>
      </c>
      <c r="BD42" s="68"/>
      <c r="BE42" s="68"/>
      <c r="BF42" s="68"/>
      <c r="BG42" s="52"/>
      <c r="BH42" s="68">
        <f t="shared" si="20"/>
        <v>0</v>
      </c>
      <c r="BI42" s="52">
        <v>1</v>
      </c>
      <c r="BJ42" s="52"/>
      <c r="BK42" s="52"/>
      <c r="BL42" s="52"/>
      <c r="BM42" s="68">
        <f t="shared" si="21"/>
        <v>8</v>
      </c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  <c r="GX42" s="77"/>
      <c r="GY42" s="77"/>
      <c r="GZ42" s="77"/>
      <c r="HA42" s="77"/>
      <c r="HB42" s="77"/>
      <c r="HC42" s="77"/>
      <c r="HD42" s="77"/>
      <c r="HE42" s="77"/>
      <c r="HF42" s="77"/>
      <c r="HG42" s="77"/>
      <c r="HH42" s="77"/>
      <c r="HI42" s="77"/>
      <c r="HJ42" s="77"/>
      <c r="HK42" s="77"/>
      <c r="HL42" s="77"/>
      <c r="HM42" s="77"/>
      <c r="HN42" s="77"/>
      <c r="HO42" s="77"/>
      <c r="HP42" s="77"/>
      <c r="HQ42" s="77"/>
      <c r="HR42" s="77"/>
      <c r="HS42" s="77"/>
      <c r="HT42" s="77"/>
      <c r="HU42" s="77"/>
      <c r="HV42" s="77"/>
      <c r="HW42" s="77"/>
      <c r="HX42" s="77"/>
      <c r="HY42" s="77"/>
      <c r="HZ42" s="77"/>
      <c r="IA42" s="77"/>
      <c r="IB42" s="77"/>
      <c r="IC42" s="77"/>
      <c r="ID42" s="77"/>
      <c r="IE42" s="77"/>
      <c r="IF42" s="77"/>
      <c r="IG42" s="77"/>
      <c r="IH42" s="77"/>
      <c r="II42" s="77"/>
      <c r="IJ42" s="77"/>
      <c r="IK42" s="77"/>
      <c r="IL42" s="77"/>
      <c r="IM42" s="77"/>
      <c r="IN42" s="77"/>
      <c r="IO42" s="77"/>
    </row>
    <row r="43" spans="1:249" ht="30" customHeight="1">
      <c r="A43" s="52">
        <v>7</v>
      </c>
      <c r="B43" s="52" t="s">
        <v>795</v>
      </c>
      <c r="C43" s="52" t="s">
        <v>796</v>
      </c>
      <c r="D43" s="52" t="s">
        <v>770</v>
      </c>
      <c r="E43" s="57" t="s">
        <v>797</v>
      </c>
      <c r="F43" s="52" t="s">
        <v>659</v>
      </c>
      <c r="G43" s="52" t="s">
        <v>651</v>
      </c>
      <c r="H43" s="52">
        <v>32</v>
      </c>
      <c r="I43" s="52" t="s">
        <v>798</v>
      </c>
      <c r="J43" s="68"/>
      <c r="K43" s="69"/>
      <c r="L43" s="69">
        <v>0</v>
      </c>
      <c r="M43" s="70"/>
      <c r="N43" s="70"/>
      <c r="O43" s="52" t="s">
        <v>652</v>
      </c>
      <c r="P43" s="52">
        <v>4</v>
      </c>
      <c r="Q43" s="52" t="s">
        <v>653</v>
      </c>
      <c r="R43" s="52" t="s">
        <v>654</v>
      </c>
      <c r="S43" s="52" t="s">
        <v>654</v>
      </c>
      <c r="T43" s="68">
        <v>4</v>
      </c>
      <c r="U43" s="52" t="s">
        <v>679</v>
      </c>
      <c r="V43" s="52" t="s">
        <v>656</v>
      </c>
      <c r="W43" s="68">
        <v>1</v>
      </c>
      <c r="X43" s="68"/>
      <c r="Y43" s="52">
        <v>1</v>
      </c>
      <c r="Z43" s="53">
        <v>1</v>
      </c>
      <c r="AA43" s="53">
        <f t="shared" si="17"/>
        <v>8</v>
      </c>
      <c r="AB43" s="52"/>
      <c r="AC43" s="68"/>
      <c r="AD43" s="68"/>
      <c r="AE43" s="68"/>
      <c r="AF43" s="68"/>
      <c r="AG43" s="68"/>
      <c r="AH43" s="52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52">
        <v>1</v>
      </c>
      <c r="AW43" s="68"/>
      <c r="AX43" s="52">
        <v>4</v>
      </c>
      <c r="AY43" s="52"/>
      <c r="AZ43" s="68">
        <f t="shared" si="18"/>
        <v>5</v>
      </c>
      <c r="BA43" s="52">
        <v>4</v>
      </c>
      <c r="BB43" s="52"/>
      <c r="BC43" s="68">
        <f t="shared" si="19"/>
        <v>4</v>
      </c>
      <c r="BD43" s="68"/>
      <c r="BE43" s="68"/>
      <c r="BF43" s="68"/>
      <c r="BG43" s="52"/>
      <c r="BH43" s="68">
        <f t="shared" si="20"/>
        <v>0</v>
      </c>
      <c r="BI43" s="52">
        <v>0</v>
      </c>
      <c r="BJ43" s="52"/>
      <c r="BK43" s="52">
        <v>2</v>
      </c>
      <c r="BL43" s="52">
        <v>1</v>
      </c>
      <c r="BM43" s="68">
        <f t="shared" si="21"/>
        <v>12</v>
      </c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  <c r="GX43" s="77"/>
      <c r="GY43" s="77"/>
      <c r="GZ43" s="77"/>
      <c r="HA43" s="77"/>
      <c r="HB43" s="77"/>
      <c r="HC43" s="77"/>
      <c r="HD43" s="77"/>
      <c r="HE43" s="77"/>
      <c r="HF43" s="77"/>
      <c r="HG43" s="77"/>
      <c r="HH43" s="77"/>
      <c r="HI43" s="77"/>
      <c r="HJ43" s="77"/>
      <c r="HK43" s="77"/>
      <c r="HL43" s="77"/>
      <c r="HM43" s="77"/>
      <c r="HN43" s="77"/>
      <c r="HO43" s="77"/>
      <c r="HP43" s="77"/>
      <c r="HQ43" s="77"/>
      <c r="HR43" s="77"/>
      <c r="HS43" s="77"/>
      <c r="HT43" s="77"/>
      <c r="HU43" s="77"/>
      <c r="HV43" s="77"/>
      <c r="HW43" s="77"/>
      <c r="HX43" s="77"/>
      <c r="HY43" s="77"/>
      <c r="HZ43" s="77"/>
      <c r="IA43" s="77"/>
      <c r="IB43" s="77"/>
      <c r="IC43" s="77"/>
      <c r="ID43" s="77"/>
      <c r="IE43" s="77"/>
      <c r="IF43" s="77"/>
      <c r="IG43" s="77"/>
      <c r="IH43" s="77"/>
      <c r="II43" s="77"/>
      <c r="IJ43" s="77"/>
      <c r="IK43" s="77"/>
      <c r="IL43" s="77"/>
      <c r="IM43" s="77"/>
      <c r="IN43" s="77"/>
      <c r="IO43" s="77"/>
    </row>
    <row r="44" spans="1:249" ht="30" customHeight="1">
      <c r="A44" s="52">
        <v>8</v>
      </c>
      <c r="B44" s="52" t="s">
        <v>799</v>
      </c>
      <c r="C44" s="52" t="s">
        <v>800</v>
      </c>
      <c r="D44" s="52" t="s">
        <v>770</v>
      </c>
      <c r="E44" s="57" t="s">
        <v>801</v>
      </c>
      <c r="F44" s="53" t="s">
        <v>664</v>
      </c>
      <c r="G44" s="52" t="s">
        <v>651</v>
      </c>
      <c r="H44" s="52">
        <v>54</v>
      </c>
      <c r="I44" s="52" t="s">
        <v>767</v>
      </c>
      <c r="J44" s="68"/>
      <c r="K44" s="69">
        <v>4.41</v>
      </c>
      <c r="L44" s="69"/>
      <c r="M44" s="70"/>
      <c r="N44" s="70"/>
      <c r="O44" s="52" t="s">
        <v>652</v>
      </c>
      <c r="P44" s="52">
        <v>5</v>
      </c>
      <c r="Q44" s="52" t="s">
        <v>653</v>
      </c>
      <c r="R44" s="52" t="s">
        <v>654</v>
      </c>
      <c r="S44" s="52" t="s">
        <v>654</v>
      </c>
      <c r="T44" s="68">
        <v>3</v>
      </c>
      <c r="U44" s="52" t="s">
        <v>679</v>
      </c>
      <c r="V44" s="52" t="s">
        <v>656</v>
      </c>
      <c r="W44" s="68">
        <v>1</v>
      </c>
      <c r="X44" s="68"/>
      <c r="Y44" s="52">
        <v>1</v>
      </c>
      <c r="Z44" s="53">
        <v>1</v>
      </c>
      <c r="AA44" s="52">
        <f t="shared" si="17"/>
        <v>7</v>
      </c>
      <c r="AB44" s="52">
        <v>2</v>
      </c>
      <c r="AC44" s="68"/>
      <c r="AD44" s="68"/>
      <c r="AE44" s="68"/>
      <c r="AF44" s="68"/>
      <c r="AG44" s="68"/>
      <c r="AH44" s="52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52">
        <v>2</v>
      </c>
      <c r="AW44" s="68"/>
      <c r="AX44" s="52">
        <v>3</v>
      </c>
      <c r="AY44" s="52"/>
      <c r="AZ44" s="68">
        <f t="shared" si="18"/>
        <v>5</v>
      </c>
      <c r="BA44" s="52">
        <v>3</v>
      </c>
      <c r="BB44" s="52">
        <v>1</v>
      </c>
      <c r="BC44" s="68">
        <f t="shared" si="19"/>
        <v>4</v>
      </c>
      <c r="BD44" s="68"/>
      <c r="BE44" s="68"/>
      <c r="BF44" s="68"/>
      <c r="BG44" s="52"/>
      <c r="BH44" s="68">
        <f t="shared" si="20"/>
        <v>0</v>
      </c>
      <c r="BI44" s="52">
        <v>2</v>
      </c>
      <c r="BJ44" s="52"/>
      <c r="BK44" s="52">
        <v>2</v>
      </c>
      <c r="BL44" s="52">
        <v>1</v>
      </c>
      <c r="BM44" s="68">
        <f t="shared" si="21"/>
        <v>14</v>
      </c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  <c r="GX44" s="77"/>
      <c r="GY44" s="77"/>
      <c r="GZ44" s="77"/>
      <c r="HA44" s="77"/>
      <c r="HB44" s="77"/>
      <c r="HC44" s="77"/>
      <c r="HD44" s="77"/>
      <c r="HE44" s="77"/>
      <c r="HF44" s="77"/>
      <c r="HG44" s="77"/>
      <c r="HH44" s="77"/>
      <c r="HI44" s="77"/>
      <c r="HJ44" s="77"/>
      <c r="HK44" s="77"/>
      <c r="HL44" s="77"/>
      <c r="HM44" s="77"/>
      <c r="HN44" s="77"/>
      <c r="HO44" s="77"/>
      <c r="HP44" s="77"/>
      <c r="HQ44" s="77"/>
      <c r="HR44" s="77"/>
      <c r="HS44" s="77"/>
      <c r="HT44" s="77"/>
      <c r="HU44" s="77"/>
      <c r="HV44" s="77"/>
      <c r="HW44" s="77"/>
      <c r="HX44" s="77"/>
      <c r="HY44" s="77"/>
      <c r="HZ44" s="77"/>
      <c r="IA44" s="77"/>
      <c r="IB44" s="77"/>
      <c r="IC44" s="77"/>
      <c r="ID44" s="77"/>
      <c r="IE44" s="77"/>
      <c r="IF44" s="77"/>
      <c r="IG44" s="77"/>
      <c r="IH44" s="77"/>
      <c r="II44" s="77"/>
      <c r="IJ44" s="77"/>
      <c r="IK44" s="77"/>
      <c r="IL44" s="77"/>
      <c r="IM44" s="77"/>
      <c r="IN44" s="77"/>
      <c r="IO44" s="77"/>
    </row>
    <row r="45" spans="1:249" ht="30" customHeight="1">
      <c r="A45" s="52">
        <v>9</v>
      </c>
      <c r="B45" s="52" t="s">
        <v>802</v>
      </c>
      <c r="C45" s="52" t="s">
        <v>518</v>
      </c>
      <c r="D45" s="52" t="s">
        <v>770</v>
      </c>
      <c r="E45" s="53" t="s">
        <v>803</v>
      </c>
      <c r="F45" s="53" t="s">
        <v>664</v>
      </c>
      <c r="G45" s="53" t="s">
        <v>651</v>
      </c>
      <c r="H45" s="53">
        <v>46</v>
      </c>
      <c r="I45" s="53" t="s">
        <v>705</v>
      </c>
      <c r="J45" s="53">
        <v>2018</v>
      </c>
      <c r="K45" s="65">
        <v>0.92</v>
      </c>
      <c r="L45" s="65">
        <v>0.872</v>
      </c>
      <c r="M45" s="65"/>
      <c r="N45" s="65"/>
      <c r="O45" s="53" t="s">
        <v>652</v>
      </c>
      <c r="P45" s="53">
        <v>18</v>
      </c>
      <c r="Q45" s="53" t="s">
        <v>653</v>
      </c>
      <c r="R45" s="53" t="s">
        <v>654</v>
      </c>
      <c r="S45" s="53" t="s">
        <v>654</v>
      </c>
      <c r="T45" s="53">
        <v>4</v>
      </c>
      <c r="U45" s="53" t="s">
        <v>679</v>
      </c>
      <c r="V45" s="53" t="s">
        <v>656</v>
      </c>
      <c r="W45" s="53">
        <v>1</v>
      </c>
      <c r="X45" s="53"/>
      <c r="Y45" s="53">
        <v>1</v>
      </c>
      <c r="Z45" s="53">
        <v>1</v>
      </c>
      <c r="AA45" s="53">
        <f t="shared" si="17"/>
        <v>12</v>
      </c>
      <c r="AB45" s="53"/>
      <c r="AC45" s="53"/>
      <c r="AD45" s="53"/>
      <c r="AE45" s="53"/>
      <c r="AF45" s="53"/>
      <c r="AG45" s="53"/>
      <c r="AH45" s="53"/>
      <c r="AI45" s="53"/>
      <c r="AJ45" s="53"/>
      <c r="AK45" s="53">
        <v>1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>
        <v>4</v>
      </c>
      <c r="AW45" s="53"/>
      <c r="AX45" s="53">
        <v>6</v>
      </c>
      <c r="AY45" s="53">
        <v>1</v>
      </c>
      <c r="AZ45" s="68">
        <f t="shared" si="18"/>
        <v>11</v>
      </c>
      <c r="BA45" s="53">
        <v>5</v>
      </c>
      <c r="BB45" s="53">
        <v>0</v>
      </c>
      <c r="BC45" s="68">
        <f t="shared" si="19"/>
        <v>5</v>
      </c>
      <c r="BD45" s="53"/>
      <c r="BE45" s="53"/>
      <c r="BF45" s="53"/>
      <c r="BG45" s="53"/>
      <c r="BH45" s="68">
        <f t="shared" si="20"/>
        <v>0</v>
      </c>
      <c r="BI45" s="53">
        <v>2</v>
      </c>
      <c r="BJ45" s="53"/>
      <c r="BK45" s="53">
        <v>2</v>
      </c>
      <c r="BL45" s="53"/>
      <c r="BM45" s="68">
        <f t="shared" si="21"/>
        <v>20</v>
      </c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  <c r="GX45" s="77"/>
      <c r="GY45" s="77"/>
      <c r="GZ45" s="77"/>
      <c r="HA45" s="77"/>
      <c r="HB45" s="77"/>
      <c r="HC45" s="77"/>
      <c r="HD45" s="77"/>
      <c r="HE45" s="77"/>
      <c r="HF45" s="77"/>
      <c r="HG45" s="77"/>
      <c r="HH45" s="77"/>
      <c r="HI45" s="77"/>
      <c r="HJ45" s="77"/>
      <c r="HK45" s="77"/>
      <c r="HL45" s="77"/>
      <c r="HM45" s="77"/>
      <c r="HN45" s="77"/>
      <c r="HO45" s="77"/>
      <c r="HP45" s="77"/>
      <c r="HQ45" s="77"/>
      <c r="HR45" s="77"/>
      <c r="HS45" s="77"/>
      <c r="HT45" s="77"/>
      <c r="HU45" s="77"/>
      <c r="HV45" s="77"/>
      <c r="HW45" s="77"/>
      <c r="HX45" s="77"/>
      <c r="HY45" s="77"/>
      <c r="HZ45" s="77"/>
      <c r="IA45" s="77"/>
      <c r="IB45" s="77"/>
      <c r="IC45" s="77"/>
      <c r="ID45" s="77"/>
      <c r="IE45" s="77"/>
      <c r="IF45" s="77"/>
      <c r="IG45" s="77"/>
      <c r="IH45" s="77"/>
      <c r="II45" s="77"/>
      <c r="IJ45" s="77"/>
      <c r="IK45" s="77"/>
      <c r="IL45" s="77"/>
      <c r="IM45" s="77"/>
      <c r="IN45" s="77"/>
      <c r="IO45" s="77"/>
    </row>
    <row r="46" spans="1:249" ht="30" customHeight="1">
      <c r="A46" s="52">
        <v>10</v>
      </c>
      <c r="B46" s="52" t="s">
        <v>804</v>
      </c>
      <c r="C46" s="52" t="s">
        <v>519</v>
      </c>
      <c r="D46" s="52" t="s">
        <v>770</v>
      </c>
      <c r="E46" s="53" t="s">
        <v>805</v>
      </c>
      <c r="F46" s="53" t="s">
        <v>664</v>
      </c>
      <c r="G46" s="53" t="s">
        <v>651</v>
      </c>
      <c r="H46" s="53">
        <v>24</v>
      </c>
      <c r="I46" s="53" t="s">
        <v>806</v>
      </c>
      <c r="J46" s="53">
        <v>2018</v>
      </c>
      <c r="K46" s="65">
        <v>4.7</v>
      </c>
      <c r="L46" s="65"/>
      <c r="M46" s="65"/>
      <c r="N46" s="65"/>
      <c r="O46" s="53" t="s">
        <v>652</v>
      </c>
      <c r="P46" s="53">
        <v>4</v>
      </c>
      <c r="Q46" s="53" t="s">
        <v>653</v>
      </c>
      <c r="R46" s="53" t="s">
        <v>654</v>
      </c>
      <c r="S46" s="53" t="s">
        <v>654</v>
      </c>
      <c r="T46" s="53">
        <v>5</v>
      </c>
      <c r="U46" s="53" t="s">
        <v>679</v>
      </c>
      <c r="V46" s="53" t="s">
        <v>656</v>
      </c>
      <c r="W46" s="53">
        <v>1</v>
      </c>
      <c r="X46" s="53"/>
      <c r="Y46" s="53">
        <v>1</v>
      </c>
      <c r="Z46" s="53">
        <v>1</v>
      </c>
      <c r="AA46" s="53">
        <f t="shared" si="17"/>
        <v>8</v>
      </c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>
        <v>2</v>
      </c>
      <c r="AW46" s="53"/>
      <c r="AX46" s="53">
        <v>2</v>
      </c>
      <c r="AY46" s="53">
        <v>1</v>
      </c>
      <c r="AZ46" s="68">
        <f t="shared" si="18"/>
        <v>5</v>
      </c>
      <c r="BA46" s="53">
        <v>4</v>
      </c>
      <c r="BB46" s="53">
        <v>1</v>
      </c>
      <c r="BC46" s="68">
        <f t="shared" si="19"/>
        <v>5</v>
      </c>
      <c r="BD46" s="53"/>
      <c r="BE46" s="53"/>
      <c r="BF46" s="53"/>
      <c r="BG46" s="53"/>
      <c r="BH46" s="68">
        <f t="shared" si="20"/>
        <v>0</v>
      </c>
      <c r="BI46" s="53">
        <v>2</v>
      </c>
      <c r="BJ46" s="53">
        <v>1</v>
      </c>
      <c r="BK46" s="53">
        <v>1</v>
      </c>
      <c r="BL46" s="53"/>
      <c r="BM46" s="68">
        <f t="shared" si="21"/>
        <v>14</v>
      </c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  <c r="GX46" s="77"/>
      <c r="GY46" s="77"/>
      <c r="GZ46" s="77"/>
      <c r="HA46" s="77"/>
      <c r="HB46" s="77"/>
      <c r="HC46" s="77"/>
      <c r="HD46" s="77"/>
      <c r="HE46" s="77"/>
      <c r="HF46" s="77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</row>
    <row r="47" spans="1:249" ht="30" customHeight="1">
      <c r="A47" s="52">
        <v>11</v>
      </c>
      <c r="B47" s="52" t="s">
        <v>807</v>
      </c>
      <c r="C47" s="52" t="s">
        <v>383</v>
      </c>
      <c r="D47" s="52" t="s">
        <v>770</v>
      </c>
      <c r="E47" s="53" t="s">
        <v>808</v>
      </c>
      <c r="F47" s="53" t="s">
        <v>709</v>
      </c>
      <c r="G47" s="53" t="s">
        <v>651</v>
      </c>
      <c r="H47" s="53">
        <v>31.65</v>
      </c>
      <c r="I47" s="53" t="s">
        <v>809</v>
      </c>
      <c r="J47" s="53">
        <v>2018</v>
      </c>
      <c r="K47" s="65">
        <v>3.21</v>
      </c>
      <c r="L47" s="65"/>
      <c r="M47" s="65"/>
      <c r="N47" s="65"/>
      <c r="O47" s="53" t="s">
        <v>652</v>
      </c>
      <c r="P47" s="53">
        <v>13</v>
      </c>
      <c r="Q47" s="53" t="s">
        <v>653</v>
      </c>
      <c r="R47" s="53" t="s">
        <v>654</v>
      </c>
      <c r="S47" s="53" t="s">
        <v>654</v>
      </c>
      <c r="T47" s="53">
        <v>7</v>
      </c>
      <c r="U47" s="53" t="s">
        <v>694</v>
      </c>
      <c r="V47" s="53" t="s">
        <v>656</v>
      </c>
      <c r="W47" s="53"/>
      <c r="X47" s="53"/>
      <c r="Y47" s="53">
        <v>1</v>
      </c>
      <c r="Z47" s="53">
        <v>1</v>
      </c>
      <c r="AA47" s="53">
        <f t="shared" si="17"/>
        <v>7</v>
      </c>
      <c r="AB47" s="53">
        <v>2</v>
      </c>
      <c r="AC47" s="53"/>
      <c r="AD47" s="53">
        <v>2</v>
      </c>
      <c r="AE47" s="53">
        <v>2</v>
      </c>
      <c r="AF47" s="53"/>
      <c r="AG47" s="53">
        <v>2</v>
      </c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>
        <v>1</v>
      </c>
      <c r="AW47" s="53"/>
      <c r="AX47" s="53">
        <v>2</v>
      </c>
      <c r="AY47" s="53">
        <v>1</v>
      </c>
      <c r="AZ47" s="68">
        <f t="shared" si="18"/>
        <v>4</v>
      </c>
      <c r="BA47" s="53">
        <v>3</v>
      </c>
      <c r="BB47" s="53">
        <v>1</v>
      </c>
      <c r="BC47" s="68">
        <f t="shared" si="19"/>
        <v>4</v>
      </c>
      <c r="BD47" s="53"/>
      <c r="BE47" s="53"/>
      <c r="BF47" s="53"/>
      <c r="BG47" s="53"/>
      <c r="BH47" s="68">
        <f t="shared" si="20"/>
        <v>0</v>
      </c>
      <c r="BI47" s="53">
        <v>2</v>
      </c>
      <c r="BJ47" s="53"/>
      <c r="BK47" s="53">
        <v>2</v>
      </c>
      <c r="BL47" s="53"/>
      <c r="BM47" s="68">
        <f t="shared" si="21"/>
        <v>12</v>
      </c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77"/>
      <c r="HD47" s="77"/>
      <c r="HE47" s="77"/>
      <c r="HF47" s="77"/>
      <c r="HG47" s="77"/>
      <c r="HH47" s="77"/>
      <c r="HI47" s="77"/>
      <c r="HJ47" s="77"/>
      <c r="HK47" s="77"/>
      <c r="HL47" s="77"/>
      <c r="HM47" s="77"/>
      <c r="HN47" s="77"/>
      <c r="HO47" s="77"/>
      <c r="HP47" s="77"/>
      <c r="HQ47" s="77"/>
      <c r="HR47" s="77"/>
      <c r="HS47" s="77"/>
      <c r="HT47" s="77"/>
      <c r="HU47" s="77"/>
      <c r="HV47" s="77"/>
      <c r="HW47" s="77"/>
      <c r="HX47" s="77"/>
      <c r="HY47" s="77"/>
      <c r="HZ47" s="77"/>
      <c r="IA47" s="77"/>
      <c r="IB47" s="77"/>
      <c r="IC47" s="77"/>
      <c r="ID47" s="77"/>
      <c r="IE47" s="77"/>
      <c r="IF47" s="77"/>
      <c r="IG47" s="77"/>
      <c r="IH47" s="77"/>
      <c r="II47" s="77"/>
      <c r="IJ47" s="77"/>
      <c r="IK47" s="77"/>
      <c r="IL47" s="77"/>
      <c r="IM47" s="77"/>
      <c r="IN47" s="77"/>
      <c r="IO47" s="77"/>
    </row>
    <row r="48" spans="1:249" ht="30" customHeight="1">
      <c r="A48" s="52">
        <v>12</v>
      </c>
      <c r="B48" s="52" t="s">
        <v>810</v>
      </c>
      <c r="C48" s="52" t="s">
        <v>811</v>
      </c>
      <c r="D48" s="52" t="s">
        <v>770</v>
      </c>
      <c r="E48" s="53" t="s">
        <v>812</v>
      </c>
      <c r="F48" s="53" t="s">
        <v>650</v>
      </c>
      <c r="G48" s="53" t="s">
        <v>651</v>
      </c>
      <c r="H48" s="53">
        <v>27.36</v>
      </c>
      <c r="I48" s="53" t="s">
        <v>717</v>
      </c>
      <c r="J48" s="53">
        <v>2018</v>
      </c>
      <c r="K48" s="65"/>
      <c r="L48" s="65"/>
      <c r="M48" s="65"/>
      <c r="N48" s="65"/>
      <c r="O48" s="53" t="s">
        <v>652</v>
      </c>
      <c r="P48" s="53">
        <v>17</v>
      </c>
      <c r="Q48" s="53" t="s">
        <v>653</v>
      </c>
      <c r="R48" s="53" t="s">
        <v>654</v>
      </c>
      <c r="S48" s="53" t="s">
        <v>654</v>
      </c>
      <c r="T48" s="53">
        <v>6</v>
      </c>
      <c r="U48" s="53" t="s">
        <v>694</v>
      </c>
      <c r="V48" s="53" t="s">
        <v>656</v>
      </c>
      <c r="W48" s="53">
        <v>1</v>
      </c>
      <c r="X48" s="53"/>
      <c r="Y48" s="53">
        <v>1</v>
      </c>
      <c r="Z48" s="53">
        <v>1</v>
      </c>
      <c r="AA48" s="53">
        <f t="shared" si="17"/>
        <v>6</v>
      </c>
      <c r="AB48" s="53">
        <v>2</v>
      </c>
      <c r="AC48" s="53"/>
      <c r="AD48" s="53">
        <v>2</v>
      </c>
      <c r="AE48" s="53">
        <v>2</v>
      </c>
      <c r="AF48" s="53"/>
      <c r="AG48" s="53">
        <v>2</v>
      </c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>
        <v>2</v>
      </c>
      <c r="AW48" s="53"/>
      <c r="AX48" s="53">
        <v>2</v>
      </c>
      <c r="AY48" s="53">
        <v>1</v>
      </c>
      <c r="AZ48" s="68">
        <f t="shared" si="18"/>
        <v>5</v>
      </c>
      <c r="BA48" s="53">
        <v>2</v>
      </c>
      <c r="BB48" s="53">
        <v>1</v>
      </c>
      <c r="BC48" s="68">
        <f t="shared" si="19"/>
        <v>3</v>
      </c>
      <c r="BD48" s="53"/>
      <c r="BE48" s="53"/>
      <c r="BF48" s="53"/>
      <c r="BG48" s="53"/>
      <c r="BH48" s="68">
        <f t="shared" si="20"/>
        <v>0</v>
      </c>
      <c r="BI48" s="53">
        <v>2</v>
      </c>
      <c r="BJ48" s="53">
        <v>2</v>
      </c>
      <c r="BK48" s="53">
        <v>2</v>
      </c>
      <c r="BL48" s="53"/>
      <c r="BM48" s="68">
        <f t="shared" si="21"/>
        <v>14</v>
      </c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  <c r="GX48" s="77"/>
      <c r="GY48" s="77"/>
      <c r="GZ48" s="77"/>
      <c r="HA48" s="77"/>
      <c r="HB48" s="77"/>
      <c r="HC48" s="77"/>
      <c r="HD48" s="77"/>
      <c r="HE48" s="77"/>
      <c r="HF48" s="77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</row>
    <row r="49" spans="1:249" ht="30" customHeight="1">
      <c r="A49" s="52">
        <v>13</v>
      </c>
      <c r="B49" s="52" t="s">
        <v>813</v>
      </c>
      <c r="C49" s="52" t="s">
        <v>140</v>
      </c>
      <c r="D49" s="52" t="s">
        <v>770</v>
      </c>
      <c r="E49" s="53" t="s">
        <v>814</v>
      </c>
      <c r="F49" s="53" t="s">
        <v>650</v>
      </c>
      <c r="G49" s="53" t="s">
        <v>692</v>
      </c>
      <c r="H49" s="53">
        <v>30</v>
      </c>
      <c r="I49" s="53" t="s">
        <v>693</v>
      </c>
      <c r="J49" s="53">
        <v>2017</v>
      </c>
      <c r="K49" s="65">
        <v>0</v>
      </c>
      <c r="L49" s="65">
        <v>5.3070000000000004</v>
      </c>
      <c r="M49" s="65"/>
      <c r="N49" s="65"/>
      <c r="O49" s="53" t="s">
        <v>652</v>
      </c>
      <c r="P49" s="53">
        <v>30</v>
      </c>
      <c r="Q49" s="53" t="s">
        <v>653</v>
      </c>
      <c r="R49" s="53" t="s">
        <v>654</v>
      </c>
      <c r="S49" s="53" t="s">
        <v>654</v>
      </c>
      <c r="T49" s="53">
        <v>12</v>
      </c>
      <c r="U49" s="53" t="s">
        <v>655</v>
      </c>
      <c r="V49" s="53" t="s">
        <v>656</v>
      </c>
      <c r="W49" s="53">
        <v>1</v>
      </c>
      <c r="X49" s="53">
        <v>1</v>
      </c>
      <c r="Y49" s="53">
        <v>1</v>
      </c>
      <c r="Z49" s="53">
        <v>1</v>
      </c>
      <c r="AA49" s="53">
        <f t="shared" si="17"/>
        <v>8</v>
      </c>
      <c r="AB49" s="53">
        <v>2</v>
      </c>
      <c r="AC49" s="53"/>
      <c r="AD49" s="53">
        <v>2</v>
      </c>
      <c r="AE49" s="53">
        <v>2</v>
      </c>
      <c r="AF49" s="53"/>
      <c r="AG49" s="53">
        <v>2</v>
      </c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>
        <v>4</v>
      </c>
      <c r="AW49" s="53"/>
      <c r="AX49" s="53">
        <v>3</v>
      </c>
      <c r="AY49" s="53">
        <v>1</v>
      </c>
      <c r="AZ49" s="68">
        <f t="shared" si="18"/>
        <v>8</v>
      </c>
      <c r="BA49" s="53">
        <v>3</v>
      </c>
      <c r="BB49" s="53">
        <v>1</v>
      </c>
      <c r="BC49" s="68">
        <f t="shared" si="19"/>
        <v>4</v>
      </c>
      <c r="BD49" s="53"/>
      <c r="BE49" s="53"/>
      <c r="BF49" s="53"/>
      <c r="BG49" s="53"/>
      <c r="BH49" s="68">
        <f t="shared" si="20"/>
        <v>0</v>
      </c>
      <c r="BI49" s="53">
        <v>2</v>
      </c>
      <c r="BJ49" s="53"/>
      <c r="BK49" s="53">
        <v>2</v>
      </c>
      <c r="BL49" s="53"/>
      <c r="BM49" s="68">
        <f t="shared" si="21"/>
        <v>16</v>
      </c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  <c r="GX49" s="77"/>
      <c r="GY49" s="77"/>
      <c r="GZ49" s="77"/>
      <c r="HA49" s="77"/>
      <c r="HB49" s="77"/>
      <c r="HC49" s="77"/>
      <c r="HD49" s="77"/>
      <c r="HE49" s="77"/>
      <c r="HF49" s="77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</row>
    <row r="50" spans="1:249" ht="30" customHeight="1">
      <c r="A50" s="52">
        <v>14</v>
      </c>
      <c r="B50" s="52" t="s">
        <v>815</v>
      </c>
      <c r="C50" s="52" t="s">
        <v>816</v>
      </c>
      <c r="D50" s="52" t="s">
        <v>770</v>
      </c>
      <c r="E50" s="53" t="s">
        <v>817</v>
      </c>
      <c r="F50" s="53" t="s">
        <v>650</v>
      </c>
      <c r="G50" s="53" t="s">
        <v>692</v>
      </c>
      <c r="H50" s="53">
        <v>50</v>
      </c>
      <c r="I50" s="53" t="s">
        <v>693</v>
      </c>
      <c r="J50" s="53">
        <v>2018</v>
      </c>
      <c r="K50" s="65">
        <v>4.66</v>
      </c>
      <c r="L50" s="65"/>
      <c r="M50" s="65"/>
      <c r="N50" s="65"/>
      <c r="O50" s="53" t="s">
        <v>652</v>
      </c>
      <c r="P50" s="53">
        <v>35</v>
      </c>
      <c r="Q50" s="53" t="s">
        <v>653</v>
      </c>
      <c r="R50" s="53" t="s">
        <v>654</v>
      </c>
      <c r="S50" s="53" t="s">
        <v>654</v>
      </c>
      <c r="T50" s="53">
        <v>16</v>
      </c>
      <c r="U50" s="53" t="s">
        <v>694</v>
      </c>
      <c r="V50" s="53" t="s">
        <v>656</v>
      </c>
      <c r="W50" s="53">
        <v>1</v>
      </c>
      <c r="X50" s="53">
        <v>1</v>
      </c>
      <c r="Y50" s="53">
        <v>1</v>
      </c>
      <c r="Z50" s="53">
        <v>1</v>
      </c>
      <c r="AA50" s="53">
        <f t="shared" si="17"/>
        <v>8</v>
      </c>
      <c r="AB50" s="53">
        <v>4</v>
      </c>
      <c r="AC50" s="53"/>
      <c r="AD50" s="53"/>
      <c r="AE50" s="53">
        <v>2</v>
      </c>
      <c r="AF50" s="53"/>
      <c r="AG50" s="53">
        <v>2</v>
      </c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>
        <v>3</v>
      </c>
      <c r="AW50" s="53"/>
      <c r="AX50" s="53">
        <v>3</v>
      </c>
      <c r="AY50" s="53">
        <v>1</v>
      </c>
      <c r="AZ50" s="68">
        <f t="shared" si="18"/>
        <v>7</v>
      </c>
      <c r="BA50" s="53">
        <v>3</v>
      </c>
      <c r="BB50" s="53">
        <v>1</v>
      </c>
      <c r="BC50" s="68">
        <f t="shared" si="19"/>
        <v>4</v>
      </c>
      <c r="BD50" s="53"/>
      <c r="BE50" s="53"/>
      <c r="BF50" s="53"/>
      <c r="BG50" s="53"/>
      <c r="BH50" s="68">
        <f t="shared" si="20"/>
        <v>0</v>
      </c>
      <c r="BI50" s="53">
        <v>2</v>
      </c>
      <c r="BJ50" s="53">
        <v>2</v>
      </c>
      <c r="BK50" s="53">
        <v>1</v>
      </c>
      <c r="BL50" s="53"/>
      <c r="BM50" s="68">
        <f t="shared" si="21"/>
        <v>16</v>
      </c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</row>
    <row r="51" spans="1:249" ht="30" customHeight="1">
      <c r="A51" s="52">
        <v>15</v>
      </c>
      <c r="B51" s="52" t="s">
        <v>818</v>
      </c>
      <c r="C51" s="52" t="s">
        <v>819</v>
      </c>
      <c r="D51" s="52" t="s">
        <v>770</v>
      </c>
      <c r="E51" s="53" t="s">
        <v>820</v>
      </c>
      <c r="F51" s="53" t="s">
        <v>659</v>
      </c>
      <c r="G51" s="53" t="s">
        <v>651</v>
      </c>
      <c r="H51" s="53">
        <v>50</v>
      </c>
      <c r="I51" s="53" t="s">
        <v>798</v>
      </c>
      <c r="J51" s="53">
        <v>2017</v>
      </c>
      <c r="K51" s="65">
        <v>4.1479999999999997</v>
      </c>
      <c r="L51" s="65"/>
      <c r="M51" s="65"/>
      <c r="N51" s="65"/>
      <c r="O51" s="53" t="s">
        <v>652</v>
      </c>
      <c r="P51" s="53">
        <v>9</v>
      </c>
      <c r="Q51" s="53" t="s">
        <v>653</v>
      </c>
      <c r="R51" s="53" t="s">
        <v>654</v>
      </c>
      <c r="S51" s="53" t="s">
        <v>654</v>
      </c>
      <c r="T51" s="53">
        <v>6</v>
      </c>
      <c r="U51" s="53" t="s">
        <v>694</v>
      </c>
      <c r="V51" s="53" t="s">
        <v>656</v>
      </c>
      <c r="W51" s="53">
        <v>1</v>
      </c>
      <c r="X51" s="53"/>
      <c r="Y51" s="53">
        <v>1</v>
      </c>
      <c r="Z51" s="53">
        <v>1</v>
      </c>
      <c r="AA51" s="53">
        <f t="shared" si="17"/>
        <v>6</v>
      </c>
      <c r="AB51" s="53">
        <v>2</v>
      </c>
      <c r="AC51" s="53">
        <v>1</v>
      </c>
      <c r="AD51" s="53">
        <v>3</v>
      </c>
      <c r="AE51" s="53">
        <v>2</v>
      </c>
      <c r="AF51" s="53"/>
      <c r="AG51" s="53">
        <v>2</v>
      </c>
      <c r="AH51" s="53"/>
      <c r="AI51" s="53"/>
      <c r="AJ51" s="53"/>
      <c r="AK51" s="53">
        <v>1</v>
      </c>
      <c r="AL51" s="53"/>
      <c r="AM51" s="53"/>
      <c r="AN51" s="53"/>
      <c r="AO51" s="53"/>
      <c r="AP51" s="53">
        <v>1</v>
      </c>
      <c r="AQ51" s="53">
        <v>2</v>
      </c>
      <c r="AR51" s="53">
        <v>1</v>
      </c>
      <c r="AS51" s="53"/>
      <c r="AT51" s="53"/>
      <c r="AU51" s="53">
        <v>1</v>
      </c>
      <c r="AV51" s="53">
        <v>2</v>
      </c>
      <c r="AW51" s="53"/>
      <c r="AX51" s="53">
        <v>1</v>
      </c>
      <c r="AY51" s="53">
        <v>1</v>
      </c>
      <c r="AZ51" s="68">
        <f t="shared" si="18"/>
        <v>4</v>
      </c>
      <c r="BA51" s="53">
        <v>3</v>
      </c>
      <c r="BB51" s="53">
        <v>1</v>
      </c>
      <c r="BC51" s="68">
        <f t="shared" si="19"/>
        <v>4</v>
      </c>
      <c r="BD51" s="53"/>
      <c r="BE51" s="53"/>
      <c r="BF51" s="53"/>
      <c r="BG51" s="53"/>
      <c r="BH51" s="68">
        <f t="shared" si="20"/>
        <v>0</v>
      </c>
      <c r="BI51" s="53">
        <v>2</v>
      </c>
      <c r="BJ51" s="53">
        <v>0</v>
      </c>
      <c r="BK51" s="53">
        <v>2</v>
      </c>
      <c r="BL51" s="53"/>
      <c r="BM51" s="68">
        <f t="shared" si="21"/>
        <v>12</v>
      </c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  <c r="GX51" s="77"/>
      <c r="GY51" s="77"/>
      <c r="GZ51" s="77"/>
      <c r="HA51" s="77"/>
      <c r="HB51" s="77"/>
      <c r="HC51" s="77"/>
      <c r="HD51" s="77"/>
      <c r="HE51" s="77"/>
      <c r="HF51" s="77"/>
      <c r="HG51" s="77"/>
      <c r="HH51" s="77"/>
      <c r="HI51" s="77"/>
      <c r="HJ51" s="77"/>
      <c r="HK51" s="77"/>
      <c r="HL51" s="77"/>
      <c r="HM51" s="77"/>
      <c r="HN51" s="77"/>
      <c r="HO51" s="77"/>
      <c r="HP51" s="77"/>
      <c r="HQ51" s="77"/>
      <c r="HR51" s="77"/>
      <c r="HS51" s="77"/>
      <c r="HT51" s="77"/>
      <c r="HU51" s="77"/>
      <c r="HV51" s="77"/>
      <c r="HW51" s="77"/>
      <c r="HX51" s="77"/>
      <c r="HY51" s="77"/>
      <c r="HZ51" s="77"/>
      <c r="IA51" s="77"/>
      <c r="IB51" s="77"/>
      <c r="IC51" s="77"/>
      <c r="ID51" s="77"/>
      <c r="IE51" s="77"/>
      <c r="IF51" s="77"/>
      <c r="IG51" s="77"/>
      <c r="IH51" s="77"/>
      <c r="II51" s="77"/>
      <c r="IJ51" s="77"/>
      <c r="IK51" s="77"/>
      <c r="IL51" s="77"/>
      <c r="IM51" s="77"/>
      <c r="IN51" s="77"/>
      <c r="IO51" s="77"/>
    </row>
    <row r="52" spans="1:249" ht="30" customHeight="1">
      <c r="A52" s="52">
        <v>16</v>
      </c>
      <c r="B52" s="52" t="s">
        <v>821</v>
      </c>
      <c r="C52" s="52" t="s">
        <v>822</v>
      </c>
      <c r="D52" s="52" t="s">
        <v>770</v>
      </c>
      <c r="E52" s="53" t="s">
        <v>823</v>
      </c>
      <c r="F52" s="53" t="s">
        <v>824</v>
      </c>
      <c r="G52" s="53" t="s">
        <v>651</v>
      </c>
      <c r="H52" s="53">
        <v>30</v>
      </c>
      <c r="I52" s="53" t="s">
        <v>825</v>
      </c>
      <c r="J52" s="53">
        <v>2017</v>
      </c>
      <c r="K52" s="65">
        <v>4.3899999999999997</v>
      </c>
      <c r="L52" s="65"/>
      <c r="M52" s="65"/>
      <c r="N52" s="65"/>
      <c r="O52" s="53" t="s">
        <v>652</v>
      </c>
      <c r="P52" s="53">
        <v>14</v>
      </c>
      <c r="Q52" s="53" t="s">
        <v>653</v>
      </c>
      <c r="R52" s="53" t="s">
        <v>654</v>
      </c>
      <c r="S52" s="53" t="s">
        <v>654</v>
      </c>
      <c r="T52" s="53">
        <v>8</v>
      </c>
      <c r="U52" s="53" t="s">
        <v>694</v>
      </c>
      <c r="V52" s="53" t="s">
        <v>656</v>
      </c>
      <c r="W52" s="53">
        <v>1</v>
      </c>
      <c r="X52" s="53"/>
      <c r="Y52" s="53">
        <v>1</v>
      </c>
      <c r="Z52" s="53">
        <v>1</v>
      </c>
      <c r="AA52" s="53">
        <f t="shared" si="17"/>
        <v>8</v>
      </c>
      <c r="AB52" s="53">
        <v>2</v>
      </c>
      <c r="AC52" s="53"/>
      <c r="AD52" s="53">
        <v>2</v>
      </c>
      <c r="AE52" s="53">
        <v>0</v>
      </c>
      <c r="AF52" s="53"/>
      <c r="AG52" s="53">
        <v>0</v>
      </c>
      <c r="AH52" s="53"/>
      <c r="AI52" s="53"/>
      <c r="AJ52" s="53"/>
      <c r="AK52" s="53"/>
      <c r="AL52" s="53"/>
      <c r="AM52" s="53"/>
      <c r="AN52" s="53"/>
      <c r="AO52" s="53"/>
      <c r="AP52" s="53"/>
      <c r="AQ52" s="53">
        <v>2</v>
      </c>
      <c r="AR52" s="53"/>
      <c r="AS52" s="53"/>
      <c r="AT52" s="53"/>
      <c r="AU52" s="53"/>
      <c r="AV52" s="53">
        <v>2</v>
      </c>
      <c r="AW52" s="53"/>
      <c r="AX52" s="53">
        <v>3</v>
      </c>
      <c r="AY52" s="53">
        <v>1</v>
      </c>
      <c r="AZ52" s="68">
        <f t="shared" si="18"/>
        <v>6</v>
      </c>
      <c r="BA52" s="53">
        <v>3</v>
      </c>
      <c r="BB52" s="53">
        <v>1</v>
      </c>
      <c r="BC52" s="68">
        <f t="shared" si="19"/>
        <v>4</v>
      </c>
      <c r="BD52" s="53"/>
      <c r="BE52" s="53"/>
      <c r="BF52" s="53"/>
      <c r="BG52" s="53"/>
      <c r="BH52" s="68">
        <f t="shared" si="20"/>
        <v>0</v>
      </c>
      <c r="BI52" s="53">
        <v>2</v>
      </c>
      <c r="BJ52" s="53"/>
      <c r="BK52" s="53">
        <v>2</v>
      </c>
      <c r="BL52" s="53">
        <v>1</v>
      </c>
      <c r="BM52" s="68">
        <f t="shared" si="21"/>
        <v>15</v>
      </c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</row>
    <row r="53" spans="1:249" ht="30" customHeight="1">
      <c r="A53" s="52">
        <v>17</v>
      </c>
      <c r="B53" s="52" t="s">
        <v>826</v>
      </c>
      <c r="C53" s="52" t="s">
        <v>827</v>
      </c>
      <c r="D53" s="52" t="s">
        <v>770</v>
      </c>
      <c r="E53" s="53" t="s">
        <v>828</v>
      </c>
      <c r="F53" s="53" t="s">
        <v>824</v>
      </c>
      <c r="G53" s="53" t="s">
        <v>651</v>
      </c>
      <c r="H53" s="53">
        <v>40.4</v>
      </c>
      <c r="I53" s="53" t="s">
        <v>798</v>
      </c>
      <c r="J53" s="53">
        <v>2017</v>
      </c>
      <c r="K53" s="65">
        <v>4.82</v>
      </c>
      <c r="L53" s="65"/>
      <c r="M53" s="65"/>
      <c r="N53" s="65"/>
      <c r="O53" s="53" t="s">
        <v>652</v>
      </c>
      <c r="P53" s="53">
        <v>5</v>
      </c>
      <c r="Q53" s="53" t="s">
        <v>653</v>
      </c>
      <c r="R53" s="53" t="s">
        <v>654</v>
      </c>
      <c r="S53" s="53" t="s">
        <v>654</v>
      </c>
      <c r="T53" s="53">
        <v>9</v>
      </c>
      <c r="U53" s="53" t="s">
        <v>694</v>
      </c>
      <c r="V53" s="53" t="s">
        <v>656</v>
      </c>
      <c r="W53" s="53">
        <v>1</v>
      </c>
      <c r="X53" s="53"/>
      <c r="Y53" s="53">
        <v>1</v>
      </c>
      <c r="Z53" s="53">
        <v>1</v>
      </c>
      <c r="AA53" s="53">
        <f t="shared" si="17"/>
        <v>7</v>
      </c>
      <c r="AB53" s="53">
        <v>2</v>
      </c>
      <c r="AC53" s="53"/>
      <c r="AD53" s="53">
        <v>2</v>
      </c>
      <c r="AE53" s="53">
        <v>2</v>
      </c>
      <c r="AF53" s="53"/>
      <c r="AG53" s="53">
        <v>2</v>
      </c>
      <c r="AH53" s="53"/>
      <c r="AI53" s="53"/>
      <c r="AJ53" s="53"/>
      <c r="AK53" s="53"/>
      <c r="AL53" s="53"/>
      <c r="AM53" s="53"/>
      <c r="AN53" s="53"/>
      <c r="AO53" s="53"/>
      <c r="AP53" s="53"/>
      <c r="AQ53" s="53">
        <v>2</v>
      </c>
      <c r="AR53" s="53"/>
      <c r="AS53" s="53"/>
      <c r="AT53" s="53">
        <v>2</v>
      </c>
      <c r="AU53" s="53">
        <v>1</v>
      </c>
      <c r="AV53" s="53">
        <v>4</v>
      </c>
      <c r="AW53" s="53"/>
      <c r="AX53" s="53">
        <v>2</v>
      </c>
      <c r="AY53" s="53">
        <v>1</v>
      </c>
      <c r="AZ53" s="68">
        <f t="shared" si="18"/>
        <v>7</v>
      </c>
      <c r="BA53" s="53">
        <v>3</v>
      </c>
      <c r="BB53" s="53">
        <v>1</v>
      </c>
      <c r="BC53" s="68">
        <f t="shared" si="19"/>
        <v>4</v>
      </c>
      <c r="BD53" s="53"/>
      <c r="BE53" s="53"/>
      <c r="BF53" s="53"/>
      <c r="BG53" s="53"/>
      <c r="BH53" s="68">
        <f t="shared" si="20"/>
        <v>0</v>
      </c>
      <c r="BI53" s="53">
        <v>2</v>
      </c>
      <c r="BJ53" s="53"/>
      <c r="BK53" s="53">
        <v>1</v>
      </c>
      <c r="BL53" s="53"/>
      <c r="BM53" s="68">
        <f t="shared" si="21"/>
        <v>14</v>
      </c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</row>
    <row r="54" spans="1:249" ht="30" customHeight="1">
      <c r="A54" s="52">
        <v>18</v>
      </c>
      <c r="B54" s="52" t="s">
        <v>829</v>
      </c>
      <c r="C54" s="52" t="s">
        <v>830</v>
      </c>
      <c r="D54" s="52" t="s">
        <v>770</v>
      </c>
      <c r="E54" s="53" t="s">
        <v>831</v>
      </c>
      <c r="F54" s="53" t="s">
        <v>704</v>
      </c>
      <c r="G54" s="53" t="s">
        <v>651</v>
      </c>
      <c r="H54" s="53">
        <v>31.69</v>
      </c>
      <c r="I54" s="53" t="s">
        <v>693</v>
      </c>
      <c r="J54" s="53">
        <v>2018</v>
      </c>
      <c r="K54" s="65">
        <v>5.8</v>
      </c>
      <c r="L54" s="65"/>
      <c r="M54" s="65"/>
      <c r="N54" s="65"/>
      <c r="O54" s="53" t="s">
        <v>652</v>
      </c>
      <c r="P54" s="53">
        <v>5</v>
      </c>
      <c r="Q54" s="53" t="s">
        <v>653</v>
      </c>
      <c r="R54" s="53" t="s">
        <v>654</v>
      </c>
      <c r="S54" s="53" t="s">
        <v>654</v>
      </c>
      <c r="T54" s="53">
        <v>8</v>
      </c>
      <c r="U54" s="53" t="s">
        <v>694</v>
      </c>
      <c r="V54" s="53" t="s">
        <v>656</v>
      </c>
      <c r="W54" s="53">
        <v>2</v>
      </c>
      <c r="X54" s="53">
        <v>1</v>
      </c>
      <c r="Y54" s="53">
        <v>1</v>
      </c>
      <c r="Z54" s="53">
        <v>1</v>
      </c>
      <c r="AA54" s="53">
        <f t="shared" si="17"/>
        <v>8</v>
      </c>
      <c r="AB54" s="53">
        <v>2</v>
      </c>
      <c r="AC54" s="53"/>
      <c r="AD54" s="53">
        <v>2</v>
      </c>
      <c r="AE54" s="53">
        <v>2</v>
      </c>
      <c r="AF54" s="53"/>
      <c r="AG54" s="53">
        <v>2</v>
      </c>
      <c r="AH54" s="53"/>
      <c r="AI54" s="53"/>
      <c r="AJ54" s="53"/>
      <c r="AK54" s="53">
        <v>2</v>
      </c>
      <c r="AL54" s="53"/>
      <c r="AM54" s="53"/>
      <c r="AN54" s="53"/>
      <c r="AO54" s="53">
        <v>2</v>
      </c>
      <c r="AP54" s="53"/>
      <c r="AQ54" s="53"/>
      <c r="AR54" s="53"/>
      <c r="AS54" s="53"/>
      <c r="AT54" s="53"/>
      <c r="AU54" s="53"/>
      <c r="AV54" s="53">
        <v>2</v>
      </c>
      <c r="AW54" s="53"/>
      <c r="AX54" s="53">
        <v>2</v>
      </c>
      <c r="AY54" s="53">
        <v>1</v>
      </c>
      <c r="AZ54" s="68">
        <f t="shared" si="18"/>
        <v>5</v>
      </c>
      <c r="BA54" s="53">
        <v>4</v>
      </c>
      <c r="BB54" s="53">
        <v>1</v>
      </c>
      <c r="BC54" s="68">
        <f t="shared" si="19"/>
        <v>5</v>
      </c>
      <c r="BD54" s="53"/>
      <c r="BE54" s="53"/>
      <c r="BF54" s="53"/>
      <c r="BG54" s="53"/>
      <c r="BH54" s="68">
        <f t="shared" si="20"/>
        <v>0</v>
      </c>
      <c r="BI54" s="53">
        <v>2</v>
      </c>
      <c r="BJ54" s="53"/>
      <c r="BK54" s="53">
        <v>1</v>
      </c>
      <c r="BL54" s="53">
        <v>1</v>
      </c>
      <c r="BM54" s="68">
        <f t="shared" si="21"/>
        <v>14</v>
      </c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</row>
    <row r="55" spans="1:249" ht="30" customHeight="1">
      <c r="A55" s="52">
        <v>19</v>
      </c>
      <c r="B55" s="52" t="s">
        <v>832</v>
      </c>
      <c r="C55" s="52" t="s">
        <v>833</v>
      </c>
      <c r="D55" s="52" t="s">
        <v>770</v>
      </c>
      <c r="E55" s="53" t="s">
        <v>834</v>
      </c>
      <c r="F55" s="53" t="s">
        <v>664</v>
      </c>
      <c r="G55" s="53" t="s">
        <v>651</v>
      </c>
      <c r="H55" s="53">
        <v>35</v>
      </c>
      <c r="I55" s="53" t="s">
        <v>835</v>
      </c>
      <c r="J55" s="53">
        <v>2017</v>
      </c>
      <c r="K55" s="65">
        <v>2.7410000000000001</v>
      </c>
      <c r="L55" s="65"/>
      <c r="M55" s="65"/>
      <c r="N55" s="65"/>
      <c r="O55" s="53" t="s">
        <v>652</v>
      </c>
      <c r="P55" s="53">
        <v>4</v>
      </c>
      <c r="Q55" s="53" t="s">
        <v>653</v>
      </c>
      <c r="R55" s="53" t="s">
        <v>654</v>
      </c>
      <c r="S55" s="53" t="s">
        <v>654</v>
      </c>
      <c r="T55" s="53">
        <v>14</v>
      </c>
      <c r="U55" s="53" t="s">
        <v>694</v>
      </c>
      <c r="V55" s="53" t="s">
        <v>656</v>
      </c>
      <c r="W55" s="53"/>
      <c r="X55" s="53"/>
      <c r="Y55" s="53">
        <v>1</v>
      </c>
      <c r="Z55" s="53">
        <v>1</v>
      </c>
      <c r="AA55" s="53">
        <f t="shared" si="17"/>
        <v>6</v>
      </c>
      <c r="AB55" s="53">
        <v>2</v>
      </c>
      <c r="AC55" s="53"/>
      <c r="AD55" s="53">
        <v>2</v>
      </c>
      <c r="AE55" s="53">
        <v>2</v>
      </c>
      <c r="AF55" s="53"/>
      <c r="AG55" s="53">
        <v>2</v>
      </c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>
        <v>2</v>
      </c>
      <c r="AW55" s="53"/>
      <c r="AX55" s="53">
        <v>1</v>
      </c>
      <c r="AY55" s="53">
        <v>1</v>
      </c>
      <c r="AZ55" s="68">
        <f t="shared" si="18"/>
        <v>4</v>
      </c>
      <c r="BA55" s="53">
        <v>3</v>
      </c>
      <c r="BB55" s="53">
        <v>1</v>
      </c>
      <c r="BC55" s="68">
        <f t="shared" si="19"/>
        <v>4</v>
      </c>
      <c r="BD55" s="53"/>
      <c r="BE55" s="53"/>
      <c r="BF55" s="53"/>
      <c r="BG55" s="53"/>
      <c r="BH55" s="68">
        <f t="shared" si="20"/>
        <v>0</v>
      </c>
      <c r="BI55" s="53">
        <v>2</v>
      </c>
      <c r="BJ55" s="53"/>
      <c r="BK55" s="53">
        <v>2</v>
      </c>
      <c r="BL55" s="53"/>
      <c r="BM55" s="68">
        <f t="shared" si="21"/>
        <v>12</v>
      </c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</row>
    <row r="56" spans="1:249" ht="30" customHeight="1">
      <c r="A56" s="52">
        <v>20</v>
      </c>
      <c r="B56" s="52" t="s">
        <v>836</v>
      </c>
      <c r="C56" s="52" t="s">
        <v>837</v>
      </c>
      <c r="D56" s="52" t="s">
        <v>770</v>
      </c>
      <c r="E56" s="57" t="s">
        <v>838</v>
      </c>
      <c r="F56" s="52" t="s">
        <v>650</v>
      </c>
      <c r="G56" s="52" t="s">
        <v>692</v>
      </c>
      <c r="H56" s="52">
        <v>53.32</v>
      </c>
      <c r="I56" s="52" t="s">
        <v>728</v>
      </c>
      <c r="J56" s="68"/>
      <c r="K56" s="69"/>
      <c r="L56" s="69"/>
      <c r="M56" s="70"/>
      <c r="N56" s="70"/>
      <c r="O56" s="52" t="s">
        <v>652</v>
      </c>
      <c r="P56" s="52"/>
      <c r="Q56" s="52" t="s">
        <v>653</v>
      </c>
      <c r="R56" s="52" t="s">
        <v>654</v>
      </c>
      <c r="S56" s="52" t="s">
        <v>654</v>
      </c>
      <c r="T56" s="68">
        <v>3</v>
      </c>
      <c r="U56" s="52" t="s">
        <v>679</v>
      </c>
      <c r="V56" s="52" t="s">
        <v>656</v>
      </c>
      <c r="W56" s="68"/>
      <c r="X56" s="68"/>
      <c r="Y56" s="52">
        <v>1</v>
      </c>
      <c r="Z56" s="53">
        <v>1</v>
      </c>
      <c r="AA56" s="52">
        <f t="shared" si="17"/>
        <v>12</v>
      </c>
      <c r="AB56" s="52"/>
      <c r="AC56" s="68"/>
      <c r="AD56" s="68"/>
      <c r="AE56" s="68"/>
      <c r="AF56" s="68"/>
      <c r="AG56" s="68"/>
      <c r="AH56" s="52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52">
        <v>1</v>
      </c>
      <c r="AW56" s="68"/>
      <c r="AX56" s="52">
        <v>6</v>
      </c>
      <c r="AY56" s="52"/>
      <c r="AZ56" s="68">
        <f t="shared" si="18"/>
        <v>7</v>
      </c>
      <c r="BA56" s="52">
        <v>6</v>
      </c>
      <c r="BB56" s="52"/>
      <c r="BC56" s="68">
        <f t="shared" si="19"/>
        <v>6</v>
      </c>
      <c r="BD56" s="68"/>
      <c r="BE56" s="68"/>
      <c r="BF56" s="68"/>
      <c r="BG56" s="52"/>
      <c r="BH56" s="68">
        <f t="shared" si="20"/>
        <v>0</v>
      </c>
      <c r="BI56" s="52"/>
      <c r="BJ56" s="52"/>
      <c r="BK56" s="52"/>
      <c r="BL56" s="52"/>
      <c r="BM56" s="68">
        <f t="shared" si="21"/>
        <v>13</v>
      </c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</row>
    <row r="57" spans="1:249" ht="30" customHeight="1">
      <c r="A57" s="52">
        <v>21</v>
      </c>
      <c r="B57" s="52" t="s">
        <v>839</v>
      </c>
      <c r="C57" s="52" t="s">
        <v>840</v>
      </c>
      <c r="D57" s="52" t="s">
        <v>770</v>
      </c>
      <c r="E57" s="57" t="s">
        <v>841</v>
      </c>
      <c r="F57" s="52" t="s">
        <v>704</v>
      </c>
      <c r="G57" s="52" t="s">
        <v>651</v>
      </c>
      <c r="H57" s="52">
        <v>42</v>
      </c>
      <c r="I57" s="52" t="s">
        <v>842</v>
      </c>
      <c r="J57" s="68"/>
      <c r="K57" s="69"/>
      <c r="L57" s="69"/>
      <c r="M57" s="70"/>
      <c r="N57" s="70"/>
      <c r="O57" s="52" t="s">
        <v>652</v>
      </c>
      <c r="P57" s="52">
        <v>4</v>
      </c>
      <c r="Q57" s="52" t="s">
        <v>653</v>
      </c>
      <c r="R57" s="52" t="s">
        <v>654</v>
      </c>
      <c r="S57" s="52" t="s">
        <v>654</v>
      </c>
      <c r="T57" s="68">
        <v>2</v>
      </c>
      <c r="U57" s="52" t="s">
        <v>679</v>
      </c>
      <c r="V57" s="52" t="s">
        <v>791</v>
      </c>
      <c r="W57" s="68"/>
      <c r="X57" s="68"/>
      <c r="Y57" s="52">
        <v>1</v>
      </c>
      <c r="Z57" s="53">
        <v>1</v>
      </c>
      <c r="AA57" s="52">
        <f t="shared" si="17"/>
        <v>8</v>
      </c>
      <c r="AB57" s="52"/>
      <c r="AC57" s="68"/>
      <c r="AD57" s="68"/>
      <c r="AE57" s="68"/>
      <c r="AF57" s="68"/>
      <c r="AG57" s="68"/>
      <c r="AH57" s="52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52">
        <v>0</v>
      </c>
      <c r="AW57" s="68"/>
      <c r="AX57" s="52">
        <v>5</v>
      </c>
      <c r="AY57" s="52"/>
      <c r="AZ57" s="68">
        <f t="shared" si="18"/>
        <v>5</v>
      </c>
      <c r="BA57" s="52">
        <v>3</v>
      </c>
      <c r="BB57" s="52"/>
      <c r="BC57" s="68">
        <f t="shared" si="19"/>
        <v>3</v>
      </c>
      <c r="BD57" s="68"/>
      <c r="BE57" s="68"/>
      <c r="BF57" s="68"/>
      <c r="BG57" s="52"/>
      <c r="BH57" s="68">
        <f t="shared" si="20"/>
        <v>0</v>
      </c>
      <c r="BI57" s="52"/>
      <c r="BJ57" s="52"/>
      <c r="BK57" s="52"/>
      <c r="BL57" s="52">
        <v>1</v>
      </c>
      <c r="BM57" s="68">
        <f t="shared" si="21"/>
        <v>9</v>
      </c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</row>
    <row r="58" spans="1:249" ht="30" customHeight="1">
      <c r="A58" s="52">
        <v>22</v>
      </c>
      <c r="B58" s="52" t="s">
        <v>843</v>
      </c>
      <c r="C58" s="52" t="s">
        <v>844</v>
      </c>
      <c r="D58" s="52" t="s">
        <v>770</v>
      </c>
      <c r="E58" s="57" t="s">
        <v>845</v>
      </c>
      <c r="F58" s="52" t="s">
        <v>704</v>
      </c>
      <c r="G58" s="52" t="s">
        <v>651</v>
      </c>
      <c r="H58" s="52">
        <v>35</v>
      </c>
      <c r="I58" s="52" t="s">
        <v>835</v>
      </c>
      <c r="J58" s="68">
        <v>2018</v>
      </c>
      <c r="K58" s="69">
        <v>1.52</v>
      </c>
      <c r="L58" s="69"/>
      <c r="M58" s="70"/>
      <c r="N58" s="70"/>
      <c r="O58" s="52" t="s">
        <v>652</v>
      </c>
      <c r="P58" s="52">
        <v>5</v>
      </c>
      <c r="Q58" s="52" t="s">
        <v>653</v>
      </c>
      <c r="R58" s="52" t="s">
        <v>654</v>
      </c>
      <c r="S58" s="52" t="s">
        <v>654</v>
      </c>
      <c r="T58" s="68">
        <v>3</v>
      </c>
      <c r="U58" s="52" t="s">
        <v>679</v>
      </c>
      <c r="V58" s="52" t="s">
        <v>656</v>
      </c>
      <c r="W58" s="68">
        <v>2</v>
      </c>
      <c r="X58" s="68"/>
      <c r="Y58" s="52">
        <v>1</v>
      </c>
      <c r="Z58" s="53">
        <v>1</v>
      </c>
      <c r="AA58" s="52">
        <f t="shared" si="17"/>
        <v>12</v>
      </c>
      <c r="AB58" s="53">
        <v>2</v>
      </c>
      <c r="AC58" s="68">
        <v>1</v>
      </c>
      <c r="AD58" s="68"/>
      <c r="AE58" s="53">
        <v>2</v>
      </c>
      <c r="AF58" s="68"/>
      <c r="AG58" s="53">
        <v>2</v>
      </c>
      <c r="AH58" s="52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52">
        <v>5</v>
      </c>
      <c r="AW58" s="68"/>
      <c r="AX58" s="52">
        <v>5</v>
      </c>
      <c r="AY58" s="52">
        <v>1</v>
      </c>
      <c r="AZ58" s="68">
        <f t="shared" si="18"/>
        <v>11</v>
      </c>
      <c r="BA58" s="52">
        <v>5</v>
      </c>
      <c r="BB58" s="52">
        <v>1</v>
      </c>
      <c r="BC58" s="68">
        <f t="shared" si="19"/>
        <v>6</v>
      </c>
      <c r="BD58" s="68"/>
      <c r="BE58" s="68"/>
      <c r="BF58" s="68"/>
      <c r="BG58" s="52"/>
      <c r="BH58" s="68">
        <f t="shared" si="20"/>
        <v>0</v>
      </c>
      <c r="BI58" s="52">
        <v>2</v>
      </c>
      <c r="BJ58" s="52"/>
      <c r="BK58" s="52">
        <v>2</v>
      </c>
      <c r="BL58" s="52">
        <v>1</v>
      </c>
      <c r="BM58" s="68">
        <f t="shared" si="21"/>
        <v>22</v>
      </c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</row>
    <row r="59" spans="1:249" s="46" customFormat="1" ht="30" customHeight="1">
      <c r="A59" s="52">
        <v>23</v>
      </c>
      <c r="B59" s="52" t="s">
        <v>846</v>
      </c>
      <c r="C59" s="52" t="s">
        <v>847</v>
      </c>
      <c r="D59" s="52" t="s">
        <v>770</v>
      </c>
      <c r="E59" s="57" t="s">
        <v>848</v>
      </c>
      <c r="F59" s="52" t="s">
        <v>704</v>
      </c>
      <c r="G59" s="52" t="s">
        <v>651</v>
      </c>
      <c r="H59" s="52">
        <v>35</v>
      </c>
      <c r="I59" s="52" t="s">
        <v>849</v>
      </c>
      <c r="J59" s="68"/>
      <c r="K59" s="69">
        <v>3.87</v>
      </c>
      <c r="L59" s="69"/>
      <c r="M59" s="70"/>
      <c r="N59" s="70"/>
      <c r="O59" s="52" t="s">
        <v>652</v>
      </c>
      <c r="P59" s="52">
        <v>8</v>
      </c>
      <c r="Q59" s="52" t="s">
        <v>653</v>
      </c>
      <c r="R59" s="52" t="s">
        <v>654</v>
      </c>
      <c r="S59" s="52" t="s">
        <v>654</v>
      </c>
      <c r="T59" s="68">
        <v>2</v>
      </c>
      <c r="U59" s="52" t="s">
        <v>694</v>
      </c>
      <c r="V59" s="52" t="s">
        <v>656</v>
      </c>
      <c r="W59" s="68">
        <v>1</v>
      </c>
      <c r="X59" s="68"/>
      <c r="Y59" s="52">
        <v>1</v>
      </c>
      <c r="Z59" s="53">
        <v>1</v>
      </c>
      <c r="AA59" s="52">
        <f t="shared" si="17"/>
        <v>7</v>
      </c>
      <c r="AB59" s="53">
        <v>2</v>
      </c>
      <c r="AC59" s="68"/>
      <c r="AD59" s="68"/>
      <c r="AE59" s="68"/>
      <c r="AF59" s="68"/>
      <c r="AG59" s="68"/>
      <c r="AH59" s="52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52">
        <v>2</v>
      </c>
      <c r="AW59" s="68"/>
      <c r="AX59" s="52">
        <v>2</v>
      </c>
      <c r="AY59" s="52">
        <v>1</v>
      </c>
      <c r="AZ59" s="68">
        <f t="shared" si="18"/>
        <v>5</v>
      </c>
      <c r="BA59" s="52">
        <v>3</v>
      </c>
      <c r="BB59" s="52">
        <v>1</v>
      </c>
      <c r="BC59" s="68">
        <f t="shared" si="19"/>
        <v>4</v>
      </c>
      <c r="BD59" s="68"/>
      <c r="BE59" s="68"/>
      <c r="BF59" s="68"/>
      <c r="BG59" s="52"/>
      <c r="BH59" s="68">
        <f t="shared" si="20"/>
        <v>0</v>
      </c>
      <c r="BI59" s="52">
        <v>2</v>
      </c>
      <c r="BJ59" s="52"/>
      <c r="BK59" s="52"/>
      <c r="BL59" s="52">
        <v>1</v>
      </c>
      <c r="BM59" s="68">
        <f t="shared" si="21"/>
        <v>12</v>
      </c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</row>
    <row r="60" spans="1:249" ht="30" customHeight="1">
      <c r="A60" s="52">
        <v>24</v>
      </c>
      <c r="B60" s="52" t="s">
        <v>850</v>
      </c>
      <c r="C60" s="52" t="s">
        <v>851</v>
      </c>
      <c r="D60" s="52" t="s">
        <v>770</v>
      </c>
      <c r="E60" s="53" t="s">
        <v>852</v>
      </c>
      <c r="F60" s="53" t="s">
        <v>659</v>
      </c>
      <c r="G60" s="53" t="s">
        <v>651</v>
      </c>
      <c r="H60" s="53">
        <v>51</v>
      </c>
      <c r="I60" s="53" t="s">
        <v>701</v>
      </c>
      <c r="J60" s="53">
        <v>2018</v>
      </c>
      <c r="K60" s="65">
        <v>3.1749999999999998</v>
      </c>
      <c r="L60" s="65"/>
      <c r="M60" s="65"/>
      <c r="N60" s="65">
        <v>4.1379999999999999</v>
      </c>
      <c r="O60" s="53" t="s">
        <v>652</v>
      </c>
      <c r="P60" s="53">
        <v>35</v>
      </c>
      <c r="Q60" s="53" t="s">
        <v>653</v>
      </c>
      <c r="R60" s="53" t="s">
        <v>654</v>
      </c>
      <c r="S60" s="53" t="s">
        <v>654</v>
      </c>
      <c r="T60" s="53">
        <v>4</v>
      </c>
      <c r="U60" s="53" t="s">
        <v>679</v>
      </c>
      <c r="V60" s="53" t="s">
        <v>656</v>
      </c>
      <c r="W60" s="53">
        <v>1</v>
      </c>
      <c r="X60" s="53"/>
      <c r="Y60" s="53">
        <v>1</v>
      </c>
      <c r="Z60" s="53">
        <v>1</v>
      </c>
      <c r="AA60" s="53">
        <v>16</v>
      </c>
      <c r="AB60" s="53">
        <v>5</v>
      </c>
      <c r="AC60" s="53">
        <v>1</v>
      </c>
      <c r="AD60" s="53">
        <v>3</v>
      </c>
      <c r="AE60" s="53">
        <v>2</v>
      </c>
      <c r="AF60" s="53"/>
      <c r="AG60" s="53">
        <v>3</v>
      </c>
      <c r="AH60" s="53"/>
      <c r="AI60" s="53"/>
      <c r="AJ60" s="53"/>
      <c r="AK60" s="53">
        <v>1</v>
      </c>
      <c r="AL60" s="53">
        <v>1</v>
      </c>
      <c r="AM60" s="53"/>
      <c r="AN60" s="53"/>
      <c r="AO60" s="53"/>
      <c r="AP60" s="53">
        <v>2</v>
      </c>
      <c r="AQ60" s="53">
        <v>2</v>
      </c>
      <c r="AR60" s="53">
        <v>1</v>
      </c>
      <c r="AS60" s="53">
        <v>13</v>
      </c>
      <c r="AT60" s="53">
        <v>1</v>
      </c>
      <c r="AU60" s="53">
        <v>1</v>
      </c>
      <c r="AV60" s="53">
        <v>4</v>
      </c>
      <c r="AW60" s="53"/>
      <c r="AX60" s="53">
        <v>3</v>
      </c>
      <c r="AY60" s="53">
        <v>1</v>
      </c>
      <c r="AZ60" s="68">
        <f t="shared" si="18"/>
        <v>8</v>
      </c>
      <c r="BA60" s="53">
        <v>12</v>
      </c>
      <c r="BB60" s="53">
        <v>0</v>
      </c>
      <c r="BC60" s="68">
        <f t="shared" si="19"/>
        <v>12</v>
      </c>
      <c r="BD60" s="53"/>
      <c r="BE60" s="53"/>
      <c r="BF60" s="53"/>
      <c r="BG60" s="53">
        <v>1</v>
      </c>
      <c r="BH60" s="68">
        <f t="shared" si="20"/>
        <v>1</v>
      </c>
      <c r="BI60" s="53">
        <v>5</v>
      </c>
      <c r="BJ60" s="53">
        <v>0</v>
      </c>
      <c r="BK60" s="53">
        <v>2</v>
      </c>
      <c r="BL60" s="53"/>
      <c r="BM60" s="68">
        <f t="shared" si="21"/>
        <v>28</v>
      </c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</row>
    <row r="61" spans="1:249" ht="30" customHeight="1">
      <c r="A61" s="52">
        <v>25</v>
      </c>
      <c r="B61" s="52" t="s">
        <v>853</v>
      </c>
      <c r="C61" s="52" t="s">
        <v>854</v>
      </c>
      <c r="D61" s="52" t="s">
        <v>770</v>
      </c>
      <c r="E61" s="57" t="s">
        <v>855</v>
      </c>
      <c r="F61" s="52" t="s">
        <v>704</v>
      </c>
      <c r="G61" s="52" t="s">
        <v>651</v>
      </c>
      <c r="H61" s="52">
        <v>38</v>
      </c>
      <c r="I61" s="52" t="s">
        <v>721</v>
      </c>
      <c r="J61" s="68">
        <v>2018</v>
      </c>
      <c r="K61" s="69">
        <v>3.3330000000000002</v>
      </c>
      <c r="L61" s="69"/>
      <c r="M61" s="70"/>
      <c r="N61" s="70">
        <v>4.3559999999999999</v>
      </c>
      <c r="O61" s="52" t="s">
        <v>652</v>
      </c>
      <c r="P61" s="52">
        <v>5</v>
      </c>
      <c r="Q61" s="52" t="s">
        <v>653</v>
      </c>
      <c r="R61" s="52" t="s">
        <v>654</v>
      </c>
      <c r="S61" s="52" t="s">
        <v>654</v>
      </c>
      <c r="T61" s="68">
        <v>4</v>
      </c>
      <c r="U61" s="52" t="s">
        <v>679</v>
      </c>
      <c r="V61" s="52" t="s">
        <v>656</v>
      </c>
      <c r="W61" s="68"/>
      <c r="X61" s="68"/>
      <c r="Y61" s="52">
        <v>1</v>
      </c>
      <c r="Z61" s="53">
        <v>1</v>
      </c>
      <c r="AA61" s="52">
        <f>AX61+AY61+BA61+BB61</f>
        <v>7</v>
      </c>
      <c r="AB61" s="52"/>
      <c r="AC61" s="68">
        <v>1</v>
      </c>
      <c r="AD61" s="68"/>
      <c r="AE61" s="53">
        <v>3</v>
      </c>
      <c r="AF61" s="68"/>
      <c r="AG61" s="53">
        <v>3</v>
      </c>
      <c r="AH61" s="52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52">
        <v>2</v>
      </c>
      <c r="AW61" s="68"/>
      <c r="AX61" s="52">
        <v>3</v>
      </c>
      <c r="AY61" s="52"/>
      <c r="AZ61" s="68">
        <f t="shared" si="18"/>
        <v>5</v>
      </c>
      <c r="BA61" s="52">
        <v>4</v>
      </c>
      <c r="BB61" s="52"/>
      <c r="BC61" s="68">
        <f t="shared" si="19"/>
        <v>4</v>
      </c>
      <c r="BD61" s="68"/>
      <c r="BE61" s="68"/>
      <c r="BF61" s="68"/>
      <c r="BG61" s="52"/>
      <c r="BH61" s="68">
        <f t="shared" si="20"/>
        <v>0</v>
      </c>
      <c r="BI61" s="52">
        <v>3</v>
      </c>
      <c r="BJ61" s="52"/>
      <c r="BK61" s="52">
        <v>3</v>
      </c>
      <c r="BL61" s="52"/>
      <c r="BM61" s="68">
        <f t="shared" si="21"/>
        <v>15</v>
      </c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</row>
    <row r="62" spans="1:249" ht="30" customHeight="1">
      <c r="A62" s="52">
        <v>26</v>
      </c>
      <c r="B62" s="53" t="s">
        <v>856</v>
      </c>
      <c r="C62" s="53" t="s">
        <v>857</v>
      </c>
      <c r="D62" s="52" t="s">
        <v>770</v>
      </c>
      <c r="E62" s="53" t="s">
        <v>858</v>
      </c>
      <c r="F62" s="53" t="s">
        <v>709</v>
      </c>
      <c r="G62" s="52" t="s">
        <v>651</v>
      </c>
      <c r="H62" s="53">
        <v>25</v>
      </c>
      <c r="I62" s="53" t="s">
        <v>859</v>
      </c>
      <c r="J62" s="68"/>
      <c r="K62" s="65">
        <v>6.0359999999999996</v>
      </c>
      <c r="L62" s="65"/>
      <c r="M62" s="70"/>
      <c r="N62" s="70">
        <v>2.83</v>
      </c>
      <c r="O62" s="53" t="s">
        <v>652</v>
      </c>
      <c r="P62" s="53">
        <v>11.5</v>
      </c>
      <c r="Q62" s="53" t="s">
        <v>653</v>
      </c>
      <c r="R62" s="53" t="s">
        <v>654</v>
      </c>
      <c r="S62" s="53" t="s">
        <v>654</v>
      </c>
      <c r="T62" s="68">
        <v>3</v>
      </c>
      <c r="U62" s="53" t="s">
        <v>679</v>
      </c>
      <c r="V62" s="52" t="s">
        <v>656</v>
      </c>
      <c r="W62" s="68"/>
      <c r="X62" s="68"/>
      <c r="Y62" s="52">
        <v>1</v>
      </c>
      <c r="Z62" s="53">
        <v>1</v>
      </c>
      <c r="AA62" s="52">
        <f>AX62+AY62+BA62+BB62</f>
        <v>9</v>
      </c>
      <c r="AB62" s="53"/>
      <c r="AC62" s="68">
        <v>1</v>
      </c>
      <c r="AD62" s="68"/>
      <c r="AE62" s="68"/>
      <c r="AF62" s="68"/>
      <c r="AG62" s="68"/>
      <c r="AH62" s="52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53">
        <v>2</v>
      </c>
      <c r="AW62" s="68"/>
      <c r="AX62" s="53">
        <v>4</v>
      </c>
      <c r="AY62" s="53"/>
      <c r="AZ62" s="68">
        <f t="shared" si="18"/>
        <v>6</v>
      </c>
      <c r="BA62" s="53">
        <v>4</v>
      </c>
      <c r="BB62" s="53">
        <v>1</v>
      </c>
      <c r="BC62" s="68">
        <f t="shared" si="19"/>
        <v>5</v>
      </c>
      <c r="BD62" s="68"/>
      <c r="BE62" s="68"/>
      <c r="BF62" s="68"/>
      <c r="BG62" s="53">
        <v>1</v>
      </c>
      <c r="BH62" s="68">
        <f t="shared" si="20"/>
        <v>1</v>
      </c>
      <c r="BI62" s="53"/>
      <c r="BJ62" s="53"/>
      <c r="BK62" s="53"/>
      <c r="BL62" s="53">
        <v>1</v>
      </c>
      <c r="BM62" s="68">
        <f t="shared" si="21"/>
        <v>13</v>
      </c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</row>
    <row r="63" spans="1:249" s="48" customFormat="1" ht="30" customHeight="1">
      <c r="A63" s="52">
        <v>27</v>
      </c>
      <c r="B63" s="62" t="s">
        <v>860</v>
      </c>
      <c r="C63" s="62" t="s">
        <v>861</v>
      </c>
      <c r="D63" s="52" t="s">
        <v>770</v>
      </c>
      <c r="E63" s="63" t="s">
        <v>862</v>
      </c>
      <c r="F63" s="63" t="s">
        <v>704</v>
      </c>
      <c r="G63" s="63" t="s">
        <v>651</v>
      </c>
      <c r="H63" s="63">
        <v>37.42</v>
      </c>
      <c r="I63" s="63" t="s">
        <v>863</v>
      </c>
      <c r="J63" s="63">
        <v>2017</v>
      </c>
      <c r="K63" s="63"/>
      <c r="L63" s="63"/>
      <c r="M63" s="63"/>
      <c r="N63" s="63"/>
      <c r="O63" s="72" t="s">
        <v>652</v>
      </c>
      <c r="P63" s="63">
        <v>0</v>
      </c>
      <c r="Q63" s="72">
        <v>1</v>
      </c>
      <c r="R63" s="72" t="s">
        <v>654</v>
      </c>
      <c r="S63" s="72" t="s">
        <v>654</v>
      </c>
      <c r="T63" s="72"/>
      <c r="U63" s="72" t="s">
        <v>694</v>
      </c>
      <c r="V63" s="72" t="s">
        <v>656</v>
      </c>
      <c r="W63" s="72">
        <v>1</v>
      </c>
      <c r="X63" s="72"/>
      <c r="Y63" s="72">
        <v>1</v>
      </c>
      <c r="Z63" s="72"/>
      <c r="AA63" s="72">
        <v>0</v>
      </c>
      <c r="AB63" s="72">
        <v>0</v>
      </c>
      <c r="AC63" s="72">
        <v>0</v>
      </c>
      <c r="AD63" s="72">
        <v>0</v>
      </c>
      <c r="AE63" s="72">
        <v>0</v>
      </c>
      <c r="AF63" s="72">
        <v>0</v>
      </c>
      <c r="AG63" s="72">
        <v>0</v>
      </c>
      <c r="AH63" s="72">
        <v>0</v>
      </c>
      <c r="AI63" s="72">
        <v>0</v>
      </c>
      <c r="AJ63" s="72">
        <v>0</v>
      </c>
      <c r="AK63" s="72">
        <v>0</v>
      </c>
      <c r="AL63" s="72">
        <v>0</v>
      </c>
      <c r="AM63" s="72">
        <v>0</v>
      </c>
      <c r="AN63" s="72">
        <v>0</v>
      </c>
      <c r="AO63" s="72"/>
      <c r="AP63" s="72">
        <v>0</v>
      </c>
      <c r="AQ63" s="72">
        <v>0</v>
      </c>
      <c r="AR63" s="72">
        <v>0</v>
      </c>
      <c r="AS63" s="72">
        <v>0</v>
      </c>
      <c r="AT63" s="72">
        <v>0</v>
      </c>
      <c r="AU63" s="72">
        <v>0</v>
      </c>
      <c r="AV63" s="63">
        <v>3</v>
      </c>
      <c r="AW63" s="63"/>
      <c r="AX63" s="63">
        <v>3</v>
      </c>
      <c r="AY63" s="63">
        <v>1</v>
      </c>
      <c r="AZ63" s="63">
        <f t="shared" si="18"/>
        <v>7</v>
      </c>
      <c r="BA63" s="63">
        <v>3</v>
      </c>
      <c r="BB63" s="63">
        <v>1</v>
      </c>
      <c r="BC63" s="63">
        <f t="shared" si="19"/>
        <v>4</v>
      </c>
      <c r="BD63" s="63"/>
      <c r="BE63" s="63"/>
      <c r="BF63" s="63"/>
      <c r="BG63" s="63"/>
      <c r="BH63" s="63">
        <f t="shared" si="20"/>
        <v>0</v>
      </c>
      <c r="BI63" s="63">
        <v>1</v>
      </c>
      <c r="BJ63" s="63"/>
      <c r="BK63" s="63"/>
      <c r="BL63" s="63"/>
      <c r="BM63" s="63">
        <f t="shared" si="21"/>
        <v>12</v>
      </c>
    </row>
    <row r="64" spans="1:249" s="45" customFormat="1" ht="30" customHeight="1">
      <c r="A64" s="55" t="s">
        <v>325</v>
      </c>
      <c r="B64" s="55"/>
      <c r="C64" s="55">
        <f t="shared" ref="C64:C69" si="22">A63</f>
        <v>27</v>
      </c>
      <c r="D64" s="55"/>
      <c r="E64" s="64"/>
      <c r="F64" s="55"/>
      <c r="G64" s="55"/>
      <c r="H64" s="55"/>
      <c r="I64" s="55"/>
      <c r="J64" s="73"/>
      <c r="K64" s="74"/>
      <c r="L64" s="74"/>
      <c r="M64" s="75"/>
      <c r="N64" s="75"/>
      <c r="O64" s="55"/>
      <c r="P64" s="55"/>
      <c r="Q64" s="55"/>
      <c r="R64" s="55"/>
      <c r="S64" s="55"/>
      <c r="T64" s="73"/>
      <c r="U64" s="55"/>
      <c r="V64" s="55"/>
      <c r="W64" s="73">
        <f t="shared" ref="W64:BM64" si="23">SUM(W37:W63)</f>
        <v>21</v>
      </c>
      <c r="X64" s="73">
        <f t="shared" si="23"/>
        <v>5</v>
      </c>
      <c r="Y64" s="73">
        <f t="shared" si="23"/>
        <v>41</v>
      </c>
      <c r="Z64" s="73">
        <f t="shared" si="23"/>
        <v>26</v>
      </c>
      <c r="AA64" s="73">
        <f t="shared" si="23"/>
        <v>218</v>
      </c>
      <c r="AB64" s="73">
        <f t="shared" si="23"/>
        <v>35</v>
      </c>
      <c r="AC64" s="73">
        <f t="shared" si="23"/>
        <v>6</v>
      </c>
      <c r="AD64" s="73">
        <f t="shared" si="23"/>
        <v>20</v>
      </c>
      <c r="AE64" s="73">
        <f t="shared" si="23"/>
        <v>27</v>
      </c>
      <c r="AF64" s="73">
        <f t="shared" si="23"/>
        <v>0</v>
      </c>
      <c r="AG64" s="73">
        <f t="shared" si="23"/>
        <v>28</v>
      </c>
      <c r="AH64" s="73">
        <f t="shared" si="23"/>
        <v>0</v>
      </c>
      <c r="AI64" s="73">
        <f t="shared" si="23"/>
        <v>0</v>
      </c>
      <c r="AJ64" s="73">
        <f t="shared" si="23"/>
        <v>0</v>
      </c>
      <c r="AK64" s="73">
        <f t="shared" si="23"/>
        <v>8</v>
      </c>
      <c r="AL64" s="73">
        <f t="shared" si="23"/>
        <v>2</v>
      </c>
      <c r="AM64" s="73">
        <f t="shared" si="23"/>
        <v>0</v>
      </c>
      <c r="AN64" s="73">
        <f t="shared" si="23"/>
        <v>0</v>
      </c>
      <c r="AO64" s="73">
        <f t="shared" si="23"/>
        <v>2</v>
      </c>
      <c r="AP64" s="73">
        <f t="shared" si="23"/>
        <v>4</v>
      </c>
      <c r="AQ64" s="73">
        <f t="shared" si="23"/>
        <v>10</v>
      </c>
      <c r="AR64" s="73">
        <f t="shared" si="23"/>
        <v>2</v>
      </c>
      <c r="AS64" s="73">
        <f t="shared" si="23"/>
        <v>21</v>
      </c>
      <c r="AT64" s="73">
        <f t="shared" si="23"/>
        <v>4</v>
      </c>
      <c r="AU64" s="73">
        <f t="shared" si="23"/>
        <v>3</v>
      </c>
      <c r="AV64" s="73">
        <f t="shared" si="23"/>
        <v>61</v>
      </c>
      <c r="AW64" s="73">
        <f t="shared" si="23"/>
        <v>0</v>
      </c>
      <c r="AX64" s="73">
        <f t="shared" si="23"/>
        <v>86</v>
      </c>
      <c r="AY64" s="73">
        <f t="shared" si="23"/>
        <v>16</v>
      </c>
      <c r="AZ64" s="73">
        <f t="shared" si="23"/>
        <v>163</v>
      </c>
      <c r="BA64" s="73">
        <f t="shared" si="23"/>
        <v>108</v>
      </c>
      <c r="BB64" s="73">
        <f t="shared" si="23"/>
        <v>17</v>
      </c>
      <c r="BC64" s="73">
        <f t="shared" si="23"/>
        <v>125</v>
      </c>
      <c r="BD64" s="73">
        <f t="shared" si="23"/>
        <v>0</v>
      </c>
      <c r="BE64" s="73">
        <f t="shared" si="23"/>
        <v>0</v>
      </c>
      <c r="BF64" s="73">
        <f t="shared" si="23"/>
        <v>0</v>
      </c>
      <c r="BG64" s="73">
        <f t="shared" si="23"/>
        <v>2</v>
      </c>
      <c r="BH64" s="73">
        <f t="shared" si="23"/>
        <v>2</v>
      </c>
      <c r="BI64" s="73">
        <f t="shared" si="23"/>
        <v>46</v>
      </c>
      <c r="BJ64" s="73">
        <f t="shared" si="23"/>
        <v>5</v>
      </c>
      <c r="BK64" s="73">
        <f t="shared" si="23"/>
        <v>32</v>
      </c>
      <c r="BL64" s="73">
        <f t="shared" si="23"/>
        <v>11</v>
      </c>
      <c r="BM64" s="73">
        <f t="shared" si="23"/>
        <v>384</v>
      </c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  <c r="IE64" s="79"/>
      <c r="IF64" s="79"/>
      <c r="IG64" s="79"/>
      <c r="IH64" s="79"/>
      <c r="II64" s="79"/>
      <c r="IJ64" s="79"/>
      <c r="IK64" s="79"/>
      <c r="IL64" s="79"/>
      <c r="IM64" s="79"/>
      <c r="IN64" s="79"/>
      <c r="IO64" s="79"/>
    </row>
    <row r="65" spans="1:249" ht="30" customHeight="1">
      <c r="A65" s="52">
        <v>1</v>
      </c>
      <c r="B65" s="53" t="s">
        <v>864</v>
      </c>
      <c r="C65" s="53" t="s">
        <v>865</v>
      </c>
      <c r="D65" s="52" t="s">
        <v>866</v>
      </c>
      <c r="E65" s="53" t="s">
        <v>867</v>
      </c>
      <c r="F65" s="53" t="s">
        <v>664</v>
      </c>
      <c r="G65" s="53" t="s">
        <v>651</v>
      </c>
      <c r="H65" s="53">
        <v>35</v>
      </c>
      <c r="I65" s="53">
        <v>2018</v>
      </c>
      <c r="J65" s="53"/>
      <c r="K65" s="65">
        <v>6.875</v>
      </c>
      <c r="L65" s="65"/>
      <c r="M65" s="65">
        <v>7.0359999999999996</v>
      </c>
      <c r="N65" s="65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68">
        <v>1</v>
      </c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>
        <v>2</v>
      </c>
      <c r="AW65" s="53"/>
      <c r="AX65" s="53">
        <v>3</v>
      </c>
      <c r="AY65" s="53">
        <v>0</v>
      </c>
      <c r="AZ65" s="68">
        <f t="shared" ref="AZ65:AZ68" si="24">SUM(AV65:AY65)</f>
        <v>5</v>
      </c>
      <c r="BA65" s="53">
        <v>0</v>
      </c>
      <c r="BB65" s="53"/>
      <c r="BC65" s="68">
        <f t="shared" ref="BC65:BC68" si="25">SUM(BA65:BB65)</f>
        <v>0</v>
      </c>
      <c r="BD65" s="53">
        <v>1</v>
      </c>
      <c r="BE65" s="53">
        <v>1</v>
      </c>
      <c r="BF65" s="53"/>
      <c r="BG65" s="53">
        <v>1</v>
      </c>
      <c r="BH65" s="68">
        <f t="shared" ref="BH65:BH68" si="26">SUM(BD65:BG65)</f>
        <v>3</v>
      </c>
      <c r="BI65" s="53">
        <v>5</v>
      </c>
      <c r="BJ65" s="53">
        <v>1</v>
      </c>
      <c r="BK65" s="53">
        <v>1</v>
      </c>
      <c r="BL65" s="53"/>
      <c r="BM65" s="68">
        <f t="shared" ref="BM65:BM68" si="27">SUM(AZ65,BC65,BH65:BL65)</f>
        <v>15</v>
      </c>
    </row>
    <row r="66" spans="1:249" s="45" customFormat="1" ht="30" customHeight="1">
      <c r="A66" s="55" t="s">
        <v>325</v>
      </c>
      <c r="B66" s="56"/>
      <c r="C66" s="56">
        <f t="shared" si="22"/>
        <v>1</v>
      </c>
      <c r="D66" s="55"/>
      <c r="E66" s="56"/>
      <c r="F66" s="56"/>
      <c r="G66" s="56"/>
      <c r="H66" s="56"/>
      <c r="I66" s="56"/>
      <c r="J66" s="56"/>
      <c r="K66" s="67"/>
      <c r="L66" s="67"/>
      <c r="M66" s="67"/>
      <c r="N66" s="67"/>
      <c r="O66" s="56"/>
      <c r="P66" s="56"/>
      <c r="Q66" s="56"/>
      <c r="R66" s="56"/>
      <c r="S66" s="56"/>
      <c r="T66" s="56"/>
      <c r="U66" s="56"/>
      <c r="V66" s="56"/>
      <c r="W66" s="56">
        <f t="shared" ref="W66:BM66" si="28">SUM(W65)</f>
        <v>0</v>
      </c>
      <c r="X66" s="56">
        <f t="shared" si="28"/>
        <v>0</v>
      </c>
      <c r="Y66" s="56">
        <f t="shared" si="28"/>
        <v>0</v>
      </c>
      <c r="Z66" s="56">
        <f t="shared" si="28"/>
        <v>0</v>
      </c>
      <c r="AA66" s="56">
        <f t="shared" si="28"/>
        <v>0</v>
      </c>
      <c r="AB66" s="56">
        <f t="shared" si="28"/>
        <v>0</v>
      </c>
      <c r="AC66" s="56">
        <f t="shared" si="28"/>
        <v>1</v>
      </c>
      <c r="AD66" s="56">
        <f t="shared" si="28"/>
        <v>0</v>
      </c>
      <c r="AE66" s="56">
        <f t="shared" si="28"/>
        <v>0</v>
      </c>
      <c r="AF66" s="56">
        <f t="shared" si="28"/>
        <v>0</v>
      </c>
      <c r="AG66" s="56">
        <f t="shared" si="28"/>
        <v>0</v>
      </c>
      <c r="AH66" s="56">
        <f t="shared" si="28"/>
        <v>0</v>
      </c>
      <c r="AI66" s="56">
        <f t="shared" si="28"/>
        <v>0</v>
      </c>
      <c r="AJ66" s="56">
        <f t="shared" si="28"/>
        <v>0</v>
      </c>
      <c r="AK66" s="56">
        <f t="shared" si="28"/>
        <v>0</v>
      </c>
      <c r="AL66" s="56">
        <f t="shared" si="28"/>
        <v>0</v>
      </c>
      <c r="AM66" s="56">
        <f t="shared" si="28"/>
        <v>0</v>
      </c>
      <c r="AN66" s="56">
        <f t="shared" si="28"/>
        <v>0</v>
      </c>
      <c r="AO66" s="56">
        <f t="shared" si="28"/>
        <v>0</v>
      </c>
      <c r="AP66" s="56">
        <f t="shared" si="28"/>
        <v>0</v>
      </c>
      <c r="AQ66" s="56">
        <f t="shared" si="28"/>
        <v>0</v>
      </c>
      <c r="AR66" s="56">
        <f t="shared" si="28"/>
        <v>0</v>
      </c>
      <c r="AS66" s="56">
        <f t="shared" si="28"/>
        <v>0</v>
      </c>
      <c r="AT66" s="56">
        <f t="shared" si="28"/>
        <v>0</v>
      </c>
      <c r="AU66" s="56">
        <f t="shared" si="28"/>
        <v>0</v>
      </c>
      <c r="AV66" s="56">
        <f t="shared" si="28"/>
        <v>2</v>
      </c>
      <c r="AW66" s="56">
        <f t="shared" si="28"/>
        <v>0</v>
      </c>
      <c r="AX66" s="56">
        <f t="shared" si="28"/>
        <v>3</v>
      </c>
      <c r="AY66" s="56">
        <f t="shared" si="28"/>
        <v>0</v>
      </c>
      <c r="AZ66" s="56">
        <f t="shared" si="28"/>
        <v>5</v>
      </c>
      <c r="BA66" s="56">
        <f t="shared" si="28"/>
        <v>0</v>
      </c>
      <c r="BB66" s="56">
        <f t="shared" si="28"/>
        <v>0</v>
      </c>
      <c r="BC66" s="56">
        <f t="shared" si="28"/>
        <v>0</v>
      </c>
      <c r="BD66" s="56">
        <f t="shared" si="28"/>
        <v>1</v>
      </c>
      <c r="BE66" s="56">
        <f t="shared" si="28"/>
        <v>1</v>
      </c>
      <c r="BF66" s="56">
        <f t="shared" si="28"/>
        <v>0</v>
      </c>
      <c r="BG66" s="56">
        <f t="shared" si="28"/>
        <v>1</v>
      </c>
      <c r="BH66" s="56">
        <f t="shared" si="28"/>
        <v>3</v>
      </c>
      <c r="BI66" s="56">
        <f t="shared" si="28"/>
        <v>5</v>
      </c>
      <c r="BJ66" s="56">
        <f t="shared" si="28"/>
        <v>1</v>
      </c>
      <c r="BK66" s="56">
        <f t="shared" si="28"/>
        <v>1</v>
      </c>
      <c r="BL66" s="56">
        <f t="shared" si="28"/>
        <v>0</v>
      </c>
      <c r="BM66" s="56">
        <f t="shared" si="28"/>
        <v>15</v>
      </c>
    </row>
    <row r="67" spans="1:249" ht="30" customHeight="1">
      <c r="A67" s="52">
        <v>1</v>
      </c>
      <c r="B67" s="52" t="s">
        <v>868</v>
      </c>
      <c r="C67" s="52" t="s">
        <v>869</v>
      </c>
      <c r="D67" s="52" t="s">
        <v>870</v>
      </c>
      <c r="E67" s="57" t="s">
        <v>871</v>
      </c>
      <c r="F67" s="52" t="s">
        <v>704</v>
      </c>
      <c r="G67" s="52" t="s">
        <v>651</v>
      </c>
      <c r="H67" s="52">
        <v>25</v>
      </c>
      <c r="I67" s="52" t="s">
        <v>669</v>
      </c>
      <c r="J67" s="68"/>
      <c r="K67" s="69">
        <v>3.1</v>
      </c>
      <c r="L67" s="69"/>
      <c r="M67" s="70"/>
      <c r="N67" s="70"/>
      <c r="O67" s="52" t="s">
        <v>652</v>
      </c>
      <c r="P67" s="52">
        <v>20</v>
      </c>
      <c r="Q67" s="52" t="s">
        <v>653</v>
      </c>
      <c r="R67" s="52" t="s">
        <v>654</v>
      </c>
      <c r="S67" s="52" t="s">
        <v>654</v>
      </c>
      <c r="T67" s="68">
        <v>4</v>
      </c>
      <c r="U67" s="52" t="s">
        <v>679</v>
      </c>
      <c r="V67" s="52" t="s">
        <v>656</v>
      </c>
      <c r="W67" s="68">
        <v>1</v>
      </c>
      <c r="X67" s="68"/>
      <c r="Y67" s="52">
        <v>1</v>
      </c>
      <c r="Z67" s="53">
        <v>1</v>
      </c>
      <c r="AA67" s="52">
        <v>6</v>
      </c>
      <c r="AB67" s="52"/>
      <c r="AC67" s="68"/>
      <c r="AD67" s="68"/>
      <c r="AE67" s="68"/>
      <c r="AF67" s="68"/>
      <c r="AG67" s="68"/>
      <c r="AH67" s="52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52">
        <v>1</v>
      </c>
      <c r="AW67" s="68"/>
      <c r="AX67" s="52">
        <v>3</v>
      </c>
      <c r="AY67" s="52"/>
      <c r="AZ67" s="68">
        <f t="shared" si="24"/>
        <v>4</v>
      </c>
      <c r="BA67" s="52">
        <v>0</v>
      </c>
      <c r="BB67" s="52"/>
      <c r="BC67" s="68">
        <f t="shared" si="25"/>
        <v>0</v>
      </c>
      <c r="BD67" s="68"/>
      <c r="BE67" s="68"/>
      <c r="BF67" s="68"/>
      <c r="BG67" s="52"/>
      <c r="BH67" s="68">
        <f t="shared" si="26"/>
        <v>0</v>
      </c>
      <c r="BI67" s="52">
        <v>4</v>
      </c>
      <c r="BJ67" s="52"/>
      <c r="BK67" s="52">
        <v>1</v>
      </c>
      <c r="BL67" s="52"/>
      <c r="BM67" s="68">
        <f t="shared" si="27"/>
        <v>9</v>
      </c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</row>
    <row r="68" spans="1:249" ht="30" customHeight="1">
      <c r="A68" s="52">
        <v>2</v>
      </c>
      <c r="B68" s="52" t="s">
        <v>872</v>
      </c>
      <c r="C68" s="52" t="s">
        <v>873</v>
      </c>
      <c r="D68" s="52" t="s">
        <v>870</v>
      </c>
      <c r="E68" s="53" t="s">
        <v>874</v>
      </c>
      <c r="F68" s="53" t="s">
        <v>650</v>
      </c>
      <c r="G68" s="53" t="s">
        <v>651</v>
      </c>
      <c r="H68" s="53">
        <v>23</v>
      </c>
      <c r="I68" s="53" t="s">
        <v>721</v>
      </c>
      <c r="J68" s="53">
        <v>2018</v>
      </c>
      <c r="K68" s="65">
        <v>3.9980000000000002</v>
      </c>
      <c r="L68" s="65"/>
      <c r="M68" s="65"/>
      <c r="N68" s="65"/>
      <c r="O68" s="53" t="s">
        <v>652</v>
      </c>
      <c r="P68" s="53">
        <v>18</v>
      </c>
      <c r="Q68" s="53" t="s">
        <v>653</v>
      </c>
      <c r="R68" s="53" t="s">
        <v>654</v>
      </c>
      <c r="S68" s="53" t="s">
        <v>654</v>
      </c>
      <c r="T68" s="53">
        <v>2</v>
      </c>
      <c r="U68" s="53" t="s">
        <v>679</v>
      </c>
      <c r="V68" s="53" t="s">
        <v>656</v>
      </c>
      <c r="W68" s="53"/>
      <c r="X68" s="53"/>
      <c r="Y68" s="53">
        <v>1</v>
      </c>
      <c r="Z68" s="53">
        <v>1</v>
      </c>
      <c r="AA68" s="53">
        <f>AX68+AY68+BA68+BB68</f>
        <v>2</v>
      </c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>
        <v>2</v>
      </c>
      <c r="AW68" s="53"/>
      <c r="AX68" s="53">
        <v>2</v>
      </c>
      <c r="AY68" s="53"/>
      <c r="AZ68" s="68">
        <f t="shared" si="24"/>
        <v>4</v>
      </c>
      <c r="BA68" s="53">
        <v>0</v>
      </c>
      <c r="BB68" s="53"/>
      <c r="BC68" s="68">
        <f t="shared" si="25"/>
        <v>0</v>
      </c>
      <c r="BD68" s="53"/>
      <c r="BE68" s="53"/>
      <c r="BF68" s="53"/>
      <c r="BG68" s="53"/>
      <c r="BH68" s="68">
        <f t="shared" si="26"/>
        <v>0</v>
      </c>
      <c r="BI68" s="53">
        <v>3</v>
      </c>
      <c r="BJ68" s="53"/>
      <c r="BK68" s="53">
        <v>1</v>
      </c>
      <c r="BL68" s="53"/>
      <c r="BM68" s="68">
        <f t="shared" si="27"/>
        <v>8</v>
      </c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</row>
    <row r="69" spans="1:249" ht="30" customHeight="1">
      <c r="A69" s="55" t="s">
        <v>325</v>
      </c>
      <c r="B69" s="55"/>
      <c r="C69" s="55">
        <f t="shared" si="22"/>
        <v>2</v>
      </c>
      <c r="D69" s="52"/>
      <c r="E69" s="55"/>
      <c r="F69" s="52"/>
      <c r="G69" s="52"/>
      <c r="H69" s="52"/>
      <c r="I69" s="52"/>
      <c r="J69" s="52"/>
      <c r="K69" s="69"/>
      <c r="L69" s="69"/>
      <c r="M69" s="69"/>
      <c r="N69" s="69"/>
      <c r="O69" s="52"/>
      <c r="P69" s="52"/>
      <c r="Q69" s="52"/>
      <c r="R69" s="52"/>
      <c r="S69" s="52"/>
      <c r="T69" s="52"/>
      <c r="U69" s="52"/>
      <c r="V69" s="52"/>
      <c r="W69" s="55">
        <f t="shared" ref="W69:BM69" si="29">SUM(W67:W68)</f>
        <v>1</v>
      </c>
      <c r="X69" s="55">
        <f t="shared" si="29"/>
        <v>0</v>
      </c>
      <c r="Y69" s="55">
        <f t="shared" si="29"/>
        <v>2</v>
      </c>
      <c r="Z69" s="55">
        <f t="shared" si="29"/>
        <v>2</v>
      </c>
      <c r="AA69" s="55">
        <f t="shared" si="29"/>
        <v>8</v>
      </c>
      <c r="AB69" s="55">
        <f t="shared" si="29"/>
        <v>0</v>
      </c>
      <c r="AC69" s="55">
        <f t="shared" si="29"/>
        <v>0</v>
      </c>
      <c r="AD69" s="55">
        <f t="shared" si="29"/>
        <v>0</v>
      </c>
      <c r="AE69" s="55">
        <f t="shared" si="29"/>
        <v>0</v>
      </c>
      <c r="AF69" s="55">
        <f t="shared" si="29"/>
        <v>0</v>
      </c>
      <c r="AG69" s="55">
        <f t="shared" si="29"/>
        <v>0</v>
      </c>
      <c r="AH69" s="55">
        <f t="shared" si="29"/>
        <v>0</v>
      </c>
      <c r="AI69" s="55">
        <f t="shared" si="29"/>
        <v>0</v>
      </c>
      <c r="AJ69" s="55">
        <f t="shared" si="29"/>
        <v>0</v>
      </c>
      <c r="AK69" s="55">
        <f t="shared" si="29"/>
        <v>0</v>
      </c>
      <c r="AL69" s="55">
        <f t="shared" si="29"/>
        <v>0</v>
      </c>
      <c r="AM69" s="55">
        <f t="shared" si="29"/>
        <v>0</v>
      </c>
      <c r="AN69" s="55">
        <f t="shared" si="29"/>
        <v>0</v>
      </c>
      <c r="AO69" s="55">
        <f t="shared" si="29"/>
        <v>0</v>
      </c>
      <c r="AP69" s="55">
        <f t="shared" si="29"/>
        <v>0</v>
      </c>
      <c r="AQ69" s="55">
        <f t="shared" si="29"/>
        <v>0</v>
      </c>
      <c r="AR69" s="55">
        <f t="shared" si="29"/>
        <v>0</v>
      </c>
      <c r="AS69" s="55">
        <f t="shared" si="29"/>
        <v>0</v>
      </c>
      <c r="AT69" s="55">
        <f t="shared" si="29"/>
        <v>0</v>
      </c>
      <c r="AU69" s="55">
        <f t="shared" si="29"/>
        <v>0</v>
      </c>
      <c r="AV69" s="55">
        <f t="shared" si="29"/>
        <v>3</v>
      </c>
      <c r="AW69" s="55">
        <f t="shared" si="29"/>
        <v>0</v>
      </c>
      <c r="AX69" s="55">
        <f t="shared" si="29"/>
        <v>5</v>
      </c>
      <c r="AY69" s="55">
        <f t="shared" si="29"/>
        <v>0</v>
      </c>
      <c r="AZ69" s="55">
        <f t="shared" si="29"/>
        <v>8</v>
      </c>
      <c r="BA69" s="55">
        <f t="shared" si="29"/>
        <v>0</v>
      </c>
      <c r="BB69" s="55">
        <f t="shared" si="29"/>
        <v>0</v>
      </c>
      <c r="BC69" s="55">
        <f t="shared" si="29"/>
        <v>0</v>
      </c>
      <c r="BD69" s="55">
        <f t="shared" si="29"/>
        <v>0</v>
      </c>
      <c r="BE69" s="55">
        <f t="shared" si="29"/>
        <v>0</v>
      </c>
      <c r="BF69" s="55">
        <f t="shared" si="29"/>
        <v>0</v>
      </c>
      <c r="BG69" s="55">
        <f t="shared" si="29"/>
        <v>0</v>
      </c>
      <c r="BH69" s="55">
        <f t="shared" si="29"/>
        <v>0</v>
      </c>
      <c r="BI69" s="55">
        <f t="shared" si="29"/>
        <v>7</v>
      </c>
      <c r="BJ69" s="55">
        <f t="shared" si="29"/>
        <v>0</v>
      </c>
      <c r="BK69" s="55">
        <f t="shared" si="29"/>
        <v>2</v>
      </c>
      <c r="BL69" s="55">
        <f t="shared" si="29"/>
        <v>0</v>
      </c>
      <c r="BM69" s="55">
        <f t="shared" si="29"/>
        <v>17</v>
      </c>
    </row>
    <row r="70" spans="1:249" s="45" customFormat="1" ht="30" customHeight="1">
      <c r="A70" s="80" t="s">
        <v>580</v>
      </c>
      <c r="B70" s="80"/>
      <c r="C70" s="55">
        <f>C10+C13+C36+C64+C66+C69</f>
        <v>60</v>
      </c>
      <c r="D70" s="55"/>
      <c r="E70" s="55"/>
      <c r="F70" s="55"/>
      <c r="G70" s="55"/>
      <c r="H70" s="55"/>
      <c r="I70" s="55"/>
      <c r="J70" s="55"/>
      <c r="K70" s="74"/>
      <c r="L70" s="74"/>
      <c r="M70" s="74"/>
      <c r="N70" s="74"/>
      <c r="O70" s="55"/>
      <c r="P70" s="55"/>
      <c r="Q70" s="55"/>
      <c r="R70" s="55"/>
      <c r="S70" s="55"/>
      <c r="T70" s="55"/>
      <c r="U70" s="55"/>
      <c r="V70" s="55"/>
      <c r="W70" s="55">
        <f t="shared" ref="W70:BM70" si="30">W10+W13+W36+W64+W66+W69</f>
        <v>50</v>
      </c>
      <c r="X70" s="55">
        <f t="shared" si="30"/>
        <v>10</v>
      </c>
      <c r="Y70" s="55">
        <f t="shared" si="30"/>
        <v>73</v>
      </c>
      <c r="Z70" s="55">
        <f t="shared" si="30"/>
        <v>58</v>
      </c>
      <c r="AA70" s="55">
        <f t="shared" si="30"/>
        <v>481</v>
      </c>
      <c r="AB70" s="55">
        <f t="shared" si="30"/>
        <v>120</v>
      </c>
      <c r="AC70" s="55">
        <f t="shared" si="30"/>
        <v>18</v>
      </c>
      <c r="AD70" s="55">
        <f t="shared" si="30"/>
        <v>73</v>
      </c>
      <c r="AE70" s="55">
        <f t="shared" si="30"/>
        <v>81</v>
      </c>
      <c r="AF70" s="55">
        <f t="shared" si="30"/>
        <v>8</v>
      </c>
      <c r="AG70" s="55">
        <f t="shared" si="30"/>
        <v>80</v>
      </c>
      <c r="AH70" s="55">
        <f t="shared" si="30"/>
        <v>10</v>
      </c>
      <c r="AI70" s="55">
        <f t="shared" si="30"/>
        <v>0</v>
      </c>
      <c r="AJ70" s="55">
        <f t="shared" si="30"/>
        <v>0</v>
      </c>
      <c r="AK70" s="55">
        <f t="shared" si="30"/>
        <v>36</v>
      </c>
      <c r="AL70" s="55">
        <f t="shared" si="30"/>
        <v>3</v>
      </c>
      <c r="AM70" s="55">
        <f t="shared" si="30"/>
        <v>0</v>
      </c>
      <c r="AN70" s="55">
        <f t="shared" si="30"/>
        <v>0</v>
      </c>
      <c r="AO70" s="55">
        <f t="shared" si="30"/>
        <v>2</v>
      </c>
      <c r="AP70" s="55">
        <f t="shared" si="30"/>
        <v>10</v>
      </c>
      <c r="AQ70" s="55">
        <f t="shared" si="30"/>
        <v>30</v>
      </c>
      <c r="AR70" s="55">
        <f t="shared" si="30"/>
        <v>9</v>
      </c>
      <c r="AS70" s="55">
        <f t="shared" si="30"/>
        <v>49</v>
      </c>
      <c r="AT70" s="55">
        <f t="shared" si="30"/>
        <v>8</v>
      </c>
      <c r="AU70" s="55">
        <f t="shared" si="30"/>
        <v>12</v>
      </c>
      <c r="AV70" s="55">
        <f t="shared" si="30"/>
        <v>157</v>
      </c>
      <c r="AW70" s="55">
        <f t="shared" si="30"/>
        <v>0</v>
      </c>
      <c r="AX70" s="55">
        <f t="shared" si="30"/>
        <v>174</v>
      </c>
      <c r="AY70" s="55">
        <f t="shared" si="30"/>
        <v>40</v>
      </c>
      <c r="AZ70" s="55">
        <f t="shared" si="30"/>
        <v>371</v>
      </c>
      <c r="BA70" s="55">
        <f t="shared" si="30"/>
        <v>244</v>
      </c>
      <c r="BB70" s="55">
        <f t="shared" si="30"/>
        <v>47</v>
      </c>
      <c r="BC70" s="55">
        <f t="shared" si="30"/>
        <v>291</v>
      </c>
      <c r="BD70" s="55">
        <f t="shared" si="30"/>
        <v>10</v>
      </c>
      <c r="BE70" s="55">
        <f t="shared" si="30"/>
        <v>7</v>
      </c>
      <c r="BF70" s="55">
        <f t="shared" si="30"/>
        <v>2</v>
      </c>
      <c r="BG70" s="55">
        <f t="shared" si="30"/>
        <v>36</v>
      </c>
      <c r="BH70" s="55">
        <f t="shared" si="30"/>
        <v>55</v>
      </c>
      <c r="BI70" s="55">
        <f t="shared" si="30"/>
        <v>144</v>
      </c>
      <c r="BJ70" s="55">
        <f t="shared" si="30"/>
        <v>42</v>
      </c>
      <c r="BK70" s="55">
        <f t="shared" si="30"/>
        <v>89</v>
      </c>
      <c r="BL70" s="55">
        <f t="shared" si="30"/>
        <v>14</v>
      </c>
      <c r="BM70" s="55">
        <f t="shared" si="30"/>
        <v>980</v>
      </c>
    </row>
    <row r="71" spans="1:249" ht="15">
      <c r="A71" s="81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3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</row>
  </sheetData>
  <mergeCells count="60">
    <mergeCell ref="BK2:BK3"/>
    <mergeCell ref="BL2:BL3"/>
    <mergeCell ref="BM2:BM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X2:X3"/>
    <mergeCell ref="Y2:Y3"/>
    <mergeCell ref="Z2:Z3"/>
    <mergeCell ref="AA2:AA3"/>
    <mergeCell ref="AB2:AB3"/>
    <mergeCell ref="S2:S3"/>
    <mergeCell ref="T2:T3"/>
    <mergeCell ref="U2:U3"/>
    <mergeCell ref="V2:V3"/>
    <mergeCell ref="W2:W3"/>
    <mergeCell ref="N2:N3"/>
    <mergeCell ref="O2:O3"/>
    <mergeCell ref="P2:P3"/>
    <mergeCell ref="Q2:Q3"/>
    <mergeCell ref="R2:R3"/>
    <mergeCell ref="B71:K71"/>
    <mergeCell ref="L71:Y71"/>
    <mergeCell ref="Z71:AM71"/>
    <mergeCell ref="A1:A3"/>
    <mergeCell ref="B1:B3"/>
    <mergeCell ref="C1:C3"/>
    <mergeCell ref="D1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M2:AO2"/>
    <mergeCell ref="AV2:AZ2"/>
    <mergeCell ref="BA2:BC2"/>
    <mergeCell ref="BD2:BH2"/>
    <mergeCell ref="BI2:BJ2"/>
    <mergeCell ref="AP2:AP3"/>
    <mergeCell ref="AQ2:AQ3"/>
    <mergeCell ref="AR2:AR3"/>
    <mergeCell ref="AS2:AS3"/>
    <mergeCell ref="AT2:AT3"/>
    <mergeCell ref="AU2:AU3"/>
    <mergeCell ref="E1:N1"/>
    <mergeCell ref="O1:Z1"/>
    <mergeCell ref="AA1:AO1"/>
    <mergeCell ref="AP1:AU1"/>
    <mergeCell ref="AV1:BM1"/>
  </mergeCells>
  <phoneticPr fontId="2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topLeftCell="A10" workbookViewId="0">
      <selection activeCell="N4" sqref="N4"/>
    </sheetView>
  </sheetViews>
  <sheetFormatPr defaultColWidth="9" defaultRowHeight="14"/>
  <cols>
    <col min="2" max="2" width="16.36328125" style="36" customWidth="1"/>
    <col min="3" max="3" width="8.36328125" customWidth="1"/>
    <col min="4" max="4" width="12.08984375" customWidth="1"/>
    <col min="6" max="6" width="10.36328125"/>
  </cols>
  <sheetData>
    <row r="1" spans="1:13" ht="39">
      <c r="A1" s="10" t="s">
        <v>0</v>
      </c>
      <c r="B1" s="10" t="s">
        <v>189</v>
      </c>
      <c r="C1" s="10" t="s">
        <v>875</v>
      </c>
      <c r="D1" s="10" t="s">
        <v>876</v>
      </c>
      <c r="E1" s="11" t="s">
        <v>4</v>
      </c>
      <c r="F1" s="11" t="s">
        <v>5</v>
      </c>
      <c r="G1" s="12" t="s">
        <v>6</v>
      </c>
      <c r="H1" s="12" t="s">
        <v>877</v>
      </c>
      <c r="I1" s="12" t="s">
        <v>878</v>
      </c>
      <c r="J1" s="12" t="s">
        <v>9</v>
      </c>
      <c r="K1" s="12" t="s">
        <v>10</v>
      </c>
      <c r="L1" s="12" t="s">
        <v>879</v>
      </c>
      <c r="M1" s="12" t="s">
        <v>880</v>
      </c>
    </row>
    <row r="2" spans="1:13" ht="30" customHeight="1">
      <c r="A2" s="37">
        <v>1</v>
      </c>
      <c r="B2" s="38" t="s">
        <v>881</v>
      </c>
      <c r="C2" s="39" t="s">
        <v>27</v>
      </c>
      <c r="D2" s="39" t="s">
        <v>882</v>
      </c>
      <c r="E2" s="39" t="s">
        <v>166</v>
      </c>
      <c r="F2" s="17">
        <v>78</v>
      </c>
      <c r="G2" s="18">
        <f>12+3+3</f>
        <v>18</v>
      </c>
      <c r="H2" s="19">
        <f>G2*F2/10000</f>
        <v>0.1404</v>
      </c>
      <c r="I2" s="19">
        <f>12*F2/10000</f>
        <v>9.3600000000000003E-2</v>
      </c>
      <c r="J2" s="19">
        <f>(3+3)*F2/10000</f>
        <v>4.6800000000000001E-2</v>
      </c>
      <c r="K2" s="19">
        <v>0</v>
      </c>
      <c r="L2" s="19">
        <f>K2+J2+I2</f>
        <v>0.1404</v>
      </c>
      <c r="M2" s="41">
        <v>0</v>
      </c>
    </row>
    <row r="3" spans="1:13" ht="30" customHeight="1">
      <c r="A3" s="37">
        <v>2</v>
      </c>
      <c r="B3" s="38" t="s">
        <v>883</v>
      </c>
      <c r="C3" s="39" t="s">
        <v>27</v>
      </c>
      <c r="D3" s="39" t="s">
        <v>882</v>
      </c>
      <c r="E3" s="39" t="s">
        <v>166</v>
      </c>
      <c r="F3" s="17">
        <v>150</v>
      </c>
      <c r="G3" s="18">
        <v>17.899999999999999</v>
      </c>
      <c r="H3" s="19">
        <v>0.26850000000000002</v>
      </c>
      <c r="I3" s="19">
        <v>0.18</v>
      </c>
      <c r="J3" s="19">
        <v>8.8499999999999995E-2</v>
      </c>
      <c r="K3" s="19">
        <v>0</v>
      </c>
      <c r="L3" s="19">
        <f t="shared" ref="L3:L9" si="0">K3+J3+I3</f>
        <v>0.26850000000000002</v>
      </c>
      <c r="M3" s="41">
        <v>0</v>
      </c>
    </row>
    <row r="4" spans="1:13" ht="38" customHeight="1">
      <c r="A4" s="37">
        <v>3</v>
      </c>
      <c r="B4" s="38" t="s">
        <v>884</v>
      </c>
      <c r="C4" s="39" t="s">
        <v>885</v>
      </c>
      <c r="D4" s="39" t="s">
        <v>886</v>
      </c>
      <c r="E4" s="39" t="s">
        <v>166</v>
      </c>
      <c r="F4" s="17">
        <v>191.51</v>
      </c>
      <c r="G4" s="18">
        <v>9.9</v>
      </c>
      <c r="H4" s="19">
        <v>0.18959490000000001</v>
      </c>
      <c r="I4" s="19">
        <v>0.18959490000000001</v>
      </c>
      <c r="J4" s="19">
        <v>0</v>
      </c>
      <c r="K4" s="19">
        <v>0</v>
      </c>
      <c r="L4" s="19">
        <f t="shared" si="0"/>
        <v>0.18959490000000001</v>
      </c>
      <c r="M4" s="41">
        <v>0</v>
      </c>
    </row>
    <row r="5" spans="1:13" ht="30" customHeight="1">
      <c r="A5" s="37">
        <v>4</v>
      </c>
      <c r="B5" s="38" t="s">
        <v>887</v>
      </c>
      <c r="C5" s="39" t="s">
        <v>27</v>
      </c>
      <c r="D5" s="39" t="s">
        <v>38</v>
      </c>
      <c r="E5" s="39" t="s">
        <v>166</v>
      </c>
      <c r="F5" s="17">
        <v>377.9</v>
      </c>
      <c r="G5" s="18">
        <v>12.7</v>
      </c>
      <c r="H5" s="19">
        <v>0.479933</v>
      </c>
      <c r="I5" s="19">
        <v>0.26452999999999999</v>
      </c>
      <c r="J5" s="19">
        <v>0.21540300000000001</v>
      </c>
      <c r="K5" s="19">
        <v>0</v>
      </c>
      <c r="L5" s="19">
        <f t="shared" si="0"/>
        <v>0.479933</v>
      </c>
      <c r="M5" s="41">
        <v>0</v>
      </c>
    </row>
    <row r="6" spans="1:13" ht="30" customHeight="1">
      <c r="A6" s="327">
        <v>5</v>
      </c>
      <c r="B6" s="329" t="s">
        <v>888</v>
      </c>
      <c r="C6" s="39" t="s">
        <v>889</v>
      </c>
      <c r="D6" s="39" t="s">
        <v>27</v>
      </c>
      <c r="E6" s="39" t="s">
        <v>166</v>
      </c>
      <c r="F6" s="17">
        <v>138.19999999999999</v>
      </c>
      <c r="G6" s="18">
        <v>17.7</v>
      </c>
      <c r="H6" s="19">
        <v>0.244614</v>
      </c>
      <c r="I6" s="19">
        <v>0.17827799999999999</v>
      </c>
      <c r="J6" s="19">
        <v>6.6336000000000006E-2</v>
      </c>
      <c r="K6" s="19">
        <v>0</v>
      </c>
      <c r="L6" s="19">
        <f t="shared" si="0"/>
        <v>0.244614</v>
      </c>
      <c r="M6" s="41">
        <v>0</v>
      </c>
    </row>
    <row r="7" spans="1:13" ht="30" customHeight="1">
      <c r="A7" s="328"/>
      <c r="B7" s="330"/>
      <c r="C7" s="39" t="s">
        <v>890</v>
      </c>
      <c r="D7" s="39" t="s">
        <v>891</v>
      </c>
      <c r="E7" s="39" t="s">
        <v>166</v>
      </c>
      <c r="F7" s="17">
        <v>115.9</v>
      </c>
      <c r="G7" s="18">
        <v>6.5</v>
      </c>
      <c r="H7" s="19">
        <v>7.5334999999999999E-2</v>
      </c>
      <c r="I7" s="19">
        <v>4.6359999999999998E-2</v>
      </c>
      <c r="J7" s="19">
        <v>2.8975000000000001E-2</v>
      </c>
      <c r="K7" s="19">
        <v>0</v>
      </c>
      <c r="L7" s="19">
        <f t="shared" si="0"/>
        <v>7.5334999999999999E-2</v>
      </c>
      <c r="M7" s="41">
        <v>0</v>
      </c>
    </row>
    <row r="8" spans="1:13" ht="30" customHeight="1">
      <c r="A8" s="327">
        <v>6</v>
      </c>
      <c r="B8" s="329" t="s">
        <v>892</v>
      </c>
      <c r="C8" s="39" t="s">
        <v>38</v>
      </c>
      <c r="D8" s="39" t="s">
        <v>890</v>
      </c>
      <c r="E8" s="39" t="s">
        <v>166</v>
      </c>
      <c r="F8" s="17">
        <v>340</v>
      </c>
      <c r="G8" s="18">
        <f>14.5+2.5+2.5+3+3</f>
        <v>25.5</v>
      </c>
      <c r="H8" s="19">
        <f>G8*F8/10000</f>
        <v>0.86699999999999999</v>
      </c>
      <c r="I8" s="19">
        <f>(14.5+2.5+2.5)*F8/10000</f>
        <v>0.66300000000000003</v>
      </c>
      <c r="J8" s="19">
        <f>(3+3)*F8/10000</f>
        <v>0.20399999999999999</v>
      </c>
      <c r="K8" s="19">
        <v>0</v>
      </c>
      <c r="L8" s="19">
        <f t="shared" si="0"/>
        <v>0.86699999999999999</v>
      </c>
      <c r="M8" s="41">
        <f>(1.5+1.5)*F8/10000</f>
        <v>0.10199999999999999</v>
      </c>
    </row>
    <row r="9" spans="1:13" ht="30" customHeight="1">
      <c r="A9" s="328"/>
      <c r="B9" s="330"/>
      <c r="C9" s="39" t="s">
        <v>890</v>
      </c>
      <c r="D9" s="39" t="s">
        <v>893</v>
      </c>
      <c r="E9" s="39" t="s">
        <v>166</v>
      </c>
      <c r="F9" s="17">
        <v>438.4</v>
      </c>
      <c r="G9" s="18">
        <f>22.5+2.5+2.5</f>
        <v>27.5</v>
      </c>
      <c r="H9" s="19">
        <f>G9*F9/10000</f>
        <v>1.2056</v>
      </c>
      <c r="I9" s="19">
        <f>(22.5)*F9/10000</f>
        <v>0.98640000000000005</v>
      </c>
      <c r="J9" s="19">
        <f>(2.5+2.5)*F9/10000</f>
        <v>0.21920000000000001</v>
      </c>
      <c r="K9" s="19">
        <v>0</v>
      </c>
      <c r="L9" s="19">
        <f t="shared" si="0"/>
        <v>1.2056</v>
      </c>
      <c r="M9" s="41">
        <v>0</v>
      </c>
    </row>
    <row r="10" spans="1:13" ht="30" customHeight="1">
      <c r="A10" s="37">
        <v>7</v>
      </c>
      <c r="B10" s="40" t="s">
        <v>894</v>
      </c>
      <c r="C10" s="39" t="s">
        <v>52</v>
      </c>
      <c r="D10" s="39" t="s">
        <v>326</v>
      </c>
      <c r="E10" s="39" t="s">
        <v>166</v>
      </c>
      <c r="F10" s="17">
        <v>663</v>
      </c>
      <c r="G10" s="18">
        <v>16</v>
      </c>
      <c r="H10" s="19">
        <v>0</v>
      </c>
      <c r="I10" s="19">
        <v>0</v>
      </c>
      <c r="J10" s="19">
        <v>0</v>
      </c>
      <c r="K10" s="19">
        <v>0</v>
      </c>
      <c r="L10" s="19">
        <v>1.0608</v>
      </c>
      <c r="M10" s="41">
        <v>0</v>
      </c>
    </row>
    <row r="11" spans="1:13" ht="30" customHeight="1">
      <c r="A11" s="37">
        <v>8</v>
      </c>
      <c r="B11" s="40" t="s">
        <v>895</v>
      </c>
      <c r="C11" s="39" t="s">
        <v>115</v>
      </c>
      <c r="D11" s="39" t="s">
        <v>896</v>
      </c>
      <c r="E11" s="39" t="s">
        <v>166</v>
      </c>
      <c r="F11" s="17">
        <v>331</v>
      </c>
      <c r="G11" s="18">
        <v>16</v>
      </c>
      <c r="H11" s="19">
        <v>0</v>
      </c>
      <c r="I11" s="19">
        <v>0</v>
      </c>
      <c r="J11" s="19">
        <v>0</v>
      </c>
      <c r="K11" s="19">
        <v>0</v>
      </c>
      <c r="L11" s="19">
        <v>0.52959999999999996</v>
      </c>
      <c r="M11" s="41">
        <v>0</v>
      </c>
    </row>
    <row r="12" spans="1:13" s="9" customFormat="1" ht="24" customHeight="1">
      <c r="A12" s="325" t="s">
        <v>580</v>
      </c>
      <c r="B12" s="326"/>
      <c r="C12" s="26"/>
      <c r="D12" s="10"/>
      <c r="E12" s="32"/>
      <c r="F12" s="27">
        <f>SUM(F2:F11)</f>
        <v>2823.91</v>
      </c>
      <c r="G12" s="27">
        <f t="shared" ref="G12:M12" si="1">SUM(G2:G11)</f>
        <v>167.7</v>
      </c>
      <c r="H12" s="27">
        <f t="shared" si="1"/>
        <v>3.4709769000000001</v>
      </c>
      <c r="I12" s="27">
        <f t="shared" si="1"/>
        <v>2.6017629000000002</v>
      </c>
      <c r="J12" s="27">
        <f t="shared" si="1"/>
        <v>0.86921400000000004</v>
      </c>
      <c r="K12" s="27">
        <f t="shared" si="1"/>
        <v>0</v>
      </c>
      <c r="L12" s="32">
        <f t="shared" si="1"/>
        <v>5.0613769</v>
      </c>
      <c r="M12" s="42">
        <f t="shared" si="1"/>
        <v>0.10199999999999999</v>
      </c>
    </row>
  </sheetData>
  <mergeCells count="5">
    <mergeCell ref="A12:B12"/>
    <mergeCell ref="A6:A7"/>
    <mergeCell ref="A8:A9"/>
    <mergeCell ref="B6:B7"/>
    <mergeCell ref="B8:B9"/>
  </mergeCells>
  <phoneticPr fontId="23" type="noConversion"/>
  <pageMargins left="0.75" right="0.75" top="1" bottom="1" header="0.5" footer="0.5"/>
  <pageSetup paperSize="9" orientation="portrait"/>
  <ignoredErrors>
    <ignoredError sqref="M8:M9 H8:J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2"/>
  <sheetViews>
    <sheetView topLeftCell="A61" workbookViewId="0">
      <selection activeCell="D77" sqref="D77"/>
    </sheetView>
  </sheetViews>
  <sheetFormatPr defaultColWidth="9" defaultRowHeight="14"/>
  <cols>
    <col min="2" max="2" width="25.7265625" customWidth="1"/>
    <col min="3" max="3" width="20.453125" customWidth="1"/>
    <col min="4" max="4" width="20.26953125" customWidth="1"/>
    <col min="5" max="5" width="8.08984375" customWidth="1"/>
    <col min="6" max="6" width="10.36328125"/>
    <col min="8" max="8" width="11.453125"/>
    <col min="9" max="9" width="10.36328125"/>
    <col min="10" max="10" width="11.453125"/>
    <col min="12" max="12" width="11.453125"/>
  </cols>
  <sheetData>
    <row r="1" spans="1:13" ht="39">
      <c r="A1" s="10" t="s">
        <v>897</v>
      </c>
      <c r="B1" s="10" t="s">
        <v>189</v>
      </c>
      <c r="C1" s="10" t="s">
        <v>875</v>
      </c>
      <c r="D1" s="10" t="s">
        <v>876</v>
      </c>
      <c r="E1" s="11" t="s">
        <v>4</v>
      </c>
      <c r="F1" s="11" t="s">
        <v>898</v>
      </c>
      <c r="G1" s="11" t="s">
        <v>899</v>
      </c>
      <c r="H1" s="12" t="s">
        <v>900</v>
      </c>
      <c r="I1" s="12" t="s">
        <v>878</v>
      </c>
      <c r="J1" s="12" t="s">
        <v>9</v>
      </c>
      <c r="K1" s="12" t="s">
        <v>10</v>
      </c>
      <c r="L1" s="12" t="s">
        <v>879</v>
      </c>
      <c r="M1" s="12" t="s">
        <v>880</v>
      </c>
    </row>
    <row r="2" spans="1:13" ht="25" customHeight="1">
      <c r="A2" s="13">
        <v>1</v>
      </c>
      <c r="B2" s="14" t="s">
        <v>278</v>
      </c>
      <c r="C2" s="15" t="s">
        <v>281</v>
      </c>
      <c r="D2" s="16" t="s">
        <v>101</v>
      </c>
      <c r="E2" s="16" t="s">
        <v>329</v>
      </c>
      <c r="F2" s="17">
        <v>116.62</v>
      </c>
      <c r="G2" s="18">
        <v>16.5</v>
      </c>
      <c r="H2" s="19">
        <v>0.19242300000000001</v>
      </c>
      <c r="I2" s="19">
        <v>0.122451</v>
      </c>
      <c r="J2" s="31">
        <v>6.9972000000000006E-2</v>
      </c>
      <c r="K2" s="19">
        <v>0</v>
      </c>
      <c r="L2" s="19">
        <v>0.19242300000000001</v>
      </c>
      <c r="M2" s="31">
        <v>0</v>
      </c>
    </row>
    <row r="3" spans="1:13" ht="25" customHeight="1">
      <c r="A3" s="332">
        <v>2</v>
      </c>
      <c r="B3" s="335" t="s">
        <v>901</v>
      </c>
      <c r="C3" s="15" t="s">
        <v>140</v>
      </c>
      <c r="D3" s="16" t="s">
        <v>902</v>
      </c>
      <c r="E3" s="16" t="s">
        <v>329</v>
      </c>
      <c r="F3" s="17">
        <v>177</v>
      </c>
      <c r="G3" s="18">
        <v>5</v>
      </c>
      <c r="H3" s="19">
        <v>8.8499999999999995E-2</v>
      </c>
      <c r="I3" s="19">
        <v>8.8499999999999995E-2</v>
      </c>
      <c r="J3" s="31">
        <v>0</v>
      </c>
      <c r="K3" s="19">
        <v>0</v>
      </c>
      <c r="L3" s="19">
        <v>8.8499999999999995E-2</v>
      </c>
      <c r="M3" s="31">
        <v>0</v>
      </c>
    </row>
    <row r="4" spans="1:13" ht="25" customHeight="1">
      <c r="A4" s="333"/>
      <c r="B4" s="336"/>
      <c r="C4" s="15" t="s">
        <v>902</v>
      </c>
      <c r="D4" s="16" t="s">
        <v>903</v>
      </c>
      <c r="E4" s="16" t="s">
        <v>329</v>
      </c>
      <c r="F4" s="17">
        <v>144.94999999999999</v>
      </c>
      <c r="G4" s="18">
        <v>4</v>
      </c>
      <c r="H4" s="19">
        <v>5.7979999999999997E-2</v>
      </c>
      <c r="I4" s="19">
        <v>5.7979999999999997E-2</v>
      </c>
      <c r="J4" s="31">
        <v>0</v>
      </c>
      <c r="K4" s="19">
        <v>0</v>
      </c>
      <c r="L4" s="19">
        <v>5.7979999999999997E-2</v>
      </c>
      <c r="M4" s="31">
        <v>0</v>
      </c>
    </row>
    <row r="5" spans="1:13" ht="25" customHeight="1">
      <c r="A5" s="13">
        <v>3</v>
      </c>
      <c r="B5" s="21" t="s">
        <v>154</v>
      </c>
      <c r="C5" s="15" t="s">
        <v>904</v>
      </c>
      <c r="D5" s="16" t="s">
        <v>101</v>
      </c>
      <c r="E5" s="16" t="s">
        <v>329</v>
      </c>
      <c r="F5" s="17">
        <v>171.7</v>
      </c>
      <c r="G5" s="18">
        <v>16</v>
      </c>
      <c r="H5" s="19">
        <v>0.27472000000000002</v>
      </c>
      <c r="I5" s="19">
        <v>0.17169999999999999</v>
      </c>
      <c r="J5" s="31">
        <v>0.10302</v>
      </c>
      <c r="K5" s="19">
        <v>0</v>
      </c>
      <c r="L5" s="19">
        <v>0.27472000000000002</v>
      </c>
      <c r="M5" s="31">
        <v>0</v>
      </c>
    </row>
    <row r="6" spans="1:13" ht="25" customHeight="1">
      <c r="A6" s="13">
        <v>4</v>
      </c>
      <c r="B6" s="21" t="s">
        <v>905</v>
      </c>
      <c r="C6" s="15" t="s">
        <v>647</v>
      </c>
      <c r="D6" s="16" t="s">
        <v>906</v>
      </c>
      <c r="E6" s="16" t="s">
        <v>329</v>
      </c>
      <c r="F6" s="17">
        <v>468.59</v>
      </c>
      <c r="G6" s="18">
        <v>4</v>
      </c>
      <c r="H6" s="19">
        <v>0.18743599999999999</v>
      </c>
      <c r="I6" s="19">
        <v>0.18743599999999999</v>
      </c>
      <c r="J6" s="31">
        <v>0.30224055</v>
      </c>
      <c r="K6" s="19">
        <v>0</v>
      </c>
      <c r="L6" s="19">
        <v>0.48967654999999999</v>
      </c>
      <c r="M6" s="31">
        <v>0</v>
      </c>
    </row>
    <row r="7" spans="1:13" ht="25" customHeight="1">
      <c r="A7" s="13">
        <v>5</v>
      </c>
      <c r="B7" s="21" t="s">
        <v>907</v>
      </c>
      <c r="C7" s="15" t="s">
        <v>42</v>
      </c>
      <c r="D7" s="16" t="s">
        <v>908</v>
      </c>
      <c r="E7" s="16" t="s">
        <v>329</v>
      </c>
      <c r="F7" s="17">
        <v>254.23</v>
      </c>
      <c r="G7" s="18">
        <v>2.4</v>
      </c>
      <c r="H7" s="19">
        <v>6.1015199999999999E-2</v>
      </c>
      <c r="I7" s="19">
        <v>6.1015199999999999E-2</v>
      </c>
      <c r="J7" s="31">
        <v>0</v>
      </c>
      <c r="K7" s="19">
        <v>0</v>
      </c>
      <c r="L7" s="19">
        <v>6.1015199999999999E-2</v>
      </c>
      <c r="M7" s="31">
        <v>0</v>
      </c>
    </row>
    <row r="8" spans="1:13" ht="25" customHeight="1">
      <c r="A8" s="13">
        <v>6</v>
      </c>
      <c r="B8" s="21" t="s">
        <v>909</v>
      </c>
      <c r="C8" s="15" t="s">
        <v>100</v>
      </c>
      <c r="D8" s="16" t="s">
        <v>910</v>
      </c>
      <c r="E8" s="16" t="s">
        <v>329</v>
      </c>
      <c r="F8" s="17">
        <v>56.15</v>
      </c>
      <c r="G8" s="18">
        <v>6.2</v>
      </c>
      <c r="H8" s="19">
        <v>3.4812999999999997E-2</v>
      </c>
      <c r="I8" s="19">
        <v>3.4812999999999997E-2</v>
      </c>
      <c r="J8" s="31">
        <v>0</v>
      </c>
      <c r="K8" s="19">
        <v>0</v>
      </c>
      <c r="L8" s="19">
        <v>3.4812999999999997E-2</v>
      </c>
      <c r="M8" s="31">
        <v>0</v>
      </c>
    </row>
    <row r="9" spans="1:13" ht="25" customHeight="1">
      <c r="A9" s="13">
        <v>7</v>
      </c>
      <c r="B9" s="21" t="s">
        <v>911</v>
      </c>
      <c r="C9" s="22" t="s">
        <v>788</v>
      </c>
      <c r="D9" s="23" t="s">
        <v>912</v>
      </c>
      <c r="E9" s="16" t="s">
        <v>329</v>
      </c>
      <c r="F9" s="17">
        <v>84.43</v>
      </c>
      <c r="G9" s="18">
        <v>5.58</v>
      </c>
      <c r="H9" s="19">
        <v>4.7111939999999998E-2</v>
      </c>
      <c r="I9" s="19">
        <v>4.7111939999999998E-2</v>
      </c>
      <c r="J9" s="31">
        <v>5.1502300000000001E-2</v>
      </c>
      <c r="K9" s="19">
        <v>3.9513239999999998E-2</v>
      </c>
      <c r="L9" s="19">
        <v>0.13812748</v>
      </c>
      <c r="M9" s="31">
        <v>0</v>
      </c>
    </row>
    <row r="10" spans="1:13" ht="25" customHeight="1">
      <c r="A10" s="13">
        <v>8</v>
      </c>
      <c r="B10" s="21" t="s">
        <v>913</v>
      </c>
      <c r="C10" s="22" t="s">
        <v>914</v>
      </c>
      <c r="D10" s="23" t="s">
        <v>915</v>
      </c>
      <c r="E10" s="16" t="s">
        <v>329</v>
      </c>
      <c r="F10" s="17">
        <v>29.52</v>
      </c>
      <c r="G10" s="18">
        <v>6.4</v>
      </c>
      <c r="H10" s="19">
        <v>1.8892800000000001E-2</v>
      </c>
      <c r="I10" s="19">
        <v>1.8892800000000001E-2</v>
      </c>
      <c r="J10" s="31">
        <v>0</v>
      </c>
      <c r="K10" s="19">
        <v>5.9040000000000004E-3</v>
      </c>
      <c r="L10" s="19">
        <v>2.4796800000000001E-2</v>
      </c>
      <c r="M10" s="31">
        <v>0</v>
      </c>
    </row>
    <row r="11" spans="1:13" ht="25" customHeight="1">
      <c r="A11" s="13">
        <v>9</v>
      </c>
      <c r="B11" s="21" t="s">
        <v>916</v>
      </c>
      <c r="C11" s="22" t="s">
        <v>24</v>
      </c>
      <c r="D11" s="23" t="s">
        <v>917</v>
      </c>
      <c r="E11" s="16" t="s">
        <v>329</v>
      </c>
      <c r="F11" s="17">
        <v>299.04000000000002</v>
      </c>
      <c r="G11" s="18">
        <v>2</v>
      </c>
      <c r="H11" s="19">
        <v>5.9808E-2</v>
      </c>
      <c r="I11" s="19">
        <v>5.9808E-2</v>
      </c>
      <c r="J11" s="31">
        <v>6.8779199999999999E-2</v>
      </c>
      <c r="K11" s="19">
        <v>2.9904E-2</v>
      </c>
      <c r="L11" s="19">
        <v>0.1584912</v>
      </c>
      <c r="M11" s="31">
        <v>0</v>
      </c>
    </row>
    <row r="12" spans="1:13" ht="25" customHeight="1">
      <c r="A12" s="13">
        <v>10</v>
      </c>
      <c r="B12" s="21" t="s">
        <v>918</v>
      </c>
      <c r="C12" s="22" t="s">
        <v>39</v>
      </c>
      <c r="D12" s="23" t="s">
        <v>919</v>
      </c>
      <c r="E12" s="16" t="s">
        <v>329</v>
      </c>
      <c r="F12" s="17">
        <v>144.13</v>
      </c>
      <c r="G12" s="18">
        <v>8.48</v>
      </c>
      <c r="H12" s="19">
        <v>0.12222224</v>
      </c>
      <c r="I12" s="19">
        <v>0.12222224</v>
      </c>
      <c r="J12" s="31">
        <v>0</v>
      </c>
      <c r="K12" s="19">
        <v>0</v>
      </c>
      <c r="L12" s="19">
        <v>0.12222224</v>
      </c>
      <c r="M12" s="31">
        <v>0</v>
      </c>
    </row>
    <row r="13" spans="1:13" ht="25" customHeight="1">
      <c r="A13" s="13">
        <v>11</v>
      </c>
      <c r="B13" s="21" t="s">
        <v>920</v>
      </c>
      <c r="C13" s="22" t="s">
        <v>101</v>
      </c>
      <c r="D13" s="23" t="s">
        <v>39</v>
      </c>
      <c r="E13" s="16" t="s">
        <v>329</v>
      </c>
      <c r="F13" s="17">
        <v>140.22</v>
      </c>
      <c r="G13" s="18">
        <v>7.5</v>
      </c>
      <c r="H13" s="19">
        <v>0.10516499999999999</v>
      </c>
      <c r="I13" s="19">
        <v>0.10516499999999999</v>
      </c>
      <c r="J13" s="31">
        <v>0</v>
      </c>
      <c r="K13" s="19">
        <v>0</v>
      </c>
      <c r="L13" s="19">
        <v>0.10516499999999999</v>
      </c>
      <c r="M13" s="31">
        <v>0</v>
      </c>
    </row>
    <row r="14" spans="1:13" ht="25" customHeight="1">
      <c r="A14" s="13">
        <v>12</v>
      </c>
      <c r="B14" s="21" t="s">
        <v>921</v>
      </c>
      <c r="C14" s="22" t="s">
        <v>43</v>
      </c>
      <c r="D14" s="23" t="s">
        <v>922</v>
      </c>
      <c r="E14" s="16" t="s">
        <v>329</v>
      </c>
      <c r="F14" s="17">
        <v>32.71</v>
      </c>
      <c r="G14" s="18">
        <v>4.4400000000000004</v>
      </c>
      <c r="H14" s="19">
        <v>1.452324E-2</v>
      </c>
      <c r="I14" s="19">
        <v>1.452324E-2</v>
      </c>
      <c r="J14" s="31">
        <v>0</v>
      </c>
      <c r="K14" s="19">
        <v>0</v>
      </c>
      <c r="L14" s="19">
        <v>1.452324E-2</v>
      </c>
      <c r="M14" s="31">
        <v>0</v>
      </c>
    </row>
    <row r="15" spans="1:13" ht="25" customHeight="1">
      <c r="A15" s="13">
        <v>13</v>
      </c>
      <c r="B15" s="21" t="s">
        <v>923</v>
      </c>
      <c r="C15" s="22" t="s">
        <v>924</v>
      </c>
      <c r="D15" s="23" t="s">
        <v>24</v>
      </c>
      <c r="E15" s="16" t="s">
        <v>329</v>
      </c>
      <c r="F15" s="17">
        <v>48.83</v>
      </c>
      <c r="G15" s="18">
        <v>5.28</v>
      </c>
      <c r="H15" s="19">
        <v>2.5782240000000001E-2</v>
      </c>
      <c r="I15" s="19">
        <v>2.5782240000000001E-2</v>
      </c>
      <c r="J15" s="31">
        <v>0</v>
      </c>
      <c r="K15" s="19">
        <v>0</v>
      </c>
      <c r="L15" s="19">
        <v>2.5782240000000001E-2</v>
      </c>
      <c r="M15" s="31">
        <v>0</v>
      </c>
    </row>
    <row r="16" spans="1:13" ht="25" customHeight="1">
      <c r="A16" s="332">
        <v>14</v>
      </c>
      <c r="B16" s="21" t="s">
        <v>925</v>
      </c>
      <c r="C16" s="22" t="s">
        <v>43</v>
      </c>
      <c r="D16" s="23" t="s">
        <v>926</v>
      </c>
      <c r="E16" s="16" t="s">
        <v>329</v>
      </c>
      <c r="F16" s="17">
        <v>105.97</v>
      </c>
      <c r="G16" s="18">
        <v>7.5</v>
      </c>
      <c r="H16" s="19">
        <v>7.9477500000000006E-2</v>
      </c>
      <c r="I16" s="19">
        <v>7.9477500000000006E-2</v>
      </c>
      <c r="J16" s="31">
        <v>0</v>
      </c>
      <c r="K16" s="19">
        <v>0</v>
      </c>
      <c r="L16" s="19">
        <v>7.9477500000000006E-2</v>
      </c>
      <c r="M16" s="31">
        <v>0</v>
      </c>
    </row>
    <row r="17" spans="1:13" ht="25" customHeight="1">
      <c r="A17" s="333"/>
      <c r="B17" s="21" t="s">
        <v>927</v>
      </c>
      <c r="C17" s="22" t="s">
        <v>43</v>
      </c>
      <c r="D17" s="23" t="s">
        <v>928</v>
      </c>
      <c r="E17" s="16" t="s">
        <v>329</v>
      </c>
      <c r="F17" s="17">
        <v>58.2</v>
      </c>
      <c r="G17" s="18">
        <v>6.2</v>
      </c>
      <c r="H17" s="19">
        <v>3.6083999999999998E-2</v>
      </c>
      <c r="I17" s="19">
        <v>3.6083999999999998E-2</v>
      </c>
      <c r="J17" s="31">
        <v>0</v>
      </c>
      <c r="K17" s="19">
        <v>0</v>
      </c>
      <c r="L17" s="19">
        <v>3.6083999999999998E-2</v>
      </c>
      <c r="M17" s="31">
        <v>0</v>
      </c>
    </row>
    <row r="18" spans="1:13" ht="25" customHeight="1">
      <c r="A18" s="13">
        <v>15</v>
      </c>
      <c r="B18" s="337" t="s">
        <v>929</v>
      </c>
      <c r="C18" s="331" t="s">
        <v>930</v>
      </c>
      <c r="D18" s="331"/>
      <c r="E18" s="16" t="s">
        <v>329</v>
      </c>
      <c r="F18" s="17">
        <v>65.959999999999994</v>
      </c>
      <c r="G18" s="18">
        <v>0</v>
      </c>
      <c r="H18" s="19">
        <v>0</v>
      </c>
      <c r="I18" s="19">
        <v>0</v>
      </c>
      <c r="J18" s="31">
        <v>0</v>
      </c>
      <c r="K18" s="19">
        <v>5.2108399999999999E-2</v>
      </c>
      <c r="L18" s="19">
        <v>5.2108399999999999E-2</v>
      </c>
      <c r="M18" s="31">
        <v>0</v>
      </c>
    </row>
    <row r="19" spans="1:13" ht="25" customHeight="1">
      <c r="A19" s="13">
        <v>16</v>
      </c>
      <c r="B19" s="336"/>
      <c r="C19" s="331" t="s">
        <v>930</v>
      </c>
      <c r="D19" s="331"/>
      <c r="E19" s="16" t="s">
        <v>329</v>
      </c>
      <c r="F19" s="17">
        <v>16.329999999999998</v>
      </c>
      <c r="G19" s="18">
        <v>0</v>
      </c>
      <c r="H19" s="19">
        <v>0</v>
      </c>
      <c r="I19" s="19">
        <v>0</v>
      </c>
      <c r="J19" s="31">
        <v>0</v>
      </c>
      <c r="K19" s="19">
        <v>1.50236E-2</v>
      </c>
      <c r="L19" s="19">
        <v>1.50236E-2</v>
      </c>
      <c r="M19" s="31">
        <v>0</v>
      </c>
    </row>
    <row r="20" spans="1:13" ht="25" customHeight="1">
      <c r="A20" s="13">
        <v>17</v>
      </c>
      <c r="B20" s="21" t="s">
        <v>931</v>
      </c>
      <c r="C20" s="25" t="s">
        <v>68</v>
      </c>
      <c r="D20" s="16" t="s">
        <v>932</v>
      </c>
      <c r="E20" s="16" t="s">
        <v>329</v>
      </c>
      <c r="F20" s="17">
        <v>154.97</v>
      </c>
      <c r="G20" s="18">
        <v>5.8</v>
      </c>
      <c r="H20" s="19">
        <v>8.9882600000000007E-2</v>
      </c>
      <c r="I20" s="19">
        <v>8.9882600000000007E-2</v>
      </c>
      <c r="J20" s="31">
        <v>0</v>
      </c>
      <c r="K20" s="19">
        <v>6.04383E-2</v>
      </c>
      <c r="L20" s="19">
        <v>0.15032090000000001</v>
      </c>
      <c r="M20" s="31">
        <v>0</v>
      </c>
    </row>
    <row r="21" spans="1:13" ht="25" customHeight="1">
      <c r="A21" s="13">
        <v>18</v>
      </c>
      <c r="B21" s="20" t="s">
        <v>933</v>
      </c>
      <c r="C21" s="16" t="s">
        <v>131</v>
      </c>
      <c r="D21" s="16" t="s">
        <v>934</v>
      </c>
      <c r="E21" s="16" t="s">
        <v>329</v>
      </c>
      <c r="F21" s="17">
        <v>106.72</v>
      </c>
      <c r="G21" s="18">
        <v>12.8</v>
      </c>
      <c r="H21" s="19">
        <v>0.13660159999999999</v>
      </c>
      <c r="I21" s="19">
        <v>8.5375999999999994E-2</v>
      </c>
      <c r="J21" s="31">
        <v>3.2016000000000003E-2</v>
      </c>
      <c r="K21" s="19">
        <v>1.92096E-2</v>
      </c>
      <c r="L21" s="19">
        <v>0.13660159999999999</v>
      </c>
      <c r="M21" s="31">
        <v>0</v>
      </c>
    </row>
    <row r="22" spans="1:13" ht="25" customHeight="1">
      <c r="A22" s="13">
        <v>19</v>
      </c>
      <c r="B22" s="21" t="s">
        <v>935</v>
      </c>
      <c r="C22" s="16" t="s">
        <v>131</v>
      </c>
      <c r="D22" s="16" t="s">
        <v>934</v>
      </c>
      <c r="E22" s="16" t="s">
        <v>329</v>
      </c>
      <c r="F22" s="17">
        <v>212.92</v>
      </c>
      <c r="G22" s="18">
        <v>12.1</v>
      </c>
      <c r="H22" s="19">
        <v>0.25763320000000001</v>
      </c>
      <c r="I22" s="19">
        <v>0.15969</v>
      </c>
      <c r="J22" s="31">
        <v>9.7943199999999994E-2</v>
      </c>
      <c r="K22" s="19">
        <v>0</v>
      </c>
      <c r="L22" s="19">
        <v>0.25763320000000001</v>
      </c>
      <c r="M22" s="31">
        <v>0</v>
      </c>
    </row>
    <row r="23" spans="1:13" ht="25" customHeight="1">
      <c r="A23" s="13">
        <v>20</v>
      </c>
      <c r="B23" s="20" t="s">
        <v>936</v>
      </c>
      <c r="C23" s="16" t="s">
        <v>68</v>
      </c>
      <c r="D23" s="16" t="s">
        <v>937</v>
      </c>
      <c r="E23" s="16" t="s">
        <v>329</v>
      </c>
      <c r="F23" s="17">
        <v>63.5</v>
      </c>
      <c r="G23" s="18">
        <v>6.6</v>
      </c>
      <c r="H23" s="19">
        <v>4.1910000000000003E-2</v>
      </c>
      <c r="I23" s="19">
        <v>4.1910000000000003E-2</v>
      </c>
      <c r="J23" s="31">
        <v>0</v>
      </c>
      <c r="K23" s="19">
        <v>0</v>
      </c>
      <c r="L23" s="19">
        <v>4.1910000000000003E-2</v>
      </c>
      <c r="M23" s="31">
        <v>0</v>
      </c>
    </row>
    <row r="24" spans="1:13" s="9" customFormat="1" ht="24" customHeight="1">
      <c r="A24" s="325" t="s">
        <v>325</v>
      </c>
      <c r="B24" s="326"/>
      <c r="C24" s="26"/>
      <c r="D24" s="10"/>
      <c r="E24" s="10"/>
      <c r="F24" s="27">
        <f>SUM(F2:F23)</f>
        <v>2952.69</v>
      </c>
      <c r="G24" s="27">
        <f t="shared" ref="G24:M24" si="0">SUM(G2:G23)</f>
        <v>144.78</v>
      </c>
      <c r="H24" s="27">
        <f t="shared" si="0"/>
        <v>1.9319815600000001</v>
      </c>
      <c r="I24" s="27">
        <f t="shared" si="0"/>
        <v>1.6098207600000001</v>
      </c>
      <c r="J24" s="27">
        <f t="shared" si="0"/>
        <v>0.72547324999999996</v>
      </c>
      <c r="K24" s="27">
        <f t="shared" si="0"/>
        <v>0.22210114</v>
      </c>
      <c r="L24" s="32">
        <f t="shared" si="0"/>
        <v>2.5573951500000001</v>
      </c>
      <c r="M24" s="27">
        <f t="shared" si="0"/>
        <v>0</v>
      </c>
    </row>
    <row r="25" spans="1:13" ht="25" customHeight="1">
      <c r="A25" s="13">
        <v>21</v>
      </c>
      <c r="B25" s="21" t="s">
        <v>902</v>
      </c>
      <c r="C25" s="22" t="s">
        <v>938</v>
      </c>
      <c r="D25" s="23" t="s">
        <v>939</v>
      </c>
      <c r="E25" s="16" t="s">
        <v>329</v>
      </c>
      <c r="F25" s="17">
        <v>134.44</v>
      </c>
      <c r="G25" s="18">
        <v>4.0999999999999996</v>
      </c>
      <c r="H25" s="19">
        <v>5.51204E-2</v>
      </c>
      <c r="I25" s="19">
        <v>5.51204E-2</v>
      </c>
      <c r="J25" s="31">
        <v>0</v>
      </c>
      <c r="K25" s="19">
        <v>0</v>
      </c>
      <c r="L25" s="19">
        <v>5.51204E-2</v>
      </c>
      <c r="M25" s="31">
        <v>0</v>
      </c>
    </row>
    <row r="26" spans="1:13" ht="25" customHeight="1">
      <c r="A26" s="332">
        <v>22</v>
      </c>
      <c r="B26" s="335" t="s">
        <v>940</v>
      </c>
      <c r="C26" s="15" t="s">
        <v>38</v>
      </c>
      <c r="D26" s="16" t="s">
        <v>941</v>
      </c>
      <c r="E26" s="16" t="s">
        <v>329</v>
      </c>
      <c r="F26" s="17">
        <v>110.91</v>
      </c>
      <c r="G26" s="18">
        <f>7.5+3.3</f>
        <v>10.8</v>
      </c>
      <c r="H26" s="19">
        <f t="shared" ref="H26:H71" si="1">G26*F26/10000</f>
        <v>0.11978279999999999</v>
      </c>
      <c r="I26" s="19">
        <f>7.5*F26/10000</f>
        <v>8.3182500000000006E-2</v>
      </c>
      <c r="J26" s="31">
        <f>3.3*F26/10000</f>
        <v>3.6600300000000002E-2</v>
      </c>
      <c r="K26" s="19">
        <v>0</v>
      </c>
      <c r="L26" s="19">
        <f t="shared" ref="L26:L71" si="2">K26+J26+I26</f>
        <v>0.11978279999999999</v>
      </c>
      <c r="M26" s="31">
        <v>0</v>
      </c>
    </row>
    <row r="27" spans="1:13" ht="25" customHeight="1">
      <c r="A27" s="333"/>
      <c r="B27" s="336"/>
      <c r="C27" s="15" t="s">
        <v>942</v>
      </c>
      <c r="D27" s="16" t="s">
        <v>943</v>
      </c>
      <c r="E27" s="16" t="s">
        <v>329</v>
      </c>
      <c r="F27" s="17">
        <v>132.13</v>
      </c>
      <c r="G27" s="18">
        <f>7.4+1.2</f>
        <v>8.6</v>
      </c>
      <c r="H27" s="19">
        <f t="shared" si="1"/>
        <v>0.11363180000000001</v>
      </c>
      <c r="I27" s="19">
        <f>7.4*F27/10000</f>
        <v>9.7776199999999994E-2</v>
      </c>
      <c r="J27" s="31">
        <f>1.2*F27/10000</f>
        <v>1.5855600000000001E-2</v>
      </c>
      <c r="K27" s="19">
        <v>0</v>
      </c>
      <c r="L27" s="19">
        <f t="shared" si="2"/>
        <v>0.11363180000000001</v>
      </c>
      <c r="M27" s="31">
        <v>0</v>
      </c>
    </row>
    <row r="28" spans="1:13" ht="25" customHeight="1">
      <c r="A28" s="332">
        <v>23</v>
      </c>
      <c r="B28" s="335" t="s">
        <v>944</v>
      </c>
      <c r="C28" s="15" t="s">
        <v>886</v>
      </c>
      <c r="D28" s="16" t="s">
        <v>945</v>
      </c>
      <c r="E28" s="16" t="s">
        <v>329</v>
      </c>
      <c r="F28" s="17">
        <v>92.85</v>
      </c>
      <c r="G28" s="18">
        <f>8.05+2.93+3</f>
        <v>13.98</v>
      </c>
      <c r="H28" s="19">
        <f t="shared" si="1"/>
        <v>0.12980430000000001</v>
      </c>
      <c r="I28" s="19">
        <f>8.05*F28/10000</f>
        <v>7.4744249999999998E-2</v>
      </c>
      <c r="J28" s="31">
        <f>(2.93+3)*F28/10000</f>
        <v>5.5060049999999999E-2</v>
      </c>
      <c r="K28" s="19">
        <v>0</v>
      </c>
      <c r="L28" s="19">
        <f t="shared" si="2"/>
        <v>0.12980430000000001</v>
      </c>
      <c r="M28" s="31">
        <v>0</v>
      </c>
    </row>
    <row r="29" spans="1:13" ht="25" customHeight="1">
      <c r="A29" s="333"/>
      <c r="B29" s="336"/>
      <c r="C29" s="15" t="s">
        <v>945</v>
      </c>
      <c r="D29" s="16" t="s">
        <v>946</v>
      </c>
      <c r="E29" s="16" t="s">
        <v>329</v>
      </c>
      <c r="F29" s="17">
        <v>169.45</v>
      </c>
      <c r="G29" s="18">
        <v>5.85</v>
      </c>
      <c r="H29" s="19">
        <f t="shared" si="1"/>
        <v>9.9128250000000001E-2</v>
      </c>
      <c r="I29" s="19">
        <f t="shared" ref="I29:I35" si="3">G29*F29/10000</f>
        <v>9.9128250000000001E-2</v>
      </c>
      <c r="J29" s="31">
        <v>0</v>
      </c>
      <c r="K29" s="19">
        <v>0</v>
      </c>
      <c r="L29" s="19">
        <f t="shared" si="2"/>
        <v>9.9128250000000001E-2</v>
      </c>
      <c r="M29" s="31">
        <v>0</v>
      </c>
    </row>
    <row r="30" spans="1:13" ht="25" customHeight="1">
      <c r="A30" s="332">
        <v>24</v>
      </c>
      <c r="B30" s="335" t="s">
        <v>947</v>
      </c>
      <c r="C30" s="15" t="s">
        <v>39</v>
      </c>
      <c r="D30" s="16" t="s">
        <v>948</v>
      </c>
      <c r="E30" s="16" t="s">
        <v>329</v>
      </c>
      <c r="F30" s="17">
        <v>101.57</v>
      </c>
      <c r="G30" s="18">
        <f>10+3+3</f>
        <v>16</v>
      </c>
      <c r="H30" s="19">
        <f t="shared" si="1"/>
        <v>0.16251199999999999</v>
      </c>
      <c r="I30" s="19">
        <f>10*F30/10000</f>
        <v>0.10156999999999999</v>
      </c>
      <c r="J30" s="31">
        <f>(3+3)*F30/10000</f>
        <v>6.0942000000000003E-2</v>
      </c>
      <c r="K30" s="19">
        <v>0</v>
      </c>
      <c r="L30" s="19">
        <f t="shared" si="2"/>
        <v>0.16251199999999999</v>
      </c>
      <c r="M30" s="31">
        <v>0</v>
      </c>
    </row>
    <row r="31" spans="1:13" ht="25" customHeight="1">
      <c r="A31" s="333"/>
      <c r="B31" s="336"/>
      <c r="C31" s="15" t="s">
        <v>948</v>
      </c>
      <c r="D31" s="16" t="s">
        <v>24</v>
      </c>
      <c r="E31" s="16" t="s">
        <v>329</v>
      </c>
      <c r="F31" s="17">
        <v>238.87</v>
      </c>
      <c r="G31" s="18">
        <f>5.06+3</f>
        <v>8.06</v>
      </c>
      <c r="H31" s="19">
        <f t="shared" si="1"/>
        <v>0.19252922</v>
      </c>
      <c r="I31" s="19">
        <f>5.06*F31/10000</f>
        <v>0.12086822</v>
      </c>
      <c r="J31" s="31">
        <f>3*F31/10000</f>
        <v>7.1661000000000002E-2</v>
      </c>
      <c r="K31" s="19">
        <v>0</v>
      </c>
      <c r="L31" s="19">
        <f t="shared" si="2"/>
        <v>0.19252922</v>
      </c>
      <c r="M31" s="31">
        <v>0</v>
      </c>
    </row>
    <row r="32" spans="1:13" ht="25" customHeight="1">
      <c r="A32" s="13">
        <v>25</v>
      </c>
      <c r="B32" s="21" t="s">
        <v>948</v>
      </c>
      <c r="C32" s="15" t="s">
        <v>947</v>
      </c>
      <c r="D32" s="16" t="s">
        <v>918</v>
      </c>
      <c r="E32" s="16" t="s">
        <v>329</v>
      </c>
      <c r="F32" s="17">
        <v>56.57</v>
      </c>
      <c r="G32" s="18">
        <f>5.06+3</f>
        <v>8.06</v>
      </c>
      <c r="H32" s="19">
        <f t="shared" si="1"/>
        <v>4.5595419999999998E-2</v>
      </c>
      <c r="I32" s="19">
        <f>5.06*F32/10000</f>
        <v>2.8624420000000001E-2</v>
      </c>
      <c r="J32" s="31">
        <f>3*F32/10000</f>
        <v>1.6971E-2</v>
      </c>
      <c r="K32" s="19">
        <v>0</v>
      </c>
      <c r="L32" s="19">
        <f t="shared" si="2"/>
        <v>4.5595419999999998E-2</v>
      </c>
      <c r="M32" s="31">
        <v>0</v>
      </c>
    </row>
    <row r="33" spans="1:13" ht="25" customHeight="1">
      <c r="A33" s="13">
        <v>26</v>
      </c>
      <c r="B33" s="21" t="s">
        <v>949</v>
      </c>
      <c r="C33" s="15" t="s">
        <v>43</v>
      </c>
      <c r="D33" s="16" t="s">
        <v>950</v>
      </c>
      <c r="E33" s="16" t="s">
        <v>329</v>
      </c>
      <c r="F33" s="17">
        <v>31</v>
      </c>
      <c r="G33" s="18">
        <v>3</v>
      </c>
      <c r="H33" s="19">
        <f t="shared" si="1"/>
        <v>9.2999999999999992E-3</v>
      </c>
      <c r="I33" s="19">
        <f t="shared" si="3"/>
        <v>9.2999999999999992E-3</v>
      </c>
      <c r="J33" s="31">
        <v>0</v>
      </c>
      <c r="K33" s="19">
        <v>0</v>
      </c>
      <c r="L33" s="19">
        <f t="shared" si="2"/>
        <v>9.2999999999999992E-3</v>
      </c>
      <c r="M33" s="31">
        <v>0</v>
      </c>
    </row>
    <row r="34" spans="1:13" ht="25" customHeight="1">
      <c r="A34" s="332">
        <v>27</v>
      </c>
      <c r="B34" s="335" t="s">
        <v>951</v>
      </c>
      <c r="C34" s="15" t="s">
        <v>27</v>
      </c>
      <c r="D34" s="16" t="s">
        <v>952</v>
      </c>
      <c r="E34" s="16" t="s">
        <v>329</v>
      </c>
      <c r="F34" s="17">
        <v>145.16</v>
      </c>
      <c r="G34" s="18">
        <v>5.8</v>
      </c>
      <c r="H34" s="19">
        <f t="shared" si="1"/>
        <v>8.4192799999999998E-2</v>
      </c>
      <c r="I34" s="19">
        <f t="shared" si="3"/>
        <v>8.4192799999999998E-2</v>
      </c>
      <c r="J34" s="31">
        <v>0</v>
      </c>
      <c r="K34" s="19">
        <f>1.1*F34/10000</f>
        <v>1.5967599999999998E-2</v>
      </c>
      <c r="L34" s="19">
        <f t="shared" si="2"/>
        <v>0.1001604</v>
      </c>
      <c r="M34" s="31">
        <v>0</v>
      </c>
    </row>
    <row r="35" spans="1:13" ht="25" customHeight="1">
      <c r="A35" s="333"/>
      <c r="B35" s="336"/>
      <c r="C35" s="15" t="s">
        <v>952</v>
      </c>
      <c r="D35" s="16" t="s">
        <v>953</v>
      </c>
      <c r="E35" s="16" t="s">
        <v>329</v>
      </c>
      <c r="F35" s="17">
        <v>71.02</v>
      </c>
      <c r="G35" s="18">
        <v>4.8</v>
      </c>
      <c r="H35" s="19">
        <f t="shared" si="1"/>
        <v>3.4089599999999998E-2</v>
      </c>
      <c r="I35" s="19">
        <f t="shared" si="3"/>
        <v>3.4089599999999998E-2</v>
      </c>
      <c r="J35" s="31">
        <v>0</v>
      </c>
      <c r="K35" s="19">
        <v>0</v>
      </c>
      <c r="L35" s="19">
        <f t="shared" si="2"/>
        <v>3.4089599999999998E-2</v>
      </c>
      <c r="M35" s="31">
        <v>0</v>
      </c>
    </row>
    <row r="36" spans="1:13" ht="25" customHeight="1">
      <c r="A36" s="13">
        <v>28</v>
      </c>
      <c r="B36" s="21" t="s">
        <v>954</v>
      </c>
      <c r="C36" s="15" t="s">
        <v>38</v>
      </c>
      <c r="D36" s="16" t="s">
        <v>89</v>
      </c>
      <c r="E36" s="16" t="s">
        <v>329</v>
      </c>
      <c r="F36" s="28">
        <v>0</v>
      </c>
      <c r="G36" s="29">
        <v>0</v>
      </c>
      <c r="H36" s="30">
        <f t="shared" si="1"/>
        <v>0</v>
      </c>
      <c r="I36" s="30">
        <f>18*F36/10000</f>
        <v>0</v>
      </c>
      <c r="J36" s="33">
        <f>2.5*F36/10000</f>
        <v>0</v>
      </c>
      <c r="K36" s="30">
        <v>0</v>
      </c>
      <c r="L36" s="30">
        <f t="shared" si="2"/>
        <v>0</v>
      </c>
      <c r="M36" s="33">
        <f>(1.5+1.5)*F36/10000</f>
        <v>0</v>
      </c>
    </row>
    <row r="37" spans="1:13" ht="25" customHeight="1">
      <c r="A37" s="332">
        <v>29</v>
      </c>
      <c r="B37" s="335" t="s">
        <v>788</v>
      </c>
      <c r="C37" s="15" t="s">
        <v>27</v>
      </c>
      <c r="D37" s="16" t="s">
        <v>955</v>
      </c>
      <c r="E37" s="16" t="s">
        <v>329</v>
      </c>
      <c r="F37" s="28">
        <v>196.22</v>
      </c>
      <c r="G37" s="29">
        <v>10.55</v>
      </c>
      <c r="H37" s="30">
        <f t="shared" si="1"/>
        <v>0.2070121</v>
      </c>
      <c r="I37" s="30">
        <f t="shared" ref="I37:I40" si="4">G37*F37/10000</f>
        <v>0.2070121</v>
      </c>
      <c r="J37" s="33">
        <f>0*F37/10000</f>
        <v>0</v>
      </c>
      <c r="K37" s="30">
        <v>0</v>
      </c>
      <c r="L37" s="30">
        <f t="shared" si="2"/>
        <v>0.2070121</v>
      </c>
      <c r="M37" s="33">
        <v>0</v>
      </c>
    </row>
    <row r="38" spans="1:13" ht="25" customHeight="1">
      <c r="A38" s="333"/>
      <c r="B38" s="336"/>
      <c r="C38" s="15" t="s">
        <v>955</v>
      </c>
      <c r="D38" s="16" t="s">
        <v>956</v>
      </c>
      <c r="E38" s="16" t="s">
        <v>329</v>
      </c>
      <c r="F38" s="28">
        <v>130.09</v>
      </c>
      <c r="G38" s="29">
        <v>7.2</v>
      </c>
      <c r="H38" s="30">
        <f t="shared" si="1"/>
        <v>9.3664800000000006E-2</v>
      </c>
      <c r="I38" s="30">
        <f t="shared" si="4"/>
        <v>9.3664800000000006E-2</v>
      </c>
      <c r="J38" s="33">
        <f>0*F38/10000</f>
        <v>0</v>
      </c>
      <c r="K38" s="30">
        <v>0</v>
      </c>
      <c r="L38" s="30">
        <f t="shared" si="2"/>
        <v>9.3664800000000006E-2</v>
      </c>
      <c r="M38" s="33">
        <v>0</v>
      </c>
    </row>
    <row r="39" spans="1:13" ht="25" customHeight="1">
      <c r="A39" s="13">
        <v>30</v>
      </c>
      <c r="B39" s="21" t="s">
        <v>957</v>
      </c>
      <c r="C39" s="15" t="s">
        <v>68</v>
      </c>
      <c r="D39" s="16" t="s">
        <v>958</v>
      </c>
      <c r="E39" s="16" t="s">
        <v>329</v>
      </c>
      <c r="F39" s="28">
        <v>246.87</v>
      </c>
      <c r="G39" s="29">
        <v>7</v>
      </c>
      <c r="H39" s="30">
        <f t="shared" si="1"/>
        <v>0.17280899999999999</v>
      </c>
      <c r="I39" s="30">
        <f t="shared" si="4"/>
        <v>0.17280899999999999</v>
      </c>
      <c r="J39" s="33">
        <v>0</v>
      </c>
      <c r="K39" s="30">
        <v>0</v>
      </c>
      <c r="L39" s="30">
        <f t="shared" si="2"/>
        <v>0.17280899999999999</v>
      </c>
      <c r="M39" s="33">
        <v>0</v>
      </c>
    </row>
    <row r="40" spans="1:13" ht="25" customHeight="1">
      <c r="A40" s="13">
        <v>31</v>
      </c>
      <c r="B40" s="21" t="s">
        <v>959</v>
      </c>
      <c r="C40" s="15" t="s">
        <v>957</v>
      </c>
      <c r="D40" s="16" t="s">
        <v>960</v>
      </c>
      <c r="E40" s="16" t="s">
        <v>329</v>
      </c>
      <c r="F40" s="28">
        <v>60.09</v>
      </c>
      <c r="G40" s="29">
        <v>7.2</v>
      </c>
      <c r="H40" s="30">
        <f t="shared" si="1"/>
        <v>4.3264799999999999E-2</v>
      </c>
      <c r="I40" s="30">
        <f t="shared" si="4"/>
        <v>4.3264799999999999E-2</v>
      </c>
      <c r="J40" s="33">
        <v>0</v>
      </c>
      <c r="K40" s="30">
        <v>0</v>
      </c>
      <c r="L40" s="30">
        <f t="shared" si="2"/>
        <v>4.3264799999999999E-2</v>
      </c>
      <c r="M40" s="33">
        <v>0</v>
      </c>
    </row>
    <row r="41" spans="1:13" ht="25" customHeight="1">
      <c r="A41" s="13">
        <v>32</v>
      </c>
      <c r="B41" s="21" t="s">
        <v>819</v>
      </c>
      <c r="C41" s="15" t="s">
        <v>961</v>
      </c>
      <c r="D41" s="16" t="s">
        <v>962</v>
      </c>
      <c r="E41" s="16" t="s">
        <v>329</v>
      </c>
      <c r="F41" s="28">
        <v>67.55</v>
      </c>
      <c r="G41" s="29">
        <f>7+2.1+2.1</f>
        <v>11.2</v>
      </c>
      <c r="H41" s="30">
        <f t="shared" si="1"/>
        <v>7.5656000000000001E-2</v>
      </c>
      <c r="I41" s="30">
        <f>7*F41/10000</f>
        <v>4.7285000000000001E-2</v>
      </c>
      <c r="J41" s="33">
        <f>(2.1+2.1)*F41/10000</f>
        <v>2.8371E-2</v>
      </c>
      <c r="K41" s="30">
        <v>0</v>
      </c>
      <c r="L41" s="30">
        <f t="shared" si="2"/>
        <v>7.5656000000000001E-2</v>
      </c>
      <c r="M41" s="33">
        <v>0</v>
      </c>
    </row>
    <row r="42" spans="1:13" ht="25" customHeight="1">
      <c r="A42" s="13">
        <v>33</v>
      </c>
      <c r="B42" s="21" t="s">
        <v>962</v>
      </c>
      <c r="C42" s="15" t="s">
        <v>963</v>
      </c>
      <c r="D42" s="16" t="s">
        <v>964</v>
      </c>
      <c r="E42" s="16" t="s">
        <v>329</v>
      </c>
      <c r="F42" s="28">
        <v>76.349999999999994</v>
      </c>
      <c r="G42" s="29">
        <v>5.5</v>
      </c>
      <c r="H42" s="30">
        <f t="shared" si="1"/>
        <v>4.1992500000000002E-2</v>
      </c>
      <c r="I42" s="30">
        <f t="shared" ref="I42:I44" si="5">G42*F42/10000</f>
        <v>4.1992500000000002E-2</v>
      </c>
      <c r="J42" s="33">
        <v>0</v>
      </c>
      <c r="K42" s="30">
        <f>(3.8+7.5)*F42/10000</f>
        <v>8.6275500000000005E-2</v>
      </c>
      <c r="L42" s="30">
        <f t="shared" si="2"/>
        <v>0.12826799999999999</v>
      </c>
      <c r="M42" s="33">
        <v>0</v>
      </c>
    </row>
    <row r="43" spans="1:13" ht="25" customHeight="1">
      <c r="A43" s="13">
        <v>34</v>
      </c>
      <c r="B43" s="21" t="s">
        <v>965</v>
      </c>
      <c r="C43" s="15" t="s">
        <v>966</v>
      </c>
      <c r="D43" s="16" t="s">
        <v>967</v>
      </c>
      <c r="E43" s="16" t="s">
        <v>329</v>
      </c>
      <c r="F43" s="28">
        <v>125.96</v>
      </c>
      <c r="G43" s="29">
        <v>8.25</v>
      </c>
      <c r="H43" s="30">
        <f t="shared" si="1"/>
        <v>0.103917</v>
      </c>
      <c r="I43" s="30">
        <f t="shared" si="5"/>
        <v>0.103917</v>
      </c>
      <c r="J43" s="33">
        <v>0</v>
      </c>
      <c r="K43" s="30">
        <v>0</v>
      </c>
      <c r="L43" s="30">
        <f t="shared" si="2"/>
        <v>0.103917</v>
      </c>
      <c r="M43" s="30">
        <f>(5.5+3.8)*F43/10000</f>
        <v>0.11714280000000001</v>
      </c>
    </row>
    <row r="44" spans="1:13" ht="25" customHeight="1">
      <c r="A44" s="13">
        <v>35</v>
      </c>
      <c r="B44" s="21" t="s">
        <v>968</v>
      </c>
      <c r="C44" s="15" t="s">
        <v>969</v>
      </c>
      <c r="D44" s="16" t="s">
        <v>970</v>
      </c>
      <c r="E44" s="16" t="s">
        <v>329</v>
      </c>
      <c r="F44" s="28">
        <v>123.52</v>
      </c>
      <c r="G44" s="29">
        <v>0</v>
      </c>
      <c r="H44" s="30">
        <f t="shared" si="1"/>
        <v>0</v>
      </c>
      <c r="I44" s="30">
        <f t="shared" si="5"/>
        <v>0</v>
      </c>
      <c r="J44" s="33">
        <v>0</v>
      </c>
      <c r="K44" s="30">
        <v>0</v>
      </c>
      <c r="L44" s="30">
        <f t="shared" si="2"/>
        <v>0</v>
      </c>
      <c r="M44" s="30">
        <f>25.5*F44/10000</f>
        <v>0.31497599999999998</v>
      </c>
    </row>
    <row r="45" spans="1:13" ht="25" customHeight="1">
      <c r="A45" s="13">
        <v>36</v>
      </c>
      <c r="B45" s="24" t="s">
        <v>971</v>
      </c>
      <c r="C45" s="16" t="s">
        <v>972</v>
      </c>
      <c r="D45" s="16" t="s">
        <v>973</v>
      </c>
      <c r="E45" s="16" t="s">
        <v>329</v>
      </c>
      <c r="F45" s="28">
        <v>84.99</v>
      </c>
      <c r="G45" s="29">
        <v>12.295999999999999</v>
      </c>
      <c r="H45" s="30">
        <f t="shared" si="1"/>
        <v>0.104503704</v>
      </c>
      <c r="I45" s="30">
        <f t="shared" ref="I45:I47" si="6">0*F45/10000</f>
        <v>0</v>
      </c>
      <c r="J45" s="33">
        <v>0</v>
      </c>
      <c r="K45" s="30">
        <f>12.296*F45/10000</f>
        <v>0.104503704</v>
      </c>
      <c r="L45" s="30">
        <f t="shared" si="2"/>
        <v>0.104503704</v>
      </c>
      <c r="M45" s="33">
        <v>0</v>
      </c>
    </row>
    <row r="46" spans="1:13" ht="25" customHeight="1">
      <c r="A46" s="13">
        <v>37</v>
      </c>
      <c r="B46" s="21" t="s">
        <v>974</v>
      </c>
      <c r="C46" s="16" t="s">
        <v>130</v>
      </c>
      <c r="D46" s="16" t="s">
        <v>131</v>
      </c>
      <c r="E46" s="16" t="s">
        <v>329</v>
      </c>
      <c r="F46" s="28">
        <v>101.27</v>
      </c>
      <c r="G46" s="29">
        <v>18.84</v>
      </c>
      <c r="H46" s="30">
        <f t="shared" si="1"/>
        <v>0.19079267999999999</v>
      </c>
      <c r="I46" s="30">
        <f t="shared" si="6"/>
        <v>0</v>
      </c>
      <c r="J46" s="33">
        <v>0</v>
      </c>
      <c r="K46" s="30">
        <f>18.8*F46/10000</f>
        <v>0.19038759999999999</v>
      </c>
      <c r="L46" s="30">
        <f t="shared" si="2"/>
        <v>0.19038759999999999</v>
      </c>
      <c r="M46" s="33">
        <v>0</v>
      </c>
    </row>
    <row r="47" spans="1:13" ht="25" customHeight="1">
      <c r="A47" s="13">
        <v>38</v>
      </c>
      <c r="B47" s="20" t="s">
        <v>975</v>
      </c>
      <c r="C47" s="16" t="s">
        <v>130</v>
      </c>
      <c r="D47" s="16" t="s">
        <v>172</v>
      </c>
      <c r="E47" s="16" t="s">
        <v>329</v>
      </c>
      <c r="F47" s="28">
        <v>71.73</v>
      </c>
      <c r="G47" s="29">
        <v>9.9</v>
      </c>
      <c r="H47" s="30">
        <f t="shared" si="1"/>
        <v>7.1012699999999998E-2</v>
      </c>
      <c r="I47" s="30">
        <f t="shared" si="6"/>
        <v>0</v>
      </c>
      <c r="J47" s="33">
        <v>0</v>
      </c>
      <c r="K47" s="30">
        <f>9.9*F47/10000</f>
        <v>7.1012699999999998E-2</v>
      </c>
      <c r="L47" s="30">
        <f t="shared" si="2"/>
        <v>7.1012699999999998E-2</v>
      </c>
      <c r="M47" s="33">
        <v>0</v>
      </c>
    </row>
    <row r="48" spans="1:13" ht="25" customHeight="1">
      <c r="A48" s="13">
        <v>39</v>
      </c>
      <c r="B48" s="20" t="s">
        <v>976</v>
      </c>
      <c r="C48" s="16" t="s">
        <v>481</v>
      </c>
      <c r="D48" s="16" t="s">
        <v>977</v>
      </c>
      <c r="E48" s="16" t="s">
        <v>329</v>
      </c>
      <c r="F48" s="28">
        <v>222</v>
      </c>
      <c r="G48" s="29">
        <v>7</v>
      </c>
      <c r="H48" s="30">
        <f t="shared" si="1"/>
        <v>0.15540000000000001</v>
      </c>
      <c r="I48" s="30">
        <f>7*F48/10000</f>
        <v>0.15540000000000001</v>
      </c>
      <c r="J48" s="33">
        <v>0</v>
      </c>
      <c r="K48" s="30">
        <v>0</v>
      </c>
      <c r="L48" s="30">
        <f t="shared" si="2"/>
        <v>0.15540000000000001</v>
      </c>
      <c r="M48" s="33">
        <v>0</v>
      </c>
    </row>
    <row r="49" spans="1:13" ht="25" customHeight="1">
      <c r="A49" s="13">
        <v>40</v>
      </c>
      <c r="B49" s="21" t="s">
        <v>978</v>
      </c>
      <c r="C49" s="16" t="s">
        <v>979</v>
      </c>
      <c r="D49" s="16" t="s">
        <v>980</v>
      </c>
      <c r="E49" s="16" t="s">
        <v>329</v>
      </c>
      <c r="F49" s="28">
        <v>102.49</v>
      </c>
      <c r="G49" s="29">
        <v>22.22</v>
      </c>
      <c r="H49" s="30">
        <f t="shared" si="1"/>
        <v>0.22773278</v>
      </c>
      <c r="I49" s="30">
        <f t="shared" ref="I49:I54" si="7">0*F49/10000</f>
        <v>0</v>
      </c>
      <c r="J49" s="33">
        <v>0</v>
      </c>
      <c r="K49" s="30">
        <f>22.2*F49/10000</f>
        <v>0.2275278</v>
      </c>
      <c r="L49" s="30">
        <f t="shared" si="2"/>
        <v>0.2275278</v>
      </c>
      <c r="M49" s="33">
        <v>0</v>
      </c>
    </row>
    <row r="50" spans="1:13" ht="25" customHeight="1">
      <c r="A50" s="332">
        <v>41</v>
      </c>
      <c r="B50" s="335" t="s">
        <v>981</v>
      </c>
      <c r="C50" s="16" t="s">
        <v>494</v>
      </c>
      <c r="D50" s="16" t="s">
        <v>972</v>
      </c>
      <c r="E50" s="16" t="s">
        <v>329</v>
      </c>
      <c r="F50" s="28">
        <v>100.12</v>
      </c>
      <c r="G50" s="29">
        <v>11.6</v>
      </c>
      <c r="H50" s="30">
        <f t="shared" si="1"/>
        <v>0.1161392</v>
      </c>
      <c r="I50" s="30">
        <f>5.3*F50/10000</f>
        <v>5.3063600000000002E-2</v>
      </c>
      <c r="J50" s="33">
        <f>(2.8+3.5)*F50/10000</f>
        <v>6.3075599999999996E-2</v>
      </c>
      <c r="K50" s="30">
        <v>0</v>
      </c>
      <c r="L50" s="30">
        <f t="shared" si="2"/>
        <v>0.1161392</v>
      </c>
      <c r="M50" s="33">
        <v>0</v>
      </c>
    </row>
    <row r="51" spans="1:13" ht="25" customHeight="1">
      <c r="A51" s="334"/>
      <c r="B51" s="337"/>
      <c r="C51" s="16" t="s">
        <v>494</v>
      </c>
      <c r="D51" s="16" t="s">
        <v>972</v>
      </c>
      <c r="E51" s="16" t="s">
        <v>329</v>
      </c>
      <c r="F51" s="28">
        <v>65.56</v>
      </c>
      <c r="G51" s="29">
        <v>5.0999999999999996</v>
      </c>
      <c r="H51" s="30">
        <f t="shared" si="1"/>
        <v>3.3435600000000003E-2</v>
      </c>
      <c r="I51" s="30">
        <f>5.1*F51/10000</f>
        <v>3.3435600000000003E-2</v>
      </c>
      <c r="J51" s="33">
        <v>0</v>
      </c>
      <c r="K51" s="30">
        <f>0*F51/10000</f>
        <v>0</v>
      </c>
      <c r="L51" s="30">
        <f t="shared" si="2"/>
        <v>3.3435600000000003E-2</v>
      </c>
      <c r="M51" s="33">
        <v>0</v>
      </c>
    </row>
    <row r="52" spans="1:13" ht="25" customHeight="1">
      <c r="A52" s="333"/>
      <c r="B52" s="336"/>
      <c r="C52" s="16" t="s">
        <v>494</v>
      </c>
      <c r="D52" s="16" t="s">
        <v>972</v>
      </c>
      <c r="E52" s="16" t="s">
        <v>329</v>
      </c>
      <c r="F52" s="28">
        <v>96.86</v>
      </c>
      <c r="G52" s="29">
        <v>6.7</v>
      </c>
      <c r="H52" s="30">
        <f t="shared" si="1"/>
        <v>6.4896200000000001E-2</v>
      </c>
      <c r="I52" s="30">
        <f>4.7*F52/10000</f>
        <v>4.5524200000000001E-2</v>
      </c>
      <c r="J52" s="33">
        <f>(2)*F52/10000</f>
        <v>1.9372E-2</v>
      </c>
      <c r="K52" s="30">
        <v>0</v>
      </c>
      <c r="L52" s="30">
        <f t="shared" si="2"/>
        <v>6.4896200000000001E-2</v>
      </c>
      <c r="M52" s="33">
        <v>0</v>
      </c>
    </row>
    <row r="53" spans="1:13" ht="25" customHeight="1">
      <c r="A53" s="332">
        <v>42</v>
      </c>
      <c r="B53" s="338" t="s">
        <v>982</v>
      </c>
      <c r="C53" s="16" t="s">
        <v>168</v>
      </c>
      <c r="D53" s="16" t="s">
        <v>131</v>
      </c>
      <c r="E53" s="16" t="s">
        <v>329</v>
      </c>
      <c r="F53" s="28">
        <v>75.569999999999993</v>
      </c>
      <c r="G53" s="29">
        <v>9.8699999999999992</v>
      </c>
      <c r="H53" s="30">
        <f t="shared" si="1"/>
        <v>7.4587589999999995E-2</v>
      </c>
      <c r="I53" s="30">
        <f t="shared" si="7"/>
        <v>0</v>
      </c>
      <c r="J53" s="33">
        <v>0</v>
      </c>
      <c r="K53" s="30">
        <f>9.87*F53/10000</f>
        <v>7.4587589999999995E-2</v>
      </c>
      <c r="L53" s="30">
        <f t="shared" si="2"/>
        <v>7.4587589999999995E-2</v>
      </c>
      <c r="M53" s="33">
        <v>0</v>
      </c>
    </row>
    <row r="54" spans="1:13" ht="25" customHeight="1">
      <c r="A54" s="333"/>
      <c r="B54" s="338"/>
      <c r="C54" s="16" t="s">
        <v>168</v>
      </c>
      <c r="D54" s="16" t="s">
        <v>131</v>
      </c>
      <c r="E54" s="16" t="s">
        <v>329</v>
      </c>
      <c r="F54" s="28">
        <v>14.97</v>
      </c>
      <c r="G54" s="29">
        <v>6.85</v>
      </c>
      <c r="H54" s="30">
        <f t="shared" si="1"/>
        <v>1.025445E-2</v>
      </c>
      <c r="I54" s="30">
        <f t="shared" si="7"/>
        <v>0</v>
      </c>
      <c r="J54" s="33">
        <v>0</v>
      </c>
      <c r="K54" s="30">
        <f>6.85*F54/10000</f>
        <v>1.025445E-2</v>
      </c>
      <c r="L54" s="30">
        <f t="shared" si="2"/>
        <v>1.025445E-2</v>
      </c>
      <c r="M54" s="33">
        <v>0</v>
      </c>
    </row>
    <row r="55" spans="1:13" ht="25" customHeight="1">
      <c r="A55" s="13">
        <v>43</v>
      </c>
      <c r="B55" s="21" t="s">
        <v>983</v>
      </c>
      <c r="C55" s="25" t="s">
        <v>984</v>
      </c>
      <c r="D55" s="16" t="s">
        <v>985</v>
      </c>
      <c r="E55" s="16" t="s">
        <v>329</v>
      </c>
      <c r="F55" s="28">
        <v>400.35</v>
      </c>
      <c r="G55" s="29">
        <v>1.87</v>
      </c>
      <c r="H55" s="30">
        <f t="shared" si="1"/>
        <v>7.486545E-2</v>
      </c>
      <c r="I55" s="30">
        <f>G55*F55/10000</f>
        <v>7.486545E-2</v>
      </c>
      <c r="J55" s="33">
        <v>0</v>
      </c>
      <c r="K55" s="30">
        <v>0</v>
      </c>
      <c r="L55" s="30">
        <f t="shared" si="2"/>
        <v>7.486545E-2</v>
      </c>
      <c r="M55" s="33">
        <f>4.5*F55/10000</f>
        <v>0.1801575</v>
      </c>
    </row>
    <row r="56" spans="1:13" ht="25" customHeight="1">
      <c r="A56" s="13">
        <v>44</v>
      </c>
      <c r="B56" s="21" t="s">
        <v>986</v>
      </c>
      <c r="C56" s="15" t="s">
        <v>987</v>
      </c>
      <c r="D56" s="16" t="s">
        <v>985</v>
      </c>
      <c r="E56" s="16" t="s">
        <v>329</v>
      </c>
      <c r="F56" s="28">
        <v>254.59</v>
      </c>
      <c r="G56" s="29">
        <v>1.5</v>
      </c>
      <c r="H56" s="30">
        <f t="shared" si="1"/>
        <v>3.81885E-2</v>
      </c>
      <c r="I56" s="30">
        <f>G56*F56/10000</f>
        <v>3.81885E-2</v>
      </c>
      <c r="J56" s="33">
        <v>0</v>
      </c>
      <c r="K56" s="30">
        <v>0</v>
      </c>
      <c r="L56" s="30">
        <f t="shared" si="2"/>
        <v>3.81885E-2</v>
      </c>
      <c r="M56" s="33">
        <f>1.64*F56/10000</f>
        <v>4.175276E-2</v>
      </c>
    </row>
    <row r="57" spans="1:13" ht="25" customHeight="1">
      <c r="A57" s="332">
        <v>45</v>
      </c>
      <c r="B57" s="339" t="s">
        <v>988</v>
      </c>
      <c r="C57" s="15" t="s">
        <v>68</v>
      </c>
      <c r="D57" s="16" t="s">
        <v>989</v>
      </c>
      <c r="E57" s="16" t="s">
        <v>329</v>
      </c>
      <c r="F57" s="28">
        <v>68.72</v>
      </c>
      <c r="G57" s="29">
        <v>4.7</v>
      </c>
      <c r="H57" s="30">
        <f t="shared" si="1"/>
        <v>3.2298399999999998E-2</v>
      </c>
      <c r="I57" s="30">
        <f>4.7*F57/10000</f>
        <v>3.2298399999999998E-2</v>
      </c>
      <c r="J57" s="33">
        <v>0</v>
      </c>
      <c r="K57" s="30">
        <v>0</v>
      </c>
      <c r="L57" s="30">
        <f t="shared" si="2"/>
        <v>3.2298399999999998E-2</v>
      </c>
      <c r="M57" s="33">
        <v>0</v>
      </c>
    </row>
    <row r="58" spans="1:13" ht="25" customHeight="1">
      <c r="A58" s="334"/>
      <c r="B58" s="340"/>
      <c r="C58" s="15" t="s">
        <v>68</v>
      </c>
      <c r="D58" s="16" t="s">
        <v>989</v>
      </c>
      <c r="E58" s="16" t="s">
        <v>329</v>
      </c>
      <c r="F58" s="28">
        <v>108.85</v>
      </c>
      <c r="G58" s="29">
        <v>6.34</v>
      </c>
      <c r="H58" s="30">
        <f t="shared" si="1"/>
        <v>6.90109E-2</v>
      </c>
      <c r="I58" s="30">
        <f>4.7*F58/10000</f>
        <v>5.1159499999999997E-2</v>
      </c>
      <c r="J58" s="33">
        <f>0*F58/10000</f>
        <v>0</v>
      </c>
      <c r="K58" s="30">
        <f>1.6*F58/10000</f>
        <v>1.7416000000000001E-2</v>
      </c>
      <c r="L58" s="30">
        <f t="shared" si="2"/>
        <v>6.8575499999999998E-2</v>
      </c>
      <c r="M58" s="33">
        <v>0</v>
      </c>
    </row>
    <row r="59" spans="1:13" ht="25" customHeight="1">
      <c r="A59" s="334"/>
      <c r="B59" s="340"/>
      <c r="C59" s="15" t="s">
        <v>68</v>
      </c>
      <c r="D59" s="16" t="s">
        <v>989</v>
      </c>
      <c r="E59" s="16" t="s">
        <v>329</v>
      </c>
      <c r="F59" s="28">
        <v>25.42</v>
      </c>
      <c r="G59" s="29">
        <v>7.6</v>
      </c>
      <c r="H59" s="30">
        <f t="shared" si="1"/>
        <v>1.9319200000000002E-2</v>
      </c>
      <c r="I59" s="30">
        <f>7.6*F59/10000</f>
        <v>1.9319200000000002E-2</v>
      </c>
      <c r="J59" s="33">
        <v>0</v>
      </c>
      <c r="K59" s="30">
        <f>0*F59/10000</f>
        <v>0</v>
      </c>
      <c r="L59" s="30">
        <f t="shared" si="2"/>
        <v>1.9319200000000002E-2</v>
      </c>
      <c r="M59" s="33">
        <v>0</v>
      </c>
    </row>
    <row r="60" spans="1:13" ht="25" customHeight="1">
      <c r="A60" s="333"/>
      <c r="B60" s="341"/>
      <c r="C60" s="15" t="s">
        <v>68</v>
      </c>
      <c r="D60" s="16" t="s">
        <v>989</v>
      </c>
      <c r="E60" s="16" t="s">
        <v>329</v>
      </c>
      <c r="F60" s="28">
        <v>18.239999999999998</v>
      </c>
      <c r="G60" s="29">
        <v>5.5</v>
      </c>
      <c r="H60" s="30">
        <f t="shared" si="1"/>
        <v>1.0031999999999999E-2</v>
      </c>
      <c r="I60" s="30">
        <f>5.5*F60/10000</f>
        <v>1.0031999999999999E-2</v>
      </c>
      <c r="J60" s="33">
        <f>0*F60/10000</f>
        <v>0</v>
      </c>
      <c r="K60" s="30">
        <f>0*F60/10000</f>
        <v>0</v>
      </c>
      <c r="L60" s="30">
        <f t="shared" si="2"/>
        <v>1.0031999999999999E-2</v>
      </c>
      <c r="M60" s="33">
        <v>0</v>
      </c>
    </row>
    <row r="61" spans="1:13" ht="25" customHeight="1">
      <c r="A61" s="13">
        <v>46</v>
      </c>
      <c r="B61" s="21" t="s">
        <v>990</v>
      </c>
      <c r="C61" s="25" t="s">
        <v>991</v>
      </c>
      <c r="D61" s="16" t="s">
        <v>169</v>
      </c>
      <c r="E61" s="16" t="s">
        <v>329</v>
      </c>
      <c r="F61" s="28">
        <v>216.2</v>
      </c>
      <c r="G61" s="29">
        <f>7.97+3+3</f>
        <v>13.97</v>
      </c>
      <c r="H61" s="30">
        <f t="shared" si="1"/>
        <v>0.30203140000000001</v>
      </c>
      <c r="I61" s="30">
        <f>7.97*F61/10000</f>
        <v>0.1723114</v>
      </c>
      <c r="J61" s="33">
        <f>(3+3)*F61/10000</f>
        <v>0.12972</v>
      </c>
      <c r="K61" s="30">
        <v>0</v>
      </c>
      <c r="L61" s="30">
        <f t="shared" si="2"/>
        <v>0.30203140000000001</v>
      </c>
      <c r="M61" s="30">
        <f>(0.4+3)*F61/10000</f>
        <v>7.3508000000000004E-2</v>
      </c>
    </row>
    <row r="62" spans="1:13" ht="25" customHeight="1">
      <c r="A62" s="13">
        <v>47</v>
      </c>
      <c r="B62" s="21" t="s">
        <v>992</v>
      </c>
      <c r="C62" s="15" t="s">
        <v>993</v>
      </c>
      <c r="D62" s="16" t="s">
        <v>994</v>
      </c>
      <c r="E62" s="16" t="s">
        <v>329</v>
      </c>
      <c r="F62" s="28">
        <v>115</v>
      </c>
      <c r="G62" s="29">
        <v>0</v>
      </c>
      <c r="H62" s="30">
        <f t="shared" si="1"/>
        <v>0</v>
      </c>
      <c r="I62" s="30">
        <f>G62*F62/10000</f>
        <v>0</v>
      </c>
      <c r="J62" s="33">
        <v>0</v>
      </c>
      <c r="K62" s="30">
        <v>0</v>
      </c>
      <c r="L62" s="30">
        <f t="shared" si="2"/>
        <v>0</v>
      </c>
      <c r="M62" s="33">
        <f>5.5*F62/10000</f>
        <v>6.3250000000000001E-2</v>
      </c>
    </row>
    <row r="63" spans="1:13" ht="25" customHeight="1">
      <c r="A63" s="13">
        <v>48</v>
      </c>
      <c r="B63" s="21" t="s">
        <v>995</v>
      </c>
      <c r="C63" s="22" t="s">
        <v>961</v>
      </c>
      <c r="D63" s="23" t="s">
        <v>995</v>
      </c>
      <c r="E63" s="16" t="s">
        <v>329</v>
      </c>
      <c r="F63" s="17">
        <v>86.39</v>
      </c>
      <c r="G63" s="18">
        <v>9</v>
      </c>
      <c r="H63" s="19">
        <f t="shared" si="1"/>
        <v>7.7751000000000001E-2</v>
      </c>
      <c r="I63" s="19">
        <f>G63*F63/10000</f>
        <v>7.7751000000000001E-2</v>
      </c>
      <c r="J63" s="31">
        <v>0</v>
      </c>
      <c r="K63" s="19">
        <v>0</v>
      </c>
      <c r="L63" s="19">
        <f t="shared" si="2"/>
        <v>7.7751000000000001E-2</v>
      </c>
      <c r="M63" s="31">
        <v>0</v>
      </c>
    </row>
    <row r="64" spans="1:13" ht="25" customHeight="1">
      <c r="A64" s="13">
        <v>49</v>
      </c>
      <c r="B64" s="20" t="s">
        <v>996</v>
      </c>
      <c r="C64" s="23" t="s">
        <v>997</v>
      </c>
      <c r="D64" s="23" t="s">
        <v>998</v>
      </c>
      <c r="E64" s="16" t="s">
        <v>329</v>
      </c>
      <c r="F64" s="17">
        <v>73.400000000000006</v>
      </c>
      <c r="G64" s="18">
        <v>14.55</v>
      </c>
      <c r="H64" s="19">
        <f t="shared" si="1"/>
        <v>0.106797</v>
      </c>
      <c r="I64" s="19">
        <f>0*F64/10000</f>
        <v>0</v>
      </c>
      <c r="J64" s="31">
        <f>(3.27)*F64/10000</f>
        <v>2.40018E-2</v>
      </c>
      <c r="K64" s="19">
        <f>11.33*F64/10000</f>
        <v>8.3162200000000006E-2</v>
      </c>
      <c r="L64" s="19">
        <f t="shared" si="2"/>
        <v>0.107164</v>
      </c>
      <c r="M64" s="31">
        <v>0</v>
      </c>
    </row>
    <row r="65" spans="1:13" ht="25" customHeight="1">
      <c r="A65" s="13">
        <v>50</v>
      </c>
      <c r="B65" s="20" t="s">
        <v>999</v>
      </c>
      <c r="C65" s="23" t="s">
        <v>179</v>
      </c>
      <c r="D65" s="23" t="s">
        <v>1000</v>
      </c>
      <c r="E65" s="16" t="s">
        <v>329</v>
      </c>
      <c r="F65" s="17">
        <v>341.05</v>
      </c>
      <c r="G65" s="18">
        <v>14</v>
      </c>
      <c r="H65" s="19">
        <f t="shared" si="1"/>
        <v>0.47747000000000001</v>
      </c>
      <c r="I65" s="19">
        <f>7*F65/10000</f>
        <v>0.238735</v>
      </c>
      <c r="J65" s="31">
        <f>(3+4)*F65/10000</f>
        <v>0.238735</v>
      </c>
      <c r="K65" s="19">
        <v>0</v>
      </c>
      <c r="L65" s="19">
        <f t="shared" si="2"/>
        <v>0.47747000000000001</v>
      </c>
      <c r="M65" s="31">
        <v>0</v>
      </c>
    </row>
    <row r="66" spans="1:13" ht="25" customHeight="1">
      <c r="A66" s="332">
        <v>51</v>
      </c>
      <c r="B66" s="335" t="s">
        <v>1001</v>
      </c>
      <c r="C66" s="13" t="s">
        <v>1002</v>
      </c>
      <c r="D66" s="13" t="s">
        <v>1003</v>
      </c>
      <c r="E66" s="16" t="s">
        <v>329</v>
      </c>
      <c r="F66" s="34">
        <v>82.427999999999997</v>
      </c>
      <c r="G66" s="18">
        <v>2.5</v>
      </c>
      <c r="H66" s="19">
        <f t="shared" si="1"/>
        <v>2.0607E-2</v>
      </c>
      <c r="I66" s="19">
        <f>2.5*F66/10000</f>
        <v>2.0607E-2</v>
      </c>
      <c r="J66" s="19">
        <f>0*F66/10000</f>
        <v>0</v>
      </c>
      <c r="K66" s="19">
        <v>0</v>
      </c>
      <c r="L66" s="19">
        <f t="shared" si="2"/>
        <v>2.0607E-2</v>
      </c>
      <c r="M66" s="19">
        <f>0*F66/10000</f>
        <v>0</v>
      </c>
    </row>
    <row r="67" spans="1:13" ht="25" customHeight="1">
      <c r="A67" s="333"/>
      <c r="B67" s="336"/>
      <c r="C67" s="13" t="s">
        <v>1003</v>
      </c>
      <c r="D67" s="13" t="s">
        <v>1004</v>
      </c>
      <c r="E67" s="16" t="s">
        <v>329</v>
      </c>
      <c r="F67" s="17">
        <v>381.6</v>
      </c>
      <c r="G67" s="18">
        <v>4</v>
      </c>
      <c r="H67" s="19">
        <f t="shared" si="1"/>
        <v>0.15264</v>
      </c>
      <c r="I67" s="19">
        <f>4*F67/10000</f>
        <v>0.15264</v>
      </c>
      <c r="J67" s="19">
        <v>0</v>
      </c>
      <c r="K67" s="19">
        <f>(0)*F67/10000</f>
        <v>0</v>
      </c>
      <c r="L67" s="19">
        <f t="shared" si="2"/>
        <v>0.15264</v>
      </c>
      <c r="M67" s="19">
        <v>0</v>
      </c>
    </row>
    <row r="68" spans="1:13" ht="25" customHeight="1">
      <c r="A68" s="13">
        <v>52</v>
      </c>
      <c r="B68" s="20" t="s">
        <v>1005</v>
      </c>
      <c r="C68" s="23" t="s">
        <v>408</v>
      </c>
      <c r="D68" s="23" t="s">
        <v>1006</v>
      </c>
      <c r="E68" s="16" t="s">
        <v>329</v>
      </c>
      <c r="F68" s="17">
        <v>56.6</v>
      </c>
      <c r="G68" s="18">
        <v>11.9</v>
      </c>
      <c r="H68" s="19">
        <f t="shared" si="1"/>
        <v>6.7353999999999997E-2</v>
      </c>
      <c r="I68" s="19">
        <f>0*F68/10000</f>
        <v>0</v>
      </c>
      <c r="J68" s="31">
        <f>0*F68/10000</f>
        <v>0</v>
      </c>
      <c r="K68" s="19">
        <f>(2.3+2.6)*F68/10000</f>
        <v>2.7734000000000002E-2</v>
      </c>
      <c r="L68" s="19">
        <f t="shared" si="2"/>
        <v>2.7734000000000002E-2</v>
      </c>
      <c r="M68" s="31">
        <v>0</v>
      </c>
    </row>
    <row r="69" spans="1:13" ht="25" customHeight="1">
      <c r="A69" s="332">
        <v>53</v>
      </c>
      <c r="B69" s="335" t="s">
        <v>1007</v>
      </c>
      <c r="C69" s="35" t="s">
        <v>428</v>
      </c>
      <c r="D69" s="35" t="s">
        <v>1008</v>
      </c>
      <c r="E69" s="16" t="s">
        <v>329</v>
      </c>
      <c r="F69" s="17">
        <v>94.472999999999999</v>
      </c>
      <c r="G69" s="18">
        <v>24.5</v>
      </c>
      <c r="H69" s="19">
        <f t="shared" si="1"/>
        <v>0.23145884999999999</v>
      </c>
      <c r="I69" s="19">
        <f>18*F69/10000</f>
        <v>0.17005139999999999</v>
      </c>
      <c r="J69" s="31">
        <f>(3.5+3)*F69/10000</f>
        <v>6.1407450000000002E-2</v>
      </c>
      <c r="K69" s="19">
        <f>0*F69/10000</f>
        <v>0</v>
      </c>
      <c r="L69" s="19">
        <f t="shared" si="2"/>
        <v>0.23145884999999999</v>
      </c>
      <c r="M69" s="31">
        <v>0</v>
      </c>
    </row>
    <row r="70" spans="1:13" ht="25" customHeight="1">
      <c r="A70" s="333"/>
      <c r="B70" s="336"/>
      <c r="C70" s="35" t="s">
        <v>428</v>
      </c>
      <c r="D70" s="35" t="s">
        <v>1008</v>
      </c>
      <c r="E70" s="16" t="s">
        <v>329</v>
      </c>
      <c r="F70" s="17">
        <v>79.400000000000006</v>
      </c>
      <c r="G70" s="18">
        <v>22.5</v>
      </c>
      <c r="H70" s="19">
        <f t="shared" si="1"/>
        <v>0.17865</v>
      </c>
      <c r="I70" s="19">
        <f>16*F70/10000</f>
        <v>0.12703999999999999</v>
      </c>
      <c r="J70" s="31">
        <f>(3.5+3)*F70/10000</f>
        <v>5.1610000000000003E-2</v>
      </c>
      <c r="K70" s="19">
        <v>0</v>
      </c>
      <c r="L70" s="19">
        <f t="shared" si="2"/>
        <v>0.17865</v>
      </c>
      <c r="M70" s="31">
        <v>0</v>
      </c>
    </row>
    <row r="71" spans="1:13" ht="25" customHeight="1">
      <c r="A71" s="13">
        <v>54</v>
      </c>
      <c r="B71" s="21" t="s">
        <v>1009</v>
      </c>
      <c r="C71" s="23" t="s">
        <v>428</v>
      </c>
      <c r="D71" s="13" t="s">
        <v>1010</v>
      </c>
      <c r="E71" s="16" t="s">
        <v>329</v>
      </c>
      <c r="F71" s="17">
        <v>341</v>
      </c>
      <c r="G71" s="18">
        <v>8</v>
      </c>
      <c r="H71" s="19">
        <f t="shared" si="1"/>
        <v>0.27279999999999999</v>
      </c>
      <c r="I71" s="19">
        <f>8*F71/10000</f>
        <v>0.27279999999999999</v>
      </c>
      <c r="J71" s="31">
        <v>0</v>
      </c>
      <c r="K71" s="19">
        <v>0</v>
      </c>
      <c r="L71" s="19">
        <f t="shared" si="2"/>
        <v>0.27279999999999999</v>
      </c>
      <c r="M71" s="31">
        <v>0</v>
      </c>
    </row>
    <row r="72" spans="1:13" s="9" customFormat="1" ht="24" customHeight="1">
      <c r="A72" s="325" t="s">
        <v>325</v>
      </c>
      <c r="B72" s="326"/>
      <c r="C72" s="26"/>
      <c r="D72" s="10"/>
      <c r="E72" s="10"/>
      <c r="F72" s="27">
        <f>SUM(F25:F71)</f>
        <v>5989.8909999999996</v>
      </c>
      <c r="G72" s="27">
        <f t="shared" ref="G72:M72" si="8">SUM(G25:G71)</f>
        <v>408.75599999999997</v>
      </c>
      <c r="H72" s="27">
        <f t="shared" si="8"/>
        <v>4.964031394</v>
      </c>
      <c r="I72" s="27">
        <f t="shared" si="8"/>
        <v>3.24376409</v>
      </c>
      <c r="J72" s="27">
        <f t="shared" si="8"/>
        <v>0.87338280000000001</v>
      </c>
      <c r="K72" s="27">
        <f t="shared" si="8"/>
        <v>0.90882914400000003</v>
      </c>
      <c r="L72" s="32">
        <f t="shared" si="8"/>
        <v>5.0259760340000001</v>
      </c>
      <c r="M72" s="32">
        <f t="shared" si="8"/>
        <v>0.79078705999999999</v>
      </c>
    </row>
  </sheetData>
  <mergeCells count="28">
    <mergeCell ref="B66:B67"/>
    <mergeCell ref="B69:B70"/>
    <mergeCell ref="B34:B35"/>
    <mergeCell ref="B37:B38"/>
    <mergeCell ref="B50:B52"/>
    <mergeCell ref="B53:B54"/>
    <mergeCell ref="B57:B60"/>
    <mergeCell ref="B3:B4"/>
    <mergeCell ref="B18:B19"/>
    <mergeCell ref="B26:B27"/>
    <mergeCell ref="B28:B29"/>
    <mergeCell ref="B30:B31"/>
    <mergeCell ref="C18:D18"/>
    <mergeCell ref="C19:D19"/>
    <mergeCell ref="A24:B24"/>
    <mergeCell ref="A72:B72"/>
    <mergeCell ref="A3:A4"/>
    <mergeCell ref="A16:A17"/>
    <mergeCell ref="A26:A27"/>
    <mergeCell ref="A28:A29"/>
    <mergeCell ref="A30:A31"/>
    <mergeCell ref="A34:A35"/>
    <mergeCell ref="A37:A38"/>
    <mergeCell ref="A50:A52"/>
    <mergeCell ref="A53:A54"/>
    <mergeCell ref="A57:A60"/>
    <mergeCell ref="A66:A67"/>
    <mergeCell ref="A69:A70"/>
  </mergeCells>
  <phoneticPr fontId="2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5"/>
  <sheetViews>
    <sheetView workbookViewId="0">
      <selection activeCell="G35" sqref="G35"/>
    </sheetView>
  </sheetViews>
  <sheetFormatPr defaultColWidth="9" defaultRowHeight="14"/>
  <cols>
    <col min="1" max="1" width="10.08984375" customWidth="1"/>
    <col min="2" max="2" width="34.453125" customWidth="1"/>
    <col min="3" max="3" width="19.90625" customWidth="1"/>
  </cols>
  <sheetData>
    <row r="1" spans="1:3" ht="30" customHeight="1">
      <c r="A1" s="1" t="s">
        <v>0</v>
      </c>
      <c r="B1" s="1" t="s">
        <v>583</v>
      </c>
      <c r="C1" s="1" t="s">
        <v>1011</v>
      </c>
    </row>
    <row r="2" spans="1:3" ht="22" customHeight="1">
      <c r="A2" s="2">
        <v>1</v>
      </c>
      <c r="B2" s="3" t="s">
        <v>1012</v>
      </c>
      <c r="C2" s="2" t="s">
        <v>1013</v>
      </c>
    </row>
    <row r="3" spans="1:3" ht="22" customHeight="1">
      <c r="A3" s="2">
        <v>2</v>
      </c>
      <c r="B3" s="3" t="s">
        <v>1014</v>
      </c>
      <c r="C3" s="2" t="s">
        <v>1013</v>
      </c>
    </row>
    <row r="4" spans="1:3" ht="36" customHeight="1">
      <c r="A4" s="2">
        <v>3</v>
      </c>
      <c r="B4" s="3" t="s">
        <v>1015</v>
      </c>
      <c r="C4" s="2" t="s">
        <v>1016</v>
      </c>
    </row>
    <row r="5" spans="1:3" ht="22" customHeight="1">
      <c r="A5" s="2">
        <v>4</v>
      </c>
      <c r="B5" s="3" t="s">
        <v>1017</v>
      </c>
      <c r="C5" s="2" t="s">
        <v>1016</v>
      </c>
    </row>
    <row r="6" spans="1:3" ht="22" customHeight="1">
      <c r="A6" s="2">
        <v>5</v>
      </c>
      <c r="B6" s="3" t="s">
        <v>1018</v>
      </c>
      <c r="C6" s="2" t="s">
        <v>1016</v>
      </c>
    </row>
    <row r="7" spans="1:3" ht="22" customHeight="1">
      <c r="A7" s="2">
        <v>6</v>
      </c>
      <c r="B7" s="3" t="s">
        <v>1019</v>
      </c>
      <c r="C7" s="2" t="s">
        <v>1013</v>
      </c>
    </row>
    <row r="8" spans="1:3" ht="22" customHeight="1">
      <c r="A8" s="2">
        <v>7</v>
      </c>
      <c r="B8" s="3" t="s">
        <v>1020</v>
      </c>
      <c r="C8" s="2" t="s">
        <v>1013</v>
      </c>
    </row>
    <row r="9" spans="1:3" ht="34" customHeight="1">
      <c r="A9" s="2">
        <v>8</v>
      </c>
      <c r="B9" s="3" t="s">
        <v>1021</v>
      </c>
      <c r="C9" s="2" t="s">
        <v>1013</v>
      </c>
    </row>
    <row r="10" spans="1:3" ht="22" customHeight="1">
      <c r="A10" s="2">
        <v>9</v>
      </c>
      <c r="B10" s="3" t="s">
        <v>1022</v>
      </c>
      <c r="C10" s="2" t="s">
        <v>1016</v>
      </c>
    </row>
    <row r="11" spans="1:3" ht="22" customHeight="1">
      <c r="A11" s="2">
        <v>10</v>
      </c>
      <c r="B11" s="3" t="s">
        <v>1023</v>
      </c>
      <c r="C11" s="2" t="s">
        <v>1016</v>
      </c>
    </row>
    <row r="12" spans="1:3" ht="22" customHeight="1">
      <c r="A12" s="2">
        <v>11</v>
      </c>
      <c r="B12" s="3" t="s">
        <v>130</v>
      </c>
      <c r="C12" s="2" t="s">
        <v>1016</v>
      </c>
    </row>
    <row r="13" spans="1:3" ht="22" customHeight="1">
      <c r="A13" s="2">
        <v>12</v>
      </c>
      <c r="B13" s="3" t="s">
        <v>1024</v>
      </c>
      <c r="C13" s="2" t="s">
        <v>1013</v>
      </c>
    </row>
    <row r="14" spans="1:3" ht="22" customHeight="1">
      <c r="A14" s="2">
        <v>13</v>
      </c>
      <c r="B14" s="3" t="s">
        <v>1025</v>
      </c>
      <c r="C14" s="2" t="s">
        <v>1026</v>
      </c>
    </row>
    <row r="15" spans="1:3" ht="22" customHeight="1">
      <c r="A15" s="2">
        <v>14</v>
      </c>
      <c r="B15" s="3" t="s">
        <v>1027</v>
      </c>
      <c r="C15" s="2" t="s">
        <v>1026</v>
      </c>
    </row>
    <row r="16" spans="1:3" ht="22" customHeight="1">
      <c r="A16" s="2">
        <v>15</v>
      </c>
      <c r="B16" s="2" t="s">
        <v>1028</v>
      </c>
      <c r="C16" s="2" t="s">
        <v>1029</v>
      </c>
    </row>
    <row r="17" spans="1:3" ht="22" customHeight="1">
      <c r="A17" s="2">
        <v>16</v>
      </c>
      <c r="B17" s="2" t="s">
        <v>1030</v>
      </c>
      <c r="C17" s="2" t="s">
        <v>1013</v>
      </c>
    </row>
    <row r="18" spans="1:3" ht="22" customHeight="1">
      <c r="A18" s="2">
        <v>17</v>
      </c>
      <c r="B18" s="2" t="s">
        <v>1031</v>
      </c>
      <c r="C18" s="2" t="s">
        <v>1013</v>
      </c>
    </row>
    <row r="19" spans="1:3" ht="22" customHeight="1">
      <c r="A19" s="2">
        <v>18</v>
      </c>
      <c r="B19" s="2" t="s">
        <v>1032</v>
      </c>
      <c r="C19" s="2" t="s">
        <v>1013</v>
      </c>
    </row>
    <row r="20" spans="1:3" ht="22" customHeight="1">
      <c r="A20" s="4" t="s">
        <v>1033</v>
      </c>
      <c r="B20" s="4">
        <v>18</v>
      </c>
      <c r="C20" s="5"/>
    </row>
    <row r="21" spans="1:3" ht="22" customHeight="1">
      <c r="A21" s="2">
        <v>1</v>
      </c>
      <c r="B21" s="2" t="s">
        <v>1034</v>
      </c>
      <c r="C21" s="2"/>
    </row>
    <row r="22" spans="1:3" ht="22" customHeight="1">
      <c r="A22" s="2">
        <v>2</v>
      </c>
      <c r="B22" s="2" t="s">
        <v>1035</v>
      </c>
      <c r="C22" s="2"/>
    </row>
    <row r="23" spans="1:3" ht="22" customHeight="1">
      <c r="A23" s="2">
        <v>3</v>
      </c>
      <c r="B23" s="2" t="s">
        <v>1036</v>
      </c>
      <c r="C23" s="2"/>
    </row>
    <row r="24" spans="1:3" ht="22" customHeight="1">
      <c r="A24" s="2">
        <v>4</v>
      </c>
      <c r="B24" s="2" t="s">
        <v>1037</v>
      </c>
      <c r="C24" s="2"/>
    </row>
    <row r="25" spans="1:3" ht="22" customHeight="1">
      <c r="A25" s="2">
        <v>5</v>
      </c>
      <c r="B25" s="2" t="s">
        <v>1038</v>
      </c>
      <c r="C25" s="2"/>
    </row>
    <row r="26" spans="1:3" ht="22" customHeight="1">
      <c r="A26" s="2">
        <v>6</v>
      </c>
      <c r="B26" s="2" t="s">
        <v>1039</v>
      </c>
      <c r="C26" s="2"/>
    </row>
    <row r="27" spans="1:3" ht="22" customHeight="1">
      <c r="A27" s="2">
        <v>7</v>
      </c>
      <c r="B27" s="2" t="s">
        <v>1040</v>
      </c>
      <c r="C27" s="2"/>
    </row>
    <row r="28" spans="1:3" ht="22" customHeight="1">
      <c r="A28" s="2">
        <v>8</v>
      </c>
      <c r="B28" s="2" t="s">
        <v>1041</v>
      </c>
      <c r="C28" s="2"/>
    </row>
    <row r="29" spans="1:3" ht="22" customHeight="1">
      <c r="A29" s="2">
        <v>9</v>
      </c>
      <c r="B29" s="6" t="s">
        <v>1042</v>
      </c>
      <c r="C29" s="2"/>
    </row>
    <row r="30" spans="1:3" ht="22" customHeight="1">
      <c r="A30" s="2">
        <v>10</v>
      </c>
      <c r="B30" s="2" t="s">
        <v>1043</v>
      </c>
      <c r="C30" s="2"/>
    </row>
    <row r="31" spans="1:3" ht="22" customHeight="1">
      <c r="A31" s="2">
        <v>11</v>
      </c>
      <c r="B31" s="2" t="s">
        <v>1044</v>
      </c>
      <c r="C31" s="2"/>
    </row>
    <row r="32" spans="1:3" ht="22" customHeight="1">
      <c r="A32" s="2">
        <v>12</v>
      </c>
      <c r="B32" s="2" t="s">
        <v>1045</v>
      </c>
      <c r="C32" s="2"/>
    </row>
    <row r="33" spans="1:3" ht="22" customHeight="1">
      <c r="A33" s="4" t="s">
        <v>1033</v>
      </c>
      <c r="B33" s="4">
        <v>12</v>
      </c>
      <c r="C33" s="7"/>
    </row>
    <row r="34" spans="1:3" ht="22" customHeight="1">
      <c r="A34" s="4" t="s">
        <v>1046</v>
      </c>
      <c r="B34" s="4">
        <f>B33+B20</f>
        <v>30</v>
      </c>
      <c r="C34" s="4"/>
    </row>
    <row r="35" spans="1:3">
      <c r="A35" s="8"/>
      <c r="B35" s="8"/>
      <c r="C35" s="8"/>
    </row>
  </sheetData>
  <phoneticPr fontId="2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道路（设施量内）</vt:lpstr>
      <vt:lpstr>街巷（设施量内）</vt:lpstr>
      <vt:lpstr>公厕（设施量内）</vt:lpstr>
      <vt:lpstr>设施量外道路</vt:lpstr>
      <vt:lpstr>设施量外街巷</vt:lpstr>
      <vt:lpstr>设施量外公厕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</cp:lastModifiedBy>
  <dcterms:created xsi:type="dcterms:W3CDTF">2023-05-12T11:15:00Z</dcterms:created>
  <dcterms:modified xsi:type="dcterms:W3CDTF">2025-09-16T02:39:28Z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BAAAD3A8846741A3A3D560E8FDF0D204_13</vt:lpwstr>
  </property>
</Properties>
</file>