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2025批次" sheetId="2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<sst xmlns="http://schemas.openxmlformats.org/spreadsheetml/2006/main" count="195" uniqueCount="111">
  <si>
    <t>新吴区2025批次开放式公园管理服务项目</t>
  </si>
  <si>
    <t>公园名称</t>
  </si>
  <si>
    <t>公园范围</t>
  </si>
  <si>
    <t>标段</t>
  </si>
  <si>
    <t>属地</t>
  </si>
  <si>
    <t>公园养护等级</t>
  </si>
  <si>
    <t>设施养护等级</t>
  </si>
  <si>
    <t>绿地面积（m2）</t>
  </si>
  <si>
    <t>本轮限价（元/m2）</t>
  </si>
  <si>
    <t>绿化养护费(元)</t>
  </si>
  <si>
    <t>道路广场面积（m2）</t>
  </si>
  <si>
    <t xml:space="preserve">环卫保洁费(元)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</si>
  <si>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设施面积（m2）</t>
  </si>
  <si>
    <t>设施维护费(元)</t>
  </si>
  <si>
    <t>安保巡防面积（m2）</t>
  </si>
  <si>
    <t>安保巡防费(元)</t>
  </si>
  <si>
    <t>水域面积（m2）</t>
  </si>
  <si>
    <t>水体养护费(元)</t>
  </si>
  <si>
    <t>草花面积（m2）</t>
  </si>
  <si>
    <t>草花费用(元)</t>
  </si>
  <si>
    <t>占地面积（m2）</t>
  </si>
  <si>
    <t>公厕费用</t>
  </si>
  <si>
    <t>年养护费（需要包含公厕费用）</t>
  </si>
  <si>
    <t>其中年保洁安保费用（需要包含公厕费用）</t>
  </si>
  <si>
    <t>竣工验收日期（绿化预验收）</t>
  </si>
  <si>
    <t>预计移交时间（一体化管养）</t>
  </si>
  <si>
    <t>2025年合同价</t>
  </si>
  <si>
    <t>2026年合同价</t>
  </si>
  <si>
    <t>2027年合同价</t>
  </si>
  <si>
    <t>3年合计</t>
  </si>
  <si>
    <t>备注</t>
  </si>
  <si>
    <t>伯渎河一期公园</t>
  </si>
  <si>
    <t>锡兴路-312国道</t>
  </si>
  <si>
    <t>一期西区</t>
  </si>
  <si>
    <t>区属</t>
  </si>
  <si>
    <t>一级</t>
  </si>
  <si>
    <t>二级</t>
  </si>
  <si>
    <t>2025.4月</t>
  </si>
  <si>
    <t>公厕5座，限价10万/座/年；按年度报价，结算按实际移交月份按比例折算。</t>
  </si>
  <si>
    <t>伯渎河文化中心停车场红线内景观</t>
  </si>
  <si>
    <t>三级</t>
  </si>
  <si>
    <t>2024.10.10</t>
  </si>
  <si>
    <t>2027.1月</t>
  </si>
  <si>
    <t>伯渎河二期公园</t>
  </si>
  <si>
    <t>伯渎河两侧，兴昌南路-锡兴路</t>
  </si>
  <si>
    <t>景观一标段伯渎河二期（兴昌南路-机场路）</t>
  </si>
  <si>
    <t>江溪街道</t>
  </si>
  <si>
    <t>2023.4.26</t>
  </si>
  <si>
    <t>公厕2座，限价10万/座/年；按年度报价，结算按实际移交月份按比例折算。</t>
  </si>
  <si>
    <t>景观二标段伯渎河二期（机场路-锡兴路）</t>
  </si>
  <si>
    <t>旺庄街道</t>
  </si>
  <si>
    <t>2023.04.26</t>
  </si>
  <si>
    <t>伯渎河生态治理工程二期项目江溪段儿童设施采购</t>
  </si>
  <si>
    <t>江溪、旺庄</t>
  </si>
  <si>
    <t>2023.1.18</t>
  </si>
  <si>
    <t>伯渎河生态治理工程二期项目江溪段标识导视系统</t>
  </si>
  <si>
    <t>伯渎河生态环境治理项目二期工程江溪段B3人行景观桥</t>
  </si>
  <si>
    <t>2023.12.12</t>
  </si>
  <si>
    <t>长江路（太湖大道-泰山路）改造工程CJL1标-4号桥东侧人行桥（雅园桥）</t>
  </si>
  <si>
    <t>2021.12.23</t>
  </si>
  <si>
    <t>B1、B2、B4人行桥、B6、前进桥、B4人行步道桥工程</t>
  </si>
  <si>
    <t>2023.11.20</t>
  </si>
  <si>
    <t>新吴区伯渎河生态治理工程二期项目 亮化提升工程（一）</t>
  </si>
  <si>
    <t>2024.11.25</t>
  </si>
  <si>
    <t>2026.12月</t>
  </si>
  <si>
    <t>新吴区伯渎河生态治理工程二期项目（江溪书屋）</t>
  </si>
  <si>
    <t>江溪</t>
  </si>
  <si>
    <t>2022.9.10</t>
  </si>
  <si>
    <t>新吴区城市停车场一期工程——学志路停车场北出入口步道景观绿化工程</t>
  </si>
  <si>
    <t>2022.12.30</t>
  </si>
  <si>
    <t>伯渎河招商城段（塘南路-兴昌南路）</t>
  </si>
  <si>
    <t>2025.12.31</t>
  </si>
  <si>
    <t>伯渎河东区公园</t>
  </si>
  <si>
    <t>伯渎河两侧，312-高浪路</t>
  </si>
  <si>
    <t>景观一标段伯渎河（新风路-高浪路）南岸</t>
  </si>
  <si>
    <t>2024.5.7</t>
  </si>
  <si>
    <t>2025.6月</t>
  </si>
  <si>
    <t>景观二标段伯渎河二期（伯渎河水利枢纽-高浪路）北岸</t>
  </si>
  <si>
    <t>2024.12.28</t>
  </si>
  <si>
    <t>2026.1月</t>
  </si>
  <si>
    <t>伯渎河（锡兴路-高浪路）生态环境治理工程312国道至高浪路景观绿化工程(三标段)</t>
  </si>
  <si>
    <t>2023.12.18</t>
  </si>
  <si>
    <t>无锡伯渎河东段(锡梅路至高浪路南岸)景观</t>
  </si>
  <si>
    <t>2023.5.8</t>
  </si>
  <si>
    <t>伯渎河（锡兴路-高浪路）生态环境治理工程-312国道至高浪路段儿童游乐设施采购工程</t>
  </si>
  <si>
    <t>2024.3.30</t>
  </si>
  <si>
    <t>2026.4月</t>
  </si>
  <si>
    <t>伯渎河（锡兴路-高浪路）生态环境治理工程、凤鸣桥亮化工程</t>
  </si>
  <si>
    <t>2023.12.1</t>
  </si>
  <si>
    <t>伯渎河体育游园</t>
  </si>
  <si>
    <t>锡梅路以东、泰伯大道以南、伯渎河以北</t>
  </si>
  <si>
    <t>新吴区游园停车场一体化工程-伯渎河体育游园停车场</t>
  </si>
  <si>
    <t>2024.11.8</t>
  </si>
  <si>
    <t>伯渎港生态安全缓冲区建设项目（伯渎河公园梅村段、鸿山段）</t>
  </si>
  <si>
    <t>梅村段（高浪路-新华路）两岸</t>
  </si>
  <si>
    <t>梅村段（高浪路-新洲路）</t>
  </si>
  <si>
    <t>梅村</t>
  </si>
  <si>
    <t>2026.8月</t>
  </si>
  <si>
    <t>梅村段（新洲路-新华路）</t>
  </si>
  <si>
    <t>鸿山段（鸿山路-飞凤路）两岸</t>
  </si>
  <si>
    <t>鸿山段（鸿山路-飞凤路）</t>
  </si>
  <si>
    <t>区属、鸿山</t>
  </si>
  <si>
    <t>2028.1月</t>
  </si>
  <si>
    <t>新洲康乐休闲园</t>
  </si>
  <si>
    <t>高浪路机场路桥下空间</t>
  </si>
  <si>
    <t>2023.9.8</t>
  </si>
  <si>
    <t>公厕1座，限价10万/座/年；按年度报价，结算按实际移交月份按比例折算。</t>
  </si>
  <si>
    <t>合计</t>
  </si>
  <si>
    <t>特殊景观设施（喷泉、投影仪等）</t>
  </si>
  <si>
    <t>特殊景观设施（喷泉、投影仪等）限价40万/年；按年度报价，结算按实际移交月份按比例折算。</t>
  </si>
  <si>
    <t>注意事项：
1.绿地面积包含草花面积，所有设施仅计算占地投影面积，设施面积=公园占地总面积-绿地面积-水域面积，设施面积包含道路广场面积以及其他设施面积，绿地面积+设施面积=安保巡防面积。
2.公厕一级养护标准限价10万/座/年，特殊景观设施（喷泉、投影仪等）限价40万/年；按年度报价，结算按实际移交月份按比例折算。
3.竣工验收后仅接管保安保洁，质保期满后一体化接管。计算举例：伯渎河二期一标段，将于2025年4月移交一体化管理，2025年费用为年养护费/12*9；伯渎河梅村段将于2025年7月竣工后移交保安保洁、2026年8月质保期满一体化移交，计算公式为2025年养护费=保安保洁费用/12*5,2026养护费=保安保洁费用/12*7+年养护费/12*5。计算举例：伯渎河二期一标段，将于2025年4月移交一体化管理，2025年费用为年养护费/12*9；伯渎河梅村段将于2025年7月竣工后移交保安保洁、2026年8月质保期满一体化移交，计算公式为2025年养护费=保安保洁费用/12*5,2026养护费=保安保洁费用/12*7+年养护费/12*5。
4、相同养护等级的报价必须相同。
   投标供应商：                （盖章）
   法定代表人或委托代理人：            （签字或盖章）
   日期：      年     月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</si>
</sst>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0_);[Red]\(0\)"/>
  </numFmts>
  <fonts count="4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/>
    <xf numFmtId="0" fontId="43" fillId="0" borderId="0"/>
  </cellStyleXfs>
  <cellXfs count="97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 applyProtection="1">
      <alignment horizontal="center"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/>
      <protection locked="0"/>
    </xf>
    <xf numFmtId="0" fontId="3" fillId="0" borderId="2" xfId="5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7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1" applyFont="1" applyFill="1" applyBorder="1" applyAlignment="1" applyProtection="1">
      <alignment horizontal="center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58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  <protection locked="0"/>
    </xf>
    <xf numFmtId="176" fontId="7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 wrapText="1"/>
    </xf>
    <xf numFmtId="177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1" xfId="51" applyFont="1" applyFill="1" applyBorder="1" applyAlignment="1" applyProtection="1">
      <alignment horizontal="center" vertical="center" wrapText="1"/>
      <protection locked="0"/>
    </xf>
    <xf numFmtId="178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50" applyNumberFormat="1" applyFont="1" applyFill="1" applyBorder="1" applyAlignment="1" applyProtection="1">
      <alignment horizontal="center" vertical="center" wrapText="1"/>
    </xf>
    <xf numFmtId="177" fontId="4" fillId="0" borderId="1" xfId="5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51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/>
    </xf>
    <xf numFmtId="177" fontId="10" fillId="0" borderId="1" xfId="51" applyNumberFormat="1" applyFont="1" applyFill="1" applyBorder="1" applyAlignment="1" applyProtection="1">
      <alignment horizontal="center" vertical="center"/>
    </xf>
    <xf numFmtId="177" fontId="6" fillId="0" borderId="1" xfId="51" applyNumberFormat="1" applyFont="1" applyFill="1" applyBorder="1" applyAlignment="1" applyProtection="1">
      <alignment horizontal="center" vertical="center"/>
    </xf>
    <xf numFmtId="177" fontId="6" fillId="0" borderId="1" xfId="51" applyNumberFormat="1" applyFont="1" applyFill="1" applyBorder="1" applyAlignment="1" applyProtection="1">
      <alignment horizontal="center" vertical="center" wrapText="1"/>
    </xf>
    <xf numFmtId="178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4" fillId="0" borderId="7" xfId="0" applyNumberFormat="1" applyFont="1" applyFill="1" applyBorder="1" applyAlignment="1" applyProtection="1">
      <alignment horizontal="center" vertical="center" wrapText="1"/>
    </xf>
    <xf numFmtId="177" fontId="11" fillId="0" borderId="1" xfId="51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7" fillId="0" borderId="1" xfId="49" applyNumberFormat="1" applyFont="1" applyFill="1" applyBorder="1" applyAlignment="1" applyProtection="1">
      <alignment horizontal="center" vertical="center" wrapText="1"/>
    </xf>
    <xf numFmtId="177" fontId="7" fillId="0" borderId="1" xfId="5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178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8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178" fontId="7" fillId="0" borderId="1" xfId="51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/>
    </xf>
    <xf numFmtId="178" fontId="2" fillId="0" borderId="1" xfId="51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78" fontId="4" fillId="2" borderId="1" xfId="5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14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 applyProtection="1">
      <alignment vertical="center" wrapText="1"/>
    </xf>
    <xf numFmtId="179" fontId="15" fillId="0" borderId="1" xfId="51" applyNumberFormat="1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179" fontId="7" fillId="0" borderId="1" xfId="5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9" fontId="4" fillId="0" borderId="1" xfId="51" applyNumberFormat="1" applyFont="1" applyFill="1" applyBorder="1" applyAlignment="1" applyProtection="1">
      <alignment horizontal="center" vertical="center" wrapText="1"/>
    </xf>
    <xf numFmtId="179" fontId="4" fillId="0" borderId="4" xfId="51" applyNumberFormat="1" applyFont="1" applyFill="1" applyBorder="1" applyAlignment="1" applyProtection="1">
      <alignment horizontal="center" vertical="center" wrapText="1"/>
    </xf>
    <xf numFmtId="179" fontId="4" fillId="0" borderId="1" xfId="51" applyNumberFormat="1" applyFont="1" applyFill="1" applyBorder="1" applyAlignment="1" applyProtection="1">
      <alignment vertical="center" wrapText="1"/>
    </xf>
    <xf numFmtId="179" fontId="17" fillId="0" borderId="1" xfId="51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justify" vertical="center"/>
    </xf>
    <xf numFmtId="179" fontId="19" fillId="0" borderId="1" xfId="5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  <protection locked="0"/>
    </xf>
    <xf numFmtId="179" fontId="20" fillId="0" borderId="1" xfId="51" applyNumberFormat="1" applyFont="1" applyFill="1" applyBorder="1" applyAlignment="1" applyProtection="1">
      <alignment horizontal="center" vertical="center" wrapText="1"/>
    </xf>
    <xf numFmtId="178" fontId="21" fillId="0" borderId="4" xfId="0" applyNumberFormat="1" applyFont="1" applyBorder="1" applyAlignment="1" applyProtection="1">
      <alignment vertical="center"/>
    </xf>
    <xf numFmtId="178" fontId="14" fillId="2" borderId="1" xfId="50" applyNumberFormat="1" applyFont="1" applyFill="1" applyBorder="1" applyAlignment="1" applyProtection="1">
      <alignment horizontal="center" vertical="center" wrapText="1"/>
    </xf>
    <xf numFmtId="178" fontId="21" fillId="0" borderId="5" xfId="0" applyNumberFormat="1" applyFont="1" applyBorder="1" applyAlignment="1" applyProtection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标绿地2016年12月养护费计量表" xfId="49"/>
    <cellStyle name="常规 2" xfId="50"/>
    <cellStyle name="常规 3" xfId="51"/>
    <cellStyle name="常规 4" xfId="52"/>
    <cellStyle name="常规_Sheet1" xfId="53"/>
    <cellStyle name="常规_政府性专项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40580\Documents\WeChat%20Files\wxid_93x0t4uss27221\FileStorage\File\2024-11\&#36890;&#35759;&#24405;+&#20859;&#25252;&#36153;&#27979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讯录"/>
      <sheetName val="亮化照明"/>
    </sheetNames>
    <sheetDataSet>
      <sheetData sheetId="0" refreshError="1">
        <row r="5">
          <cell r="H5">
            <v>48703.34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0"/>
  <sheetViews>
    <sheetView tabSelected="1" zoomScale="85" zoomScaleNormal="85" workbookViewId="0">
      <pane ySplit="2" topLeftCell="A23" activePane="bottomLeft" state="frozen"/>
      <selection/>
      <selection pane="bottomLeft" activeCell="A30" sqref="A30:AI30"/>
    </sheetView>
  </sheetViews>
  <sheetFormatPr defaultColWidth="9" defaultRowHeight="13.5"/>
  <cols>
    <col min="1" max="1" width="7.5" style="2" customWidth="1"/>
    <col min="2" max="2" width="8.375" style="2" customWidth="1"/>
    <col min="3" max="3" width="18.3833333333333" style="2" customWidth="1"/>
    <col min="4" max="4" width="8.08333333333333" style="2" customWidth="1"/>
    <col min="5" max="5" width="7.79166666666667" style="2" customWidth="1"/>
    <col min="6" max="6" width="7.64166666666667" style="2" customWidth="1"/>
    <col min="7" max="7" width="8.975" style="2" customWidth="1"/>
    <col min="8" max="8" width="8.5" style="2" customWidth="1"/>
    <col min="9" max="9" width="8.66666666666667" style="2" customWidth="1"/>
    <col min="10" max="10" width="9.375" style="2" customWidth="1"/>
    <col min="11" max="11" width="7.625" style="2" customWidth="1"/>
    <col min="12" max="12" width="10" style="2" customWidth="1"/>
    <col min="13" max="13" width="10.1416666666667" style="2" customWidth="1"/>
    <col min="14" max="14" width="8.5" style="2" customWidth="1"/>
    <col min="15" max="15" width="10.1416666666667" style="2" customWidth="1"/>
    <col min="16" max="16" width="10.5833333333333" style="2" customWidth="1"/>
    <col min="17" max="17" width="9.55833333333333" style="2" customWidth="1"/>
    <col min="18" max="18" width="9.40833333333333" style="2" customWidth="1"/>
    <col min="19" max="19" width="9.85833333333333" style="2" customWidth="1"/>
    <col min="20" max="20" width="9.40833333333333" style="2" customWidth="1"/>
    <col min="21" max="21" width="10.2916666666667" style="2" customWidth="1"/>
    <col min="22" max="22" width="10.1416666666667" style="2" customWidth="1"/>
    <col min="23" max="23" width="10.2916666666667" style="2" customWidth="1"/>
    <col min="24" max="24" width="8.525" style="2" customWidth="1"/>
    <col min="25" max="26" width="10.1416666666667" style="2" customWidth="1"/>
    <col min="27" max="27" width="11.1666666666667" style="2" customWidth="1"/>
    <col min="28" max="28" width="9.99166666666667" style="2" customWidth="1"/>
    <col min="29" max="29" width="10.0416666666667" style="2" customWidth="1"/>
    <col min="30" max="30" width="9.7" style="2" customWidth="1"/>
    <col min="31" max="31" width="9.4" style="2" customWidth="1"/>
    <col min="32" max="32" width="8.96666666666667" style="2" customWidth="1"/>
    <col min="33" max="33" width="8.81666666666667" style="2" customWidth="1"/>
    <col min="34" max="34" width="11.6083333333333" style="2" customWidth="1"/>
    <col min="35" max="35" width="24.8583333333333" style="2" customWidth="1"/>
    <col min="36" max="36" width="40.3833333333333" style="3" customWidth="1"/>
    <col min="37" max="16384" width="9" style="2"/>
  </cols>
  <sheetData>
    <row r="1" ht="49" customHeight="1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ht="64" customHeight="1" spans="1:3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41" t="s">
        <v>10</v>
      </c>
      <c r="K2" s="41" t="s">
        <v>8</v>
      </c>
      <c r="L2" s="41" t="s">
        <v>11</v>
      </c>
      <c r="M2" s="41" t="s">
        <v>12</v>
      </c>
      <c r="N2" s="41" t="s">
        <v>8</v>
      </c>
      <c r="O2" s="41" t="s">
        <v>13</v>
      </c>
      <c r="P2" s="41" t="s">
        <v>14</v>
      </c>
      <c r="Q2" s="41" t="s">
        <v>8</v>
      </c>
      <c r="R2" s="41" t="s">
        <v>15</v>
      </c>
      <c r="S2" s="41" t="s">
        <v>16</v>
      </c>
      <c r="T2" s="41" t="s">
        <v>8</v>
      </c>
      <c r="U2" s="41" t="s">
        <v>17</v>
      </c>
      <c r="V2" s="41" t="s">
        <v>18</v>
      </c>
      <c r="W2" s="41" t="s">
        <v>8</v>
      </c>
      <c r="X2" s="41" t="s">
        <v>19</v>
      </c>
      <c r="Y2" s="41" t="s">
        <v>20</v>
      </c>
      <c r="Z2" s="5" t="s">
        <v>21</v>
      </c>
      <c r="AA2" s="5" t="s">
        <v>22</v>
      </c>
      <c r="AB2" s="5" t="s">
        <v>23</v>
      </c>
      <c r="AC2" s="61" t="s">
        <v>24</v>
      </c>
      <c r="AD2" s="61" t="s">
        <v>25</v>
      </c>
      <c r="AE2" s="5" t="s">
        <v>26</v>
      </c>
      <c r="AF2" s="5" t="s">
        <v>27</v>
      </c>
      <c r="AG2" s="5" t="s">
        <v>28</v>
      </c>
      <c r="AH2" s="79" t="s">
        <v>29</v>
      </c>
      <c r="AI2" s="5" t="s">
        <v>30</v>
      </c>
    </row>
    <row r="3" ht="60" customHeight="1" spans="1:35">
      <c r="A3" s="8" t="s">
        <v>31</v>
      </c>
      <c r="B3" s="8" t="s">
        <v>32</v>
      </c>
      <c r="C3" s="5" t="s">
        <v>33</v>
      </c>
      <c r="D3" s="6" t="s">
        <v>34</v>
      </c>
      <c r="E3" s="6" t="s">
        <v>35</v>
      </c>
      <c r="F3" s="9" t="s">
        <v>36</v>
      </c>
      <c r="G3" s="10">
        <v>162350.92</v>
      </c>
      <c r="H3" s="11">
        <v>6.88</v>
      </c>
      <c r="I3" s="42">
        <f>G3*H3</f>
        <v>1116974.3296</v>
      </c>
      <c r="J3" s="43">
        <v>36732</v>
      </c>
      <c r="K3" s="11">
        <v>8.01</v>
      </c>
      <c r="L3" s="42">
        <f t="shared" ref="L3:L8" si="0">J3*K3</f>
        <v>294223.32</v>
      </c>
      <c r="M3" s="43">
        <v>37933.0472388292</v>
      </c>
      <c r="N3" s="11">
        <v>4.55</v>
      </c>
      <c r="O3" s="42">
        <f t="shared" ref="O3:O8" si="1">M3*N3</f>
        <v>172595.364936673</v>
      </c>
      <c r="P3" s="43">
        <f t="shared" ref="P3:P8" si="2">M3+G3</f>
        <v>200283.967238829</v>
      </c>
      <c r="Q3" s="11">
        <v>3.68</v>
      </c>
      <c r="R3" s="42">
        <f t="shared" ref="R3:R8" si="3">P3*Q3</f>
        <v>737044.999438892</v>
      </c>
      <c r="S3" s="44">
        <f>3200+15000</f>
        <v>18200</v>
      </c>
      <c r="T3" s="11">
        <v>1.26</v>
      </c>
      <c r="U3" s="42">
        <f t="shared" ref="U3:U8" si="4">S3*T3</f>
        <v>22932</v>
      </c>
      <c r="V3" s="44">
        <v>350</v>
      </c>
      <c r="W3" s="11">
        <f>W5</f>
        <v>309.231</v>
      </c>
      <c r="X3" s="42">
        <f t="shared" ref="X3:X8" si="5">V3*W3</f>
        <v>108230.85</v>
      </c>
      <c r="Y3" s="43">
        <f>S3+M3+G3</f>
        <v>218483.967238829</v>
      </c>
      <c r="Z3" s="42">
        <v>500000</v>
      </c>
      <c r="AA3" s="62">
        <f>X3+U3+R3+O3+L3+I3+Z3</f>
        <v>2952000.86397556</v>
      </c>
      <c r="AB3" s="62">
        <f t="shared" ref="AB3:AB8" si="6">L3+R3</f>
        <v>1031268.31943889</v>
      </c>
      <c r="AC3" s="26">
        <v>2020</v>
      </c>
      <c r="AD3" s="26" t="s">
        <v>37</v>
      </c>
      <c r="AE3" s="43">
        <f>AA3/12*9</f>
        <v>2214000.64798167</v>
      </c>
      <c r="AF3" s="43">
        <f>AA3/12*12</f>
        <v>2952000.86397556</v>
      </c>
      <c r="AG3" s="43">
        <f t="shared" ref="AG3:AG8" si="7">AA3/12*12</f>
        <v>2952000.86397556</v>
      </c>
      <c r="AH3" s="43">
        <f>SUM(AE3:AG3)</f>
        <v>8118002.3759328</v>
      </c>
      <c r="AI3" s="80" t="s">
        <v>38</v>
      </c>
    </row>
    <row r="4" ht="57" customHeight="1" spans="1:35">
      <c r="A4" s="12"/>
      <c r="B4" s="13"/>
      <c r="C4" s="5" t="s">
        <v>39</v>
      </c>
      <c r="D4" s="6" t="s">
        <v>34</v>
      </c>
      <c r="E4" s="6" t="s">
        <v>35</v>
      </c>
      <c r="F4" s="6" t="s">
        <v>40</v>
      </c>
      <c r="G4" s="10">
        <v>4577</v>
      </c>
      <c r="H4" s="11">
        <v>6.88</v>
      </c>
      <c r="I4" s="42">
        <f>G4*H4</f>
        <v>31489.76</v>
      </c>
      <c r="J4" s="43">
        <v>2148</v>
      </c>
      <c r="K4" s="11">
        <v>8.01</v>
      </c>
      <c r="L4" s="42">
        <f t="shared" si="0"/>
        <v>17205.48</v>
      </c>
      <c r="M4" s="43">
        <v>2148.03</v>
      </c>
      <c r="N4" s="11">
        <v>3.78</v>
      </c>
      <c r="O4" s="42">
        <f t="shared" si="1"/>
        <v>8119.5534</v>
      </c>
      <c r="P4" s="43">
        <f t="shared" si="2"/>
        <v>6725.03</v>
      </c>
      <c r="Q4" s="11">
        <v>3.68</v>
      </c>
      <c r="R4" s="42">
        <f t="shared" si="3"/>
        <v>24748.1104</v>
      </c>
      <c r="S4" s="44">
        <v>94</v>
      </c>
      <c r="T4" s="11">
        <v>1.26</v>
      </c>
      <c r="U4" s="42">
        <f t="shared" si="4"/>
        <v>118.44</v>
      </c>
      <c r="V4" s="44">
        <v>27</v>
      </c>
      <c r="W4" s="11">
        <f>W6</f>
        <v>309.231</v>
      </c>
      <c r="X4" s="42">
        <f t="shared" si="5"/>
        <v>8349.237</v>
      </c>
      <c r="Y4" s="43">
        <f>S4+P4</f>
        <v>6819.03</v>
      </c>
      <c r="Z4" s="43"/>
      <c r="AA4" s="62">
        <f>X4+U4+R4+O4+L4+I4</f>
        <v>90030.5808</v>
      </c>
      <c r="AB4" s="62">
        <f t="shared" si="6"/>
        <v>41953.5904</v>
      </c>
      <c r="AC4" s="26" t="s">
        <v>41</v>
      </c>
      <c r="AD4" s="26" t="s">
        <v>42</v>
      </c>
      <c r="AE4" s="43">
        <f>AB4/12*9</f>
        <v>31465.1928</v>
      </c>
      <c r="AF4" s="43">
        <f>AB4</f>
        <v>41953.5904</v>
      </c>
      <c r="AG4" s="43">
        <f t="shared" si="7"/>
        <v>90030.5808</v>
      </c>
      <c r="AH4" s="43">
        <f>SUM(AE4:AG4)</f>
        <v>163449.364</v>
      </c>
      <c r="AI4" s="80"/>
    </row>
    <row r="5" ht="45" customHeight="1" spans="1:35">
      <c r="A5" s="14" t="s">
        <v>43</v>
      </c>
      <c r="B5" s="15" t="s">
        <v>44</v>
      </c>
      <c r="C5" s="16" t="s">
        <v>45</v>
      </c>
      <c r="D5" s="16" t="s">
        <v>46</v>
      </c>
      <c r="E5" s="16" t="s">
        <v>35</v>
      </c>
      <c r="F5" s="16" t="s">
        <v>40</v>
      </c>
      <c r="G5" s="10">
        <v>73734</v>
      </c>
      <c r="H5" s="17">
        <v>6.88</v>
      </c>
      <c r="I5" s="42">
        <f>G5*H5</f>
        <v>507289.92</v>
      </c>
      <c r="J5" s="44">
        <v>48111</v>
      </c>
      <c r="K5" s="17">
        <v>8.01</v>
      </c>
      <c r="L5" s="42">
        <f t="shared" si="0"/>
        <v>385369.11</v>
      </c>
      <c r="M5" s="44">
        <v>51254</v>
      </c>
      <c r="N5" s="11">
        <v>3.78</v>
      </c>
      <c r="O5" s="42">
        <f t="shared" si="1"/>
        <v>193740.12</v>
      </c>
      <c r="P5" s="43">
        <f t="shared" si="2"/>
        <v>124988</v>
      </c>
      <c r="Q5" s="17">
        <v>3.68</v>
      </c>
      <c r="R5" s="42">
        <f t="shared" si="3"/>
        <v>459955.84</v>
      </c>
      <c r="S5" s="44">
        <v>1232</v>
      </c>
      <c r="T5" s="11">
        <v>1.26</v>
      </c>
      <c r="U5" s="42">
        <f t="shared" si="4"/>
        <v>1552.32</v>
      </c>
      <c r="V5" s="44">
        <v>66</v>
      </c>
      <c r="W5" s="11">
        <v>309.231</v>
      </c>
      <c r="X5" s="42">
        <f t="shared" si="5"/>
        <v>20409.246</v>
      </c>
      <c r="Y5" s="43">
        <f t="shared" ref="Y5:Y9" si="8">G5+M5+S5</f>
        <v>126220</v>
      </c>
      <c r="Z5" s="42">
        <v>200000</v>
      </c>
      <c r="AA5" s="43">
        <f>I5+L5+O5+R5+U5+X5+Z5</f>
        <v>1768316.556</v>
      </c>
      <c r="AB5" s="62">
        <f t="shared" si="6"/>
        <v>845324.95</v>
      </c>
      <c r="AC5" s="26" t="s">
        <v>47</v>
      </c>
      <c r="AD5" s="26" t="s">
        <v>37</v>
      </c>
      <c r="AE5" s="43">
        <f t="shared" ref="AE5:AE11" si="9">AA5/12*9</f>
        <v>1326237.417</v>
      </c>
      <c r="AF5" s="43">
        <f>AA5/12*12</f>
        <v>1768316.556</v>
      </c>
      <c r="AG5" s="43">
        <f t="shared" si="7"/>
        <v>1768316.556</v>
      </c>
      <c r="AH5" s="43">
        <f t="shared" ref="AH5:AH15" si="10">SUM(AE5:AG5)</f>
        <v>4862870.529</v>
      </c>
      <c r="AI5" s="81" t="s">
        <v>48</v>
      </c>
    </row>
    <row r="6" ht="56" customHeight="1" spans="1:36">
      <c r="A6" s="14"/>
      <c r="B6" s="18"/>
      <c r="C6" s="16" t="s">
        <v>49</v>
      </c>
      <c r="D6" s="16" t="s">
        <v>50</v>
      </c>
      <c r="E6" s="16" t="s">
        <v>35</v>
      </c>
      <c r="F6" s="16" t="s">
        <v>40</v>
      </c>
      <c r="G6" s="10">
        <f>[1]通讯录!$H$5</f>
        <v>48703.34</v>
      </c>
      <c r="H6" s="17">
        <v>6.88</v>
      </c>
      <c r="I6" s="42">
        <f t="shared" ref="I6:I21" si="11">G6*H6</f>
        <v>335078.9792</v>
      </c>
      <c r="J6" s="44">
        <v>22839.3</v>
      </c>
      <c r="K6" s="17">
        <v>8.01</v>
      </c>
      <c r="L6" s="42">
        <f t="shared" si="0"/>
        <v>182942.793</v>
      </c>
      <c r="M6" s="44">
        <f>J6+2498.7</f>
        <v>25338</v>
      </c>
      <c r="N6" s="11">
        <v>3.78</v>
      </c>
      <c r="O6" s="42">
        <f t="shared" si="1"/>
        <v>95777.64</v>
      </c>
      <c r="P6" s="43">
        <f t="shared" si="2"/>
        <v>74041.34</v>
      </c>
      <c r="Q6" s="17">
        <v>3.68</v>
      </c>
      <c r="R6" s="42">
        <f t="shared" si="3"/>
        <v>272472.1312</v>
      </c>
      <c r="S6" s="44">
        <v>0</v>
      </c>
      <c r="T6" s="11">
        <v>1.26</v>
      </c>
      <c r="U6" s="42">
        <f t="shared" si="4"/>
        <v>0</v>
      </c>
      <c r="V6" s="44">
        <v>0</v>
      </c>
      <c r="W6" s="11">
        <v>309.231</v>
      </c>
      <c r="X6" s="42">
        <f t="shared" si="5"/>
        <v>0</v>
      </c>
      <c r="Y6" s="43">
        <f t="shared" si="8"/>
        <v>74041.34</v>
      </c>
      <c r="Z6" s="43"/>
      <c r="AA6" s="43">
        <f>I6+L6+O6+R6+U6+X6</f>
        <v>886271.5434</v>
      </c>
      <c r="AB6" s="62">
        <f t="shared" si="6"/>
        <v>455414.9242</v>
      </c>
      <c r="AC6" s="26" t="s">
        <v>51</v>
      </c>
      <c r="AD6" s="26" t="s">
        <v>37</v>
      </c>
      <c r="AE6" s="43">
        <f t="shared" si="9"/>
        <v>664703.65755</v>
      </c>
      <c r="AF6" s="43">
        <f>AA6/12*12</f>
        <v>886271.5434</v>
      </c>
      <c r="AG6" s="43">
        <f t="shared" si="7"/>
        <v>886271.5434</v>
      </c>
      <c r="AH6" s="43">
        <f t="shared" si="10"/>
        <v>2437246.74435</v>
      </c>
      <c r="AI6" s="81"/>
      <c r="AJ6" s="82"/>
    </row>
    <row r="7" ht="69" customHeight="1" spans="1:35">
      <c r="A7" s="14"/>
      <c r="B7" s="18"/>
      <c r="C7" s="19" t="s">
        <v>52</v>
      </c>
      <c r="D7" s="19" t="s">
        <v>53</v>
      </c>
      <c r="E7" s="16" t="s">
        <v>35</v>
      </c>
      <c r="F7" s="16" t="s">
        <v>40</v>
      </c>
      <c r="G7" s="20">
        <v>0</v>
      </c>
      <c r="H7" s="17">
        <v>6.88</v>
      </c>
      <c r="I7" s="42">
        <f t="shared" si="11"/>
        <v>0</v>
      </c>
      <c r="J7" s="45">
        <v>0</v>
      </c>
      <c r="K7" s="17">
        <v>8.01</v>
      </c>
      <c r="L7" s="42">
        <f t="shared" si="0"/>
        <v>0</v>
      </c>
      <c r="M7" s="45">
        <v>0</v>
      </c>
      <c r="N7" s="11">
        <v>3.78</v>
      </c>
      <c r="O7" s="42">
        <f t="shared" si="1"/>
        <v>0</v>
      </c>
      <c r="P7" s="43">
        <f t="shared" si="2"/>
        <v>0</v>
      </c>
      <c r="Q7" s="17">
        <v>3.68</v>
      </c>
      <c r="R7" s="42">
        <f t="shared" si="3"/>
        <v>0</v>
      </c>
      <c r="S7" s="45">
        <v>0</v>
      </c>
      <c r="T7" s="11">
        <v>1.26</v>
      </c>
      <c r="U7" s="42">
        <f t="shared" si="4"/>
        <v>0</v>
      </c>
      <c r="V7" s="45">
        <v>0</v>
      </c>
      <c r="W7" s="11">
        <v>309.231</v>
      </c>
      <c r="X7" s="42">
        <f t="shared" si="5"/>
        <v>0</v>
      </c>
      <c r="Y7" s="43">
        <v>0</v>
      </c>
      <c r="Z7" s="43"/>
      <c r="AA7" s="43">
        <f>I7+L7+O7+R7+U7+X7</f>
        <v>0</v>
      </c>
      <c r="AB7" s="62">
        <f t="shared" si="6"/>
        <v>0</v>
      </c>
      <c r="AC7" s="63" t="s">
        <v>54</v>
      </c>
      <c r="AD7" s="26" t="s">
        <v>37</v>
      </c>
      <c r="AE7" s="43">
        <f t="shared" si="9"/>
        <v>0</v>
      </c>
      <c r="AF7" s="43">
        <f>AA7/12*12</f>
        <v>0</v>
      </c>
      <c r="AG7" s="43">
        <f t="shared" si="7"/>
        <v>0</v>
      </c>
      <c r="AH7" s="43">
        <f t="shared" si="10"/>
        <v>0</v>
      </c>
      <c r="AI7" s="83"/>
    </row>
    <row r="8" ht="62" customHeight="1" spans="1:35">
      <c r="A8" s="14"/>
      <c r="B8" s="18"/>
      <c r="C8" s="19" t="s">
        <v>55</v>
      </c>
      <c r="D8" s="19" t="s">
        <v>53</v>
      </c>
      <c r="E8" s="16" t="s">
        <v>35</v>
      </c>
      <c r="F8" s="16" t="s">
        <v>40</v>
      </c>
      <c r="G8" s="21">
        <v>0</v>
      </c>
      <c r="H8" s="17">
        <v>6.88</v>
      </c>
      <c r="I8" s="42">
        <f t="shared" si="11"/>
        <v>0</v>
      </c>
      <c r="J8" s="46">
        <v>0</v>
      </c>
      <c r="K8" s="17">
        <v>8.01</v>
      </c>
      <c r="L8" s="42">
        <f t="shared" si="0"/>
        <v>0</v>
      </c>
      <c r="M8" s="46">
        <v>0</v>
      </c>
      <c r="N8" s="11">
        <v>3.78</v>
      </c>
      <c r="O8" s="42">
        <f t="shared" si="1"/>
        <v>0</v>
      </c>
      <c r="P8" s="43">
        <f t="shared" si="2"/>
        <v>0</v>
      </c>
      <c r="Q8" s="17">
        <v>3.68</v>
      </c>
      <c r="R8" s="42">
        <f t="shared" si="3"/>
        <v>0</v>
      </c>
      <c r="S8" s="46">
        <v>0</v>
      </c>
      <c r="T8" s="11">
        <v>1.26</v>
      </c>
      <c r="U8" s="42">
        <f t="shared" si="4"/>
        <v>0</v>
      </c>
      <c r="V8" s="46">
        <v>0</v>
      </c>
      <c r="W8" s="11">
        <v>309.231</v>
      </c>
      <c r="X8" s="42">
        <f t="shared" si="5"/>
        <v>0</v>
      </c>
      <c r="Y8" s="43">
        <f t="shared" si="8"/>
        <v>0</v>
      </c>
      <c r="Z8" s="43"/>
      <c r="AA8" s="43">
        <f>I8+L8+O8+R8+U8+X8</f>
        <v>0</v>
      </c>
      <c r="AB8" s="62">
        <f t="shared" si="6"/>
        <v>0</v>
      </c>
      <c r="AC8" s="26"/>
      <c r="AD8" s="26" t="s">
        <v>37</v>
      </c>
      <c r="AE8" s="43">
        <f t="shared" si="9"/>
        <v>0</v>
      </c>
      <c r="AF8" s="43">
        <f>AA8/12*12</f>
        <v>0</v>
      </c>
      <c r="AG8" s="43">
        <f t="shared" si="7"/>
        <v>0</v>
      </c>
      <c r="AH8" s="43">
        <f t="shared" si="10"/>
        <v>0</v>
      </c>
      <c r="AI8" s="84"/>
    </row>
    <row r="9" ht="45" customHeight="1" spans="1:35">
      <c r="A9" s="14"/>
      <c r="B9" s="18"/>
      <c r="C9" s="19" t="s">
        <v>56</v>
      </c>
      <c r="D9" s="19" t="s">
        <v>53</v>
      </c>
      <c r="E9" s="16" t="s">
        <v>35</v>
      </c>
      <c r="F9" s="16" t="s">
        <v>40</v>
      </c>
      <c r="G9" s="21">
        <v>0</v>
      </c>
      <c r="H9" s="17">
        <v>6.88</v>
      </c>
      <c r="I9" s="42">
        <f t="shared" si="11"/>
        <v>0</v>
      </c>
      <c r="J9" s="46">
        <v>86.4</v>
      </c>
      <c r="K9" s="17">
        <v>8.01</v>
      </c>
      <c r="L9" s="42">
        <f t="shared" ref="L9:L15" si="12">J9*K9</f>
        <v>692.064</v>
      </c>
      <c r="M9" s="46">
        <v>86.4</v>
      </c>
      <c r="N9" s="11">
        <v>3.78</v>
      </c>
      <c r="O9" s="42">
        <f t="shared" ref="O9:O15" si="13">M9*N9</f>
        <v>326.592</v>
      </c>
      <c r="P9" s="43">
        <f t="shared" ref="P9:P14" si="14">M9+G9</f>
        <v>86.4</v>
      </c>
      <c r="Q9" s="17">
        <v>3.68</v>
      </c>
      <c r="R9" s="42">
        <f t="shared" ref="R9:R15" si="15">P9*Q9</f>
        <v>317.952</v>
      </c>
      <c r="S9" s="46">
        <v>0</v>
      </c>
      <c r="T9" s="11">
        <v>1.26</v>
      </c>
      <c r="U9" s="42">
        <f t="shared" ref="U9:U15" si="16">S9*T9</f>
        <v>0</v>
      </c>
      <c r="V9" s="46">
        <v>0</v>
      </c>
      <c r="W9" s="11">
        <v>309.231</v>
      </c>
      <c r="X9" s="42">
        <f t="shared" ref="X9:X15" si="17">V9*W9</f>
        <v>0</v>
      </c>
      <c r="Y9" s="43">
        <f t="shared" si="8"/>
        <v>86.4</v>
      </c>
      <c r="Z9" s="43"/>
      <c r="AA9" s="43">
        <f t="shared" ref="AA9:AA15" si="18">I9+L9+O9+R9+U9+X9</f>
        <v>1336.608</v>
      </c>
      <c r="AB9" s="62">
        <f t="shared" ref="AB9:AB15" si="19">L9+R9</f>
        <v>1010.016</v>
      </c>
      <c r="AC9" s="64" t="s">
        <v>57</v>
      </c>
      <c r="AD9" s="26" t="s">
        <v>37</v>
      </c>
      <c r="AE9" s="43">
        <f t="shared" si="9"/>
        <v>1002.456</v>
      </c>
      <c r="AF9" s="43">
        <f t="shared" ref="AF9:AF15" si="20">AA9/12*12</f>
        <v>1336.608</v>
      </c>
      <c r="AG9" s="43">
        <f t="shared" ref="AG9:AG15" si="21">AA9/12*12</f>
        <v>1336.608</v>
      </c>
      <c r="AH9" s="43">
        <f t="shared" si="10"/>
        <v>3675.672</v>
      </c>
      <c r="AI9" s="85"/>
    </row>
    <row r="10" ht="45" customHeight="1" spans="1:35">
      <c r="A10" s="14"/>
      <c r="B10" s="18"/>
      <c r="C10" s="19" t="s">
        <v>58</v>
      </c>
      <c r="D10" s="19" t="s">
        <v>53</v>
      </c>
      <c r="E10" s="16" t="s">
        <v>35</v>
      </c>
      <c r="F10" s="16" t="s">
        <v>40</v>
      </c>
      <c r="G10" s="21">
        <v>0</v>
      </c>
      <c r="H10" s="17">
        <v>6.88</v>
      </c>
      <c r="I10" s="42">
        <f t="shared" si="11"/>
        <v>0</v>
      </c>
      <c r="J10" s="46">
        <v>92.9</v>
      </c>
      <c r="K10" s="17">
        <v>8.01</v>
      </c>
      <c r="L10" s="42">
        <f t="shared" si="12"/>
        <v>744.129</v>
      </c>
      <c r="M10" s="46">
        <v>92.9</v>
      </c>
      <c r="N10" s="11">
        <v>3.78</v>
      </c>
      <c r="O10" s="42">
        <f t="shared" si="13"/>
        <v>351.162</v>
      </c>
      <c r="P10" s="43">
        <f t="shared" si="14"/>
        <v>92.9</v>
      </c>
      <c r="Q10" s="17">
        <v>3.68</v>
      </c>
      <c r="R10" s="42">
        <f t="shared" si="15"/>
        <v>341.872</v>
      </c>
      <c r="S10" s="46">
        <v>0</v>
      </c>
      <c r="T10" s="11">
        <v>1.26</v>
      </c>
      <c r="U10" s="42">
        <f t="shared" si="16"/>
        <v>0</v>
      </c>
      <c r="V10" s="46">
        <v>0</v>
      </c>
      <c r="W10" s="11">
        <v>309.231</v>
      </c>
      <c r="X10" s="42">
        <f t="shared" si="17"/>
        <v>0</v>
      </c>
      <c r="Y10" s="43">
        <v>92.9</v>
      </c>
      <c r="Z10" s="43"/>
      <c r="AA10" s="43">
        <f t="shared" si="18"/>
        <v>1437.163</v>
      </c>
      <c r="AB10" s="62">
        <f t="shared" si="19"/>
        <v>1086.001</v>
      </c>
      <c r="AC10" s="64" t="s">
        <v>59</v>
      </c>
      <c r="AD10" s="26" t="s">
        <v>37</v>
      </c>
      <c r="AE10" s="43">
        <f t="shared" si="9"/>
        <v>1077.87225</v>
      </c>
      <c r="AF10" s="43">
        <f t="shared" si="20"/>
        <v>1437.163</v>
      </c>
      <c r="AG10" s="43">
        <f t="shared" si="21"/>
        <v>1437.163</v>
      </c>
      <c r="AH10" s="43">
        <f t="shared" si="10"/>
        <v>3952.19825</v>
      </c>
      <c r="AI10" s="85"/>
    </row>
    <row r="11" ht="45" customHeight="1" spans="1:36">
      <c r="A11" s="14"/>
      <c r="B11" s="18"/>
      <c r="C11" s="19" t="s">
        <v>60</v>
      </c>
      <c r="D11" s="19" t="s">
        <v>53</v>
      </c>
      <c r="E11" s="16" t="s">
        <v>35</v>
      </c>
      <c r="F11" s="16" t="s">
        <v>40</v>
      </c>
      <c r="G11" s="21">
        <v>0</v>
      </c>
      <c r="H11" s="17">
        <v>6.88</v>
      </c>
      <c r="I11" s="42">
        <f t="shared" si="11"/>
        <v>0</v>
      </c>
      <c r="J11" s="46">
        <f>54.9+60+94.5+216+23+93.9</f>
        <v>542.3</v>
      </c>
      <c r="K11" s="17">
        <v>8.01</v>
      </c>
      <c r="L11" s="42">
        <f t="shared" si="12"/>
        <v>4343.823</v>
      </c>
      <c r="M11" s="46">
        <f>54.9+60+94.5+216+23+93.9</f>
        <v>542.3</v>
      </c>
      <c r="N11" s="11">
        <v>3.78</v>
      </c>
      <c r="O11" s="42">
        <f t="shared" si="13"/>
        <v>2049.894</v>
      </c>
      <c r="P11" s="43">
        <f t="shared" si="14"/>
        <v>542.3</v>
      </c>
      <c r="Q11" s="17">
        <v>3.68</v>
      </c>
      <c r="R11" s="42">
        <f t="shared" si="15"/>
        <v>1995.664</v>
      </c>
      <c r="S11" s="46">
        <v>0</v>
      </c>
      <c r="T11" s="11">
        <v>1.26</v>
      </c>
      <c r="U11" s="42">
        <f t="shared" si="16"/>
        <v>0</v>
      </c>
      <c r="V11" s="46">
        <v>0</v>
      </c>
      <c r="W11" s="11">
        <v>309.231</v>
      </c>
      <c r="X11" s="42">
        <f t="shared" si="17"/>
        <v>0</v>
      </c>
      <c r="Y11" s="43">
        <f t="shared" ref="Y11:Y15" si="22">G11+M11+S11</f>
        <v>542.3</v>
      </c>
      <c r="Z11" s="43"/>
      <c r="AA11" s="43">
        <f t="shared" si="18"/>
        <v>8389.381</v>
      </c>
      <c r="AB11" s="62">
        <f t="shared" si="19"/>
        <v>6339.487</v>
      </c>
      <c r="AC11" s="65" t="s">
        <v>61</v>
      </c>
      <c r="AD11" s="26" t="s">
        <v>37</v>
      </c>
      <c r="AE11" s="43">
        <f t="shared" si="9"/>
        <v>6292.03575</v>
      </c>
      <c r="AF11" s="43">
        <f t="shared" si="20"/>
        <v>8389.381</v>
      </c>
      <c r="AG11" s="43">
        <f t="shared" si="21"/>
        <v>8389.381</v>
      </c>
      <c r="AH11" s="43">
        <f t="shared" ref="AH11:AH29" si="23">SUM(AE11:AG11)</f>
        <v>23070.79775</v>
      </c>
      <c r="AI11" s="86"/>
      <c r="AJ11" s="82"/>
    </row>
    <row r="12" ht="45" customHeight="1" spans="1:35">
      <c r="A12" s="14"/>
      <c r="B12" s="18"/>
      <c r="C12" s="16" t="s">
        <v>62</v>
      </c>
      <c r="D12" s="19" t="s">
        <v>53</v>
      </c>
      <c r="E12" s="16" t="s">
        <v>35</v>
      </c>
      <c r="F12" s="16" t="s">
        <v>40</v>
      </c>
      <c r="G12" s="21">
        <v>0</v>
      </c>
      <c r="H12" s="17">
        <v>6.88</v>
      </c>
      <c r="I12" s="42">
        <f t="shared" si="11"/>
        <v>0</v>
      </c>
      <c r="J12" s="46">
        <v>0</v>
      </c>
      <c r="K12" s="17">
        <v>8.01</v>
      </c>
      <c r="L12" s="42">
        <f t="shared" si="12"/>
        <v>0</v>
      </c>
      <c r="M12" s="46">
        <v>0</v>
      </c>
      <c r="N12" s="11">
        <v>3.78</v>
      </c>
      <c r="O12" s="42">
        <f t="shared" si="13"/>
        <v>0</v>
      </c>
      <c r="P12" s="43">
        <f t="shared" si="14"/>
        <v>0</v>
      </c>
      <c r="Q12" s="17">
        <v>3.68</v>
      </c>
      <c r="R12" s="42">
        <f t="shared" si="15"/>
        <v>0</v>
      </c>
      <c r="S12" s="46">
        <v>0</v>
      </c>
      <c r="T12" s="11">
        <v>1.26</v>
      </c>
      <c r="U12" s="42">
        <f t="shared" si="16"/>
        <v>0</v>
      </c>
      <c r="V12" s="46">
        <v>0</v>
      </c>
      <c r="W12" s="11">
        <v>309.231</v>
      </c>
      <c r="X12" s="42">
        <f t="shared" si="17"/>
        <v>0</v>
      </c>
      <c r="Y12" s="66">
        <v>0</v>
      </c>
      <c r="Z12" s="66"/>
      <c r="AA12" s="43">
        <f t="shared" si="18"/>
        <v>0</v>
      </c>
      <c r="AB12" s="62">
        <f t="shared" si="19"/>
        <v>0</v>
      </c>
      <c r="AC12" s="26" t="s">
        <v>63</v>
      </c>
      <c r="AD12" s="26" t="s">
        <v>64</v>
      </c>
      <c r="AE12" s="43">
        <f>AA12/12*0</f>
        <v>0</v>
      </c>
      <c r="AF12" s="43">
        <f t="shared" si="20"/>
        <v>0</v>
      </c>
      <c r="AG12" s="43">
        <f t="shared" si="21"/>
        <v>0</v>
      </c>
      <c r="AH12" s="43">
        <f t="shared" si="23"/>
        <v>0</v>
      </c>
      <c r="AI12" s="86"/>
    </row>
    <row r="13" ht="45" customHeight="1" spans="1:35">
      <c r="A13" s="14"/>
      <c r="B13" s="18"/>
      <c r="C13" s="22" t="s">
        <v>65</v>
      </c>
      <c r="D13" s="23" t="s">
        <v>66</v>
      </c>
      <c r="E13" s="16" t="s">
        <v>35</v>
      </c>
      <c r="F13" s="16" t="s">
        <v>40</v>
      </c>
      <c r="G13" s="24">
        <v>1940</v>
      </c>
      <c r="H13" s="17">
        <v>6.88</v>
      </c>
      <c r="I13" s="42">
        <f t="shared" si="11"/>
        <v>13347.2</v>
      </c>
      <c r="J13" s="47">
        <v>5350</v>
      </c>
      <c r="K13" s="17">
        <v>8.01</v>
      </c>
      <c r="L13" s="42">
        <f t="shared" si="12"/>
        <v>42853.5</v>
      </c>
      <c r="M13" s="47">
        <v>5350</v>
      </c>
      <c r="N13" s="11">
        <v>3.78</v>
      </c>
      <c r="O13" s="42">
        <f t="shared" si="13"/>
        <v>20223</v>
      </c>
      <c r="P13" s="43">
        <f t="shared" si="14"/>
        <v>7290</v>
      </c>
      <c r="Q13" s="17">
        <v>3.68</v>
      </c>
      <c r="R13" s="42">
        <f t="shared" si="15"/>
        <v>26827.2</v>
      </c>
      <c r="S13" s="47">
        <v>0</v>
      </c>
      <c r="T13" s="11">
        <v>1.26</v>
      </c>
      <c r="U13" s="42">
        <f t="shared" si="16"/>
        <v>0</v>
      </c>
      <c r="V13" s="53">
        <v>0</v>
      </c>
      <c r="W13" s="11">
        <v>309.231</v>
      </c>
      <c r="X13" s="42">
        <f t="shared" si="17"/>
        <v>0</v>
      </c>
      <c r="Y13" s="43">
        <f t="shared" si="22"/>
        <v>7290</v>
      </c>
      <c r="Z13" s="43"/>
      <c r="AA13" s="43">
        <f t="shared" si="18"/>
        <v>103250.9</v>
      </c>
      <c r="AB13" s="62">
        <f t="shared" si="19"/>
        <v>69680.7</v>
      </c>
      <c r="AC13" s="67" t="s">
        <v>67</v>
      </c>
      <c r="AD13" s="26" t="s">
        <v>37</v>
      </c>
      <c r="AE13" s="43">
        <f>AA13/12*9</f>
        <v>77438.175</v>
      </c>
      <c r="AF13" s="43">
        <f t="shared" si="20"/>
        <v>103250.9</v>
      </c>
      <c r="AG13" s="43">
        <f t="shared" si="21"/>
        <v>103250.9</v>
      </c>
      <c r="AH13" s="43">
        <f t="shared" si="23"/>
        <v>283939.975</v>
      </c>
      <c r="AI13" s="87"/>
    </row>
    <row r="14" ht="45" customHeight="1" spans="1:35">
      <c r="A14" s="14"/>
      <c r="B14" s="18"/>
      <c r="C14" s="16" t="s">
        <v>68</v>
      </c>
      <c r="D14" s="16" t="s">
        <v>66</v>
      </c>
      <c r="E14" s="16" t="s">
        <v>35</v>
      </c>
      <c r="F14" s="16" t="s">
        <v>40</v>
      </c>
      <c r="G14" s="25">
        <v>2353.44</v>
      </c>
      <c r="H14" s="17">
        <v>6.88</v>
      </c>
      <c r="I14" s="42">
        <f t="shared" si="11"/>
        <v>16191.6672</v>
      </c>
      <c r="J14" s="48">
        <v>3296.53</v>
      </c>
      <c r="K14" s="17">
        <v>8.01</v>
      </c>
      <c r="L14" s="42">
        <f t="shared" si="12"/>
        <v>26405.2053</v>
      </c>
      <c r="M14" s="48">
        <v>6206.3</v>
      </c>
      <c r="N14" s="11">
        <v>3.78</v>
      </c>
      <c r="O14" s="42">
        <f t="shared" si="13"/>
        <v>23459.814</v>
      </c>
      <c r="P14" s="43">
        <f t="shared" si="14"/>
        <v>8559.74</v>
      </c>
      <c r="Q14" s="17">
        <v>3.68</v>
      </c>
      <c r="R14" s="42">
        <f t="shared" si="15"/>
        <v>31499.8432</v>
      </c>
      <c r="S14" s="44">
        <v>0</v>
      </c>
      <c r="T14" s="11">
        <v>1.26</v>
      </c>
      <c r="U14" s="42">
        <f t="shared" si="16"/>
        <v>0</v>
      </c>
      <c r="V14" s="54">
        <v>0</v>
      </c>
      <c r="W14" s="11">
        <v>309.231</v>
      </c>
      <c r="X14" s="42">
        <f t="shared" si="17"/>
        <v>0</v>
      </c>
      <c r="Y14" s="43">
        <f t="shared" si="22"/>
        <v>8559.74</v>
      </c>
      <c r="Z14" s="43"/>
      <c r="AA14" s="43">
        <f t="shared" si="18"/>
        <v>97556.5297</v>
      </c>
      <c r="AB14" s="62">
        <f t="shared" si="19"/>
        <v>57905.0485</v>
      </c>
      <c r="AC14" s="26" t="s">
        <v>69</v>
      </c>
      <c r="AD14" s="26" t="s">
        <v>37</v>
      </c>
      <c r="AE14" s="43">
        <f>AA14/12*9</f>
        <v>73167.397275</v>
      </c>
      <c r="AF14" s="43">
        <f t="shared" si="20"/>
        <v>97556.5297</v>
      </c>
      <c r="AG14" s="43">
        <f t="shared" si="21"/>
        <v>97556.5297</v>
      </c>
      <c r="AH14" s="43">
        <f t="shared" si="23"/>
        <v>268280.456675</v>
      </c>
      <c r="AI14" s="84"/>
    </row>
    <row r="15" ht="45" customHeight="1" spans="1:35">
      <c r="A15" s="14"/>
      <c r="B15" s="18"/>
      <c r="C15" s="16" t="s">
        <v>70</v>
      </c>
      <c r="D15" s="16" t="s">
        <v>66</v>
      </c>
      <c r="E15" s="16" t="s">
        <v>35</v>
      </c>
      <c r="F15" s="16" t="s">
        <v>40</v>
      </c>
      <c r="G15" s="26">
        <v>2000</v>
      </c>
      <c r="H15" s="17">
        <v>6.88</v>
      </c>
      <c r="I15" s="42">
        <f t="shared" si="11"/>
        <v>13760</v>
      </c>
      <c r="J15" s="26">
        <v>15080</v>
      </c>
      <c r="K15" s="17">
        <v>8.01</v>
      </c>
      <c r="L15" s="42">
        <f t="shared" si="12"/>
        <v>120790.8</v>
      </c>
      <c r="M15" s="26">
        <v>34097</v>
      </c>
      <c r="N15" s="11">
        <v>3.78</v>
      </c>
      <c r="O15" s="42">
        <f t="shared" si="13"/>
        <v>128886.66</v>
      </c>
      <c r="P15" s="26">
        <v>36097</v>
      </c>
      <c r="Q15" s="17">
        <v>3.68</v>
      </c>
      <c r="R15" s="42">
        <f t="shared" si="15"/>
        <v>132836.96</v>
      </c>
      <c r="S15" s="55">
        <v>0</v>
      </c>
      <c r="T15" s="11">
        <v>1.26</v>
      </c>
      <c r="U15" s="42">
        <f t="shared" si="16"/>
        <v>0</v>
      </c>
      <c r="V15" s="56">
        <v>0</v>
      </c>
      <c r="W15" s="11">
        <v>309.231</v>
      </c>
      <c r="X15" s="42">
        <f t="shared" si="17"/>
        <v>0</v>
      </c>
      <c r="Y15" s="43">
        <f t="shared" si="22"/>
        <v>36097</v>
      </c>
      <c r="Z15" s="43"/>
      <c r="AA15" s="43">
        <f t="shared" si="18"/>
        <v>396274.42</v>
      </c>
      <c r="AB15" s="62">
        <f t="shared" si="19"/>
        <v>253627.76</v>
      </c>
      <c r="AC15" s="26" t="s">
        <v>71</v>
      </c>
      <c r="AD15" s="26" t="s">
        <v>42</v>
      </c>
      <c r="AE15" s="43">
        <v>0</v>
      </c>
      <c r="AF15" s="43">
        <f>AB15/12*12</f>
        <v>253627.76</v>
      </c>
      <c r="AG15" s="43">
        <f t="shared" si="21"/>
        <v>396274.42</v>
      </c>
      <c r="AH15" s="43">
        <f t="shared" si="23"/>
        <v>649902.18</v>
      </c>
      <c r="AI15" s="87"/>
    </row>
    <row r="16" ht="45" customHeight="1" spans="1:35">
      <c r="A16" s="14" t="s">
        <v>72</v>
      </c>
      <c r="B16" s="15" t="s">
        <v>73</v>
      </c>
      <c r="C16" s="16" t="s">
        <v>74</v>
      </c>
      <c r="D16" s="16" t="s">
        <v>34</v>
      </c>
      <c r="E16" s="16" t="s">
        <v>35</v>
      </c>
      <c r="F16" s="16" t="s">
        <v>40</v>
      </c>
      <c r="G16" s="10">
        <v>75055</v>
      </c>
      <c r="H16" s="17">
        <v>6.88</v>
      </c>
      <c r="I16" s="42">
        <f t="shared" si="11"/>
        <v>516378.4</v>
      </c>
      <c r="J16" s="44">
        <v>5617</v>
      </c>
      <c r="K16" s="17">
        <v>8.01</v>
      </c>
      <c r="L16" s="42">
        <f t="shared" ref="L16:L27" si="24">J16*K16</f>
        <v>44992.17</v>
      </c>
      <c r="M16" s="44">
        <v>6045</v>
      </c>
      <c r="N16" s="11">
        <v>3.78</v>
      </c>
      <c r="O16" s="42">
        <f t="shared" ref="O16:O26" si="25">M16*N16</f>
        <v>22850.1</v>
      </c>
      <c r="P16" s="43">
        <f t="shared" ref="P16:P26" si="26">M16+G16</f>
        <v>81100</v>
      </c>
      <c r="Q16" s="17">
        <v>3.68</v>
      </c>
      <c r="R16" s="42">
        <f t="shared" ref="R16:R27" si="27">P16*Q16</f>
        <v>298448</v>
      </c>
      <c r="S16" s="44">
        <v>0</v>
      </c>
      <c r="T16" s="11">
        <v>1.26</v>
      </c>
      <c r="U16" s="42">
        <f t="shared" ref="U16:U26" si="28">S16*T16</f>
        <v>0</v>
      </c>
      <c r="V16" s="46">
        <v>0</v>
      </c>
      <c r="W16" s="11">
        <v>309.231</v>
      </c>
      <c r="X16" s="42">
        <f t="shared" ref="X16:X26" si="29">V16*W16</f>
        <v>0</v>
      </c>
      <c r="Y16" s="43">
        <f t="shared" ref="Y16:Y19" si="30">G16+M16+S16</f>
        <v>81100</v>
      </c>
      <c r="Z16" s="43"/>
      <c r="AA16" s="43">
        <f t="shared" ref="AA16:AA26" si="31">I16+L16+O16+R16+U16+X16</f>
        <v>882668.67</v>
      </c>
      <c r="AB16" s="62">
        <f t="shared" ref="AB16:AB27" si="32">L16+R16</f>
        <v>343440.17</v>
      </c>
      <c r="AC16" s="26" t="s">
        <v>75</v>
      </c>
      <c r="AD16" s="26" t="s">
        <v>76</v>
      </c>
      <c r="AE16" s="43">
        <f>AA16/12*7</f>
        <v>514890.0575</v>
      </c>
      <c r="AF16" s="43">
        <f t="shared" ref="AF16:AF26" si="33">AA16/12*12</f>
        <v>882668.67</v>
      </c>
      <c r="AG16" s="43">
        <f t="shared" ref="AG16:AG26" si="34">AA16/12*12</f>
        <v>882668.67</v>
      </c>
      <c r="AH16" s="43">
        <f t="shared" si="23"/>
        <v>2280227.3975</v>
      </c>
      <c r="AI16" s="88"/>
    </row>
    <row r="17" ht="45" customHeight="1" spans="1:35">
      <c r="A17" s="14"/>
      <c r="B17" s="18"/>
      <c r="C17" s="16" t="s">
        <v>77</v>
      </c>
      <c r="D17" s="16" t="s">
        <v>34</v>
      </c>
      <c r="E17" s="16" t="s">
        <v>35</v>
      </c>
      <c r="F17" s="16" t="s">
        <v>40</v>
      </c>
      <c r="G17" s="10">
        <v>58394</v>
      </c>
      <c r="H17" s="17">
        <v>6.88</v>
      </c>
      <c r="I17" s="42">
        <f t="shared" si="11"/>
        <v>401750.72</v>
      </c>
      <c r="J17" s="44">
        <v>12764</v>
      </c>
      <c r="K17" s="17">
        <v>8.01</v>
      </c>
      <c r="L17" s="42">
        <f t="shared" si="24"/>
        <v>102239.64</v>
      </c>
      <c r="M17" s="44">
        <v>13155</v>
      </c>
      <c r="N17" s="11">
        <v>3.78</v>
      </c>
      <c r="O17" s="42">
        <f t="shared" si="25"/>
        <v>49725.9</v>
      </c>
      <c r="P17" s="43">
        <f t="shared" si="26"/>
        <v>71549</v>
      </c>
      <c r="Q17" s="17">
        <v>3.68</v>
      </c>
      <c r="R17" s="42">
        <f t="shared" si="27"/>
        <v>263300.32</v>
      </c>
      <c r="S17" s="44">
        <v>880</v>
      </c>
      <c r="T17" s="11">
        <v>1.26</v>
      </c>
      <c r="U17" s="42">
        <f t="shared" si="28"/>
        <v>1108.8</v>
      </c>
      <c r="V17" s="46">
        <v>0</v>
      </c>
      <c r="W17" s="11">
        <v>309.231</v>
      </c>
      <c r="X17" s="42">
        <f t="shared" si="29"/>
        <v>0</v>
      </c>
      <c r="Y17" s="43">
        <f t="shared" si="30"/>
        <v>72429</v>
      </c>
      <c r="Z17" s="43"/>
      <c r="AA17" s="43">
        <f t="shared" si="31"/>
        <v>818125.38</v>
      </c>
      <c r="AB17" s="62">
        <f t="shared" si="32"/>
        <v>365539.96</v>
      </c>
      <c r="AC17" s="26" t="s">
        <v>78</v>
      </c>
      <c r="AD17" s="26" t="s">
        <v>79</v>
      </c>
      <c r="AE17" s="43">
        <f t="shared" ref="AE17:AE21" si="35">AB17/12*9</f>
        <v>274154.97</v>
      </c>
      <c r="AF17" s="43">
        <f t="shared" si="33"/>
        <v>818125.38</v>
      </c>
      <c r="AG17" s="43">
        <f t="shared" si="34"/>
        <v>818125.38</v>
      </c>
      <c r="AH17" s="43">
        <f t="shared" si="23"/>
        <v>1910405.73</v>
      </c>
      <c r="AI17" s="88"/>
    </row>
    <row r="18" ht="45" customHeight="1" spans="1:35">
      <c r="A18" s="14"/>
      <c r="B18" s="18"/>
      <c r="C18" s="27" t="s">
        <v>80</v>
      </c>
      <c r="D18" s="16" t="s">
        <v>34</v>
      </c>
      <c r="E18" s="16" t="s">
        <v>35</v>
      </c>
      <c r="F18" s="16" t="s">
        <v>40</v>
      </c>
      <c r="G18" s="28">
        <v>42435.8</v>
      </c>
      <c r="H18" s="17">
        <v>6.88</v>
      </c>
      <c r="I18" s="42">
        <f t="shared" si="11"/>
        <v>291958.304</v>
      </c>
      <c r="J18" s="49">
        <v>2543.1</v>
      </c>
      <c r="K18" s="17">
        <v>8.01</v>
      </c>
      <c r="L18" s="42">
        <f t="shared" si="24"/>
        <v>20370.231</v>
      </c>
      <c r="M18" s="49">
        <v>5731.01</v>
      </c>
      <c r="N18" s="11">
        <v>3.78</v>
      </c>
      <c r="O18" s="42">
        <f t="shared" si="25"/>
        <v>21663.2178</v>
      </c>
      <c r="P18" s="43">
        <f t="shared" si="26"/>
        <v>48166.81</v>
      </c>
      <c r="Q18" s="17">
        <v>3.68</v>
      </c>
      <c r="R18" s="42">
        <f t="shared" si="27"/>
        <v>177253.8608</v>
      </c>
      <c r="S18" s="57">
        <v>992.7</v>
      </c>
      <c r="T18" s="11">
        <v>1.26</v>
      </c>
      <c r="U18" s="42">
        <f t="shared" si="28"/>
        <v>1250.802</v>
      </c>
      <c r="V18" s="58">
        <v>0</v>
      </c>
      <c r="W18" s="11">
        <v>309.231</v>
      </c>
      <c r="X18" s="42">
        <f t="shared" si="29"/>
        <v>0</v>
      </c>
      <c r="Y18" s="68">
        <f t="shared" si="30"/>
        <v>49159.51</v>
      </c>
      <c r="Z18" s="68"/>
      <c r="AA18" s="43">
        <f t="shared" si="31"/>
        <v>512496.4156</v>
      </c>
      <c r="AB18" s="62">
        <f t="shared" si="32"/>
        <v>197624.0918</v>
      </c>
      <c r="AC18" s="26" t="s">
        <v>81</v>
      </c>
      <c r="AD18" s="26" t="s">
        <v>79</v>
      </c>
      <c r="AE18" s="43">
        <f t="shared" si="35"/>
        <v>148218.06885</v>
      </c>
      <c r="AF18" s="43">
        <f t="shared" si="33"/>
        <v>512496.4156</v>
      </c>
      <c r="AG18" s="43">
        <f t="shared" si="34"/>
        <v>512496.4156</v>
      </c>
      <c r="AH18" s="43">
        <f t="shared" si="23"/>
        <v>1173210.90005</v>
      </c>
      <c r="AI18" s="89"/>
    </row>
    <row r="19" ht="45" customHeight="1" spans="1:35">
      <c r="A19" s="14"/>
      <c r="B19" s="18"/>
      <c r="C19" s="16" t="s">
        <v>82</v>
      </c>
      <c r="D19" s="16" t="s">
        <v>34</v>
      </c>
      <c r="E19" s="16" t="s">
        <v>35</v>
      </c>
      <c r="F19" s="16" t="s">
        <v>40</v>
      </c>
      <c r="G19" s="10">
        <v>24836</v>
      </c>
      <c r="H19" s="17">
        <v>6.88</v>
      </c>
      <c r="I19" s="42">
        <f t="shared" si="11"/>
        <v>170871.68</v>
      </c>
      <c r="J19" s="44">
        <v>0</v>
      </c>
      <c r="K19" s="17">
        <v>8.01</v>
      </c>
      <c r="L19" s="42">
        <f t="shared" si="24"/>
        <v>0</v>
      </c>
      <c r="M19" s="44">
        <v>0</v>
      </c>
      <c r="N19" s="11">
        <v>3.78</v>
      </c>
      <c r="O19" s="42">
        <f t="shared" si="25"/>
        <v>0</v>
      </c>
      <c r="P19" s="43">
        <f t="shared" si="26"/>
        <v>24836</v>
      </c>
      <c r="Q19" s="17">
        <v>3.68</v>
      </c>
      <c r="R19" s="42">
        <f t="shared" si="27"/>
        <v>91396.48</v>
      </c>
      <c r="S19" s="44">
        <v>1479</v>
      </c>
      <c r="T19" s="11">
        <v>1.26</v>
      </c>
      <c r="U19" s="42">
        <f t="shared" si="28"/>
        <v>1863.54</v>
      </c>
      <c r="V19" s="44">
        <v>0</v>
      </c>
      <c r="W19" s="11">
        <v>309.231</v>
      </c>
      <c r="X19" s="42">
        <f t="shared" si="29"/>
        <v>0</v>
      </c>
      <c r="Y19" s="43">
        <f t="shared" si="30"/>
        <v>26315</v>
      </c>
      <c r="Z19" s="43"/>
      <c r="AA19" s="43">
        <f t="shared" si="31"/>
        <v>264131.7</v>
      </c>
      <c r="AB19" s="62">
        <f t="shared" si="32"/>
        <v>91396.48</v>
      </c>
      <c r="AC19" s="26" t="s">
        <v>83</v>
      </c>
      <c r="AD19" s="26" t="s">
        <v>76</v>
      </c>
      <c r="AE19" s="43">
        <f>AA19/12*7</f>
        <v>154076.825</v>
      </c>
      <c r="AF19" s="43">
        <f t="shared" si="33"/>
        <v>264131.7</v>
      </c>
      <c r="AG19" s="43">
        <f t="shared" si="34"/>
        <v>264131.7</v>
      </c>
      <c r="AH19" s="43">
        <f t="shared" si="23"/>
        <v>682340.225</v>
      </c>
      <c r="AI19" s="88"/>
    </row>
    <row r="20" ht="52" customHeight="1" spans="1:35">
      <c r="A20" s="14"/>
      <c r="B20" s="18"/>
      <c r="C20" s="19" t="s">
        <v>84</v>
      </c>
      <c r="D20" s="16" t="s">
        <v>34</v>
      </c>
      <c r="E20" s="16" t="s">
        <v>35</v>
      </c>
      <c r="F20" s="16" t="s">
        <v>40</v>
      </c>
      <c r="G20" s="20">
        <v>0</v>
      </c>
      <c r="H20" s="17">
        <v>6.88</v>
      </c>
      <c r="I20" s="42">
        <f t="shared" si="11"/>
        <v>0</v>
      </c>
      <c r="J20" s="45">
        <v>0</v>
      </c>
      <c r="K20" s="17">
        <v>8.01</v>
      </c>
      <c r="L20" s="42">
        <f t="shared" si="24"/>
        <v>0</v>
      </c>
      <c r="M20" s="45">
        <v>0</v>
      </c>
      <c r="N20" s="11">
        <v>3.78</v>
      </c>
      <c r="O20" s="42">
        <f t="shared" si="25"/>
        <v>0</v>
      </c>
      <c r="P20" s="43">
        <f t="shared" si="26"/>
        <v>0</v>
      </c>
      <c r="Q20" s="17">
        <v>3.68</v>
      </c>
      <c r="R20" s="42">
        <f t="shared" si="27"/>
        <v>0</v>
      </c>
      <c r="S20" s="45">
        <v>0</v>
      </c>
      <c r="T20" s="11">
        <v>1.26</v>
      </c>
      <c r="U20" s="42">
        <f t="shared" si="28"/>
        <v>0</v>
      </c>
      <c r="V20" s="45">
        <v>0</v>
      </c>
      <c r="W20" s="11">
        <v>309.231</v>
      </c>
      <c r="X20" s="42">
        <f t="shared" si="29"/>
        <v>0</v>
      </c>
      <c r="Y20" s="69">
        <v>0</v>
      </c>
      <c r="Z20" s="69"/>
      <c r="AA20" s="43">
        <f t="shared" si="31"/>
        <v>0</v>
      </c>
      <c r="AB20" s="62">
        <f t="shared" si="32"/>
        <v>0</v>
      </c>
      <c r="AC20" s="63" t="s">
        <v>85</v>
      </c>
      <c r="AD20" s="26" t="s">
        <v>86</v>
      </c>
      <c r="AE20" s="43">
        <f>AA20/12*0</f>
        <v>0</v>
      </c>
      <c r="AF20" s="43">
        <f t="shared" si="33"/>
        <v>0</v>
      </c>
      <c r="AG20" s="43">
        <f t="shared" si="34"/>
        <v>0</v>
      </c>
      <c r="AH20" s="43">
        <f t="shared" si="23"/>
        <v>0</v>
      </c>
      <c r="AI20" s="90"/>
    </row>
    <row r="21" ht="45" customHeight="1" spans="1:35">
      <c r="A21" s="14"/>
      <c r="B21" s="18"/>
      <c r="C21" s="14" t="s">
        <v>87</v>
      </c>
      <c r="D21" s="16" t="s">
        <v>34</v>
      </c>
      <c r="E21" s="16" t="s">
        <v>35</v>
      </c>
      <c r="F21" s="16" t="s">
        <v>40</v>
      </c>
      <c r="G21" s="29">
        <v>0</v>
      </c>
      <c r="H21" s="17">
        <v>6.88</v>
      </c>
      <c r="I21" s="42">
        <f t="shared" si="11"/>
        <v>0</v>
      </c>
      <c r="J21" s="45">
        <v>377</v>
      </c>
      <c r="K21" s="17">
        <v>8.01</v>
      </c>
      <c r="L21" s="42">
        <f t="shared" si="24"/>
        <v>3019.77</v>
      </c>
      <c r="M21" s="45">
        <v>377</v>
      </c>
      <c r="N21" s="11">
        <v>3.78</v>
      </c>
      <c r="O21" s="42">
        <f t="shared" si="25"/>
        <v>1425.06</v>
      </c>
      <c r="P21" s="43">
        <f t="shared" si="26"/>
        <v>377</v>
      </c>
      <c r="Q21" s="17">
        <v>3.68</v>
      </c>
      <c r="R21" s="42">
        <f t="shared" si="27"/>
        <v>1387.36</v>
      </c>
      <c r="S21" s="45">
        <v>0</v>
      </c>
      <c r="T21" s="11">
        <v>1.26</v>
      </c>
      <c r="U21" s="42">
        <f t="shared" si="28"/>
        <v>0</v>
      </c>
      <c r="V21" s="59">
        <v>0</v>
      </c>
      <c r="W21" s="11">
        <v>309.231</v>
      </c>
      <c r="X21" s="42">
        <f t="shared" si="29"/>
        <v>0</v>
      </c>
      <c r="Y21" s="43">
        <v>377</v>
      </c>
      <c r="Z21" s="43"/>
      <c r="AA21" s="43">
        <f t="shared" si="31"/>
        <v>5832.19</v>
      </c>
      <c r="AB21" s="62">
        <f t="shared" si="32"/>
        <v>4407.13</v>
      </c>
      <c r="AC21" s="70" t="s">
        <v>88</v>
      </c>
      <c r="AD21" s="26" t="s">
        <v>79</v>
      </c>
      <c r="AE21" s="43">
        <v>0</v>
      </c>
      <c r="AF21" s="43">
        <f t="shared" si="33"/>
        <v>5832.19</v>
      </c>
      <c r="AG21" s="43">
        <f t="shared" si="34"/>
        <v>5832.19</v>
      </c>
      <c r="AH21" s="43">
        <f t="shared" si="23"/>
        <v>11664.38</v>
      </c>
      <c r="AI21" s="86"/>
    </row>
    <row r="22" ht="45" customHeight="1" spans="1:36">
      <c r="A22" s="14" t="s">
        <v>89</v>
      </c>
      <c r="B22" s="14" t="s">
        <v>90</v>
      </c>
      <c r="C22" s="27" t="s">
        <v>91</v>
      </c>
      <c r="D22" s="16" t="s">
        <v>66</v>
      </c>
      <c r="E22" s="27" t="s">
        <v>36</v>
      </c>
      <c r="F22" s="16" t="s">
        <v>40</v>
      </c>
      <c r="G22" s="30">
        <v>18476</v>
      </c>
      <c r="H22" s="31">
        <v>5.16</v>
      </c>
      <c r="I22" s="42">
        <f t="shared" ref="I22:I27" si="36">G22*H22</f>
        <v>95336.16</v>
      </c>
      <c r="J22" s="50">
        <v>14552.78</v>
      </c>
      <c r="K22" s="17">
        <v>6.57</v>
      </c>
      <c r="L22" s="42">
        <f t="shared" si="24"/>
        <v>95611.7646</v>
      </c>
      <c r="M22" s="50">
        <v>14768.62</v>
      </c>
      <c r="N22" s="11">
        <v>3.78</v>
      </c>
      <c r="O22" s="42">
        <f t="shared" si="25"/>
        <v>55825.3836</v>
      </c>
      <c r="P22" s="43">
        <f t="shared" si="26"/>
        <v>33244.62</v>
      </c>
      <c r="Q22" s="60">
        <v>2.93</v>
      </c>
      <c r="R22" s="42">
        <f t="shared" si="27"/>
        <v>97406.7366</v>
      </c>
      <c r="S22" s="50">
        <v>0</v>
      </c>
      <c r="T22" s="11">
        <v>1.26</v>
      </c>
      <c r="U22" s="42">
        <f t="shared" si="28"/>
        <v>0</v>
      </c>
      <c r="V22" s="50">
        <v>0</v>
      </c>
      <c r="W22" s="11">
        <v>309.231</v>
      </c>
      <c r="X22" s="42">
        <f t="shared" si="29"/>
        <v>0</v>
      </c>
      <c r="Y22" s="43">
        <v>33245</v>
      </c>
      <c r="Z22" s="43"/>
      <c r="AA22" s="43">
        <f t="shared" si="31"/>
        <v>344180.0448</v>
      </c>
      <c r="AB22" s="62">
        <f t="shared" si="32"/>
        <v>193018.5012</v>
      </c>
      <c r="AC22" s="26" t="s">
        <v>92</v>
      </c>
      <c r="AD22" s="26" t="s">
        <v>64</v>
      </c>
      <c r="AE22" s="43">
        <f>AB22/12*9</f>
        <v>144763.8759</v>
      </c>
      <c r="AF22" s="43">
        <f>AB22</f>
        <v>193018.5012</v>
      </c>
      <c r="AG22" s="43">
        <f t="shared" si="34"/>
        <v>344180.0448</v>
      </c>
      <c r="AH22" s="43">
        <f t="shared" si="23"/>
        <v>681962.4219</v>
      </c>
      <c r="AI22" s="84"/>
      <c r="AJ22" s="82"/>
    </row>
    <row r="23" s="1" customFormat="1" ht="45" customHeight="1" spans="1:36">
      <c r="A23" s="15" t="s">
        <v>93</v>
      </c>
      <c r="B23" s="15" t="s">
        <v>94</v>
      </c>
      <c r="C23" s="27" t="s">
        <v>95</v>
      </c>
      <c r="D23" s="16" t="s">
        <v>96</v>
      </c>
      <c r="E23" s="16" t="s">
        <v>35</v>
      </c>
      <c r="F23" s="16" t="s">
        <v>40</v>
      </c>
      <c r="G23" s="30">
        <v>47588</v>
      </c>
      <c r="H23" s="17">
        <v>6.88</v>
      </c>
      <c r="I23" s="42">
        <f t="shared" si="36"/>
        <v>327405.44</v>
      </c>
      <c r="J23" s="50">
        <v>14859</v>
      </c>
      <c r="K23" s="17">
        <v>8.01</v>
      </c>
      <c r="L23" s="42">
        <f t="shared" si="24"/>
        <v>119020.59</v>
      </c>
      <c r="M23" s="50">
        <v>15143</v>
      </c>
      <c r="N23" s="11">
        <v>3.78</v>
      </c>
      <c r="O23" s="42">
        <f t="shared" si="25"/>
        <v>57240.54</v>
      </c>
      <c r="P23" s="43">
        <f t="shared" si="26"/>
        <v>62731</v>
      </c>
      <c r="Q23" s="17">
        <v>3.68</v>
      </c>
      <c r="R23" s="42">
        <f t="shared" si="27"/>
        <v>230850.08</v>
      </c>
      <c r="S23" s="50">
        <v>9858</v>
      </c>
      <c r="T23" s="11">
        <v>1.26</v>
      </c>
      <c r="U23" s="42">
        <f t="shared" si="28"/>
        <v>12421.08</v>
      </c>
      <c r="V23" s="50">
        <v>0</v>
      </c>
      <c r="W23" s="11">
        <v>309.231</v>
      </c>
      <c r="X23" s="42">
        <f t="shared" si="29"/>
        <v>0</v>
      </c>
      <c r="Y23" s="43">
        <f t="shared" ref="Y23:Y25" si="37">G23+M23+S23</f>
        <v>72589</v>
      </c>
      <c r="Z23" s="43"/>
      <c r="AA23" s="43">
        <f t="shared" si="31"/>
        <v>746937.73</v>
      </c>
      <c r="AB23" s="62">
        <f t="shared" si="32"/>
        <v>349870.67</v>
      </c>
      <c r="AC23" s="26">
        <v>2025.7</v>
      </c>
      <c r="AD23" s="26" t="s">
        <v>97</v>
      </c>
      <c r="AE23" s="43">
        <f>AB23/12*5</f>
        <v>145779.445833333</v>
      </c>
      <c r="AF23" s="43">
        <f>AA23/12*5+AB23/12*7</f>
        <v>515315.278333333</v>
      </c>
      <c r="AG23" s="43">
        <f t="shared" si="34"/>
        <v>746937.73</v>
      </c>
      <c r="AH23" s="43">
        <f t="shared" si="23"/>
        <v>1408032.45416667</v>
      </c>
      <c r="AI23" s="91"/>
      <c r="AJ23" s="92"/>
    </row>
    <row r="24" s="1" customFormat="1" ht="45" customHeight="1" spans="1:36">
      <c r="A24" s="18"/>
      <c r="B24" s="32"/>
      <c r="C24" s="27" t="s">
        <v>98</v>
      </c>
      <c r="D24" s="16" t="s">
        <v>96</v>
      </c>
      <c r="E24" s="16" t="s">
        <v>35</v>
      </c>
      <c r="F24" s="16" t="s">
        <v>40</v>
      </c>
      <c r="G24" s="30">
        <v>43500</v>
      </c>
      <c r="H24" s="17">
        <v>6.88</v>
      </c>
      <c r="I24" s="42">
        <f t="shared" si="36"/>
        <v>299280</v>
      </c>
      <c r="J24" s="50">
        <v>8180</v>
      </c>
      <c r="K24" s="17">
        <v>8.01</v>
      </c>
      <c r="L24" s="42">
        <f t="shared" si="24"/>
        <v>65521.8</v>
      </c>
      <c r="M24" s="50">
        <v>16500</v>
      </c>
      <c r="N24" s="11">
        <v>3.78</v>
      </c>
      <c r="O24" s="42">
        <f t="shared" si="25"/>
        <v>62370</v>
      </c>
      <c r="P24" s="43">
        <f t="shared" si="26"/>
        <v>60000</v>
      </c>
      <c r="Q24" s="17">
        <v>3.68</v>
      </c>
      <c r="R24" s="42">
        <f t="shared" si="27"/>
        <v>220800</v>
      </c>
      <c r="S24" s="50">
        <v>0</v>
      </c>
      <c r="T24" s="11">
        <v>1.26</v>
      </c>
      <c r="U24" s="42">
        <f t="shared" si="28"/>
        <v>0</v>
      </c>
      <c r="V24" s="50">
        <v>0</v>
      </c>
      <c r="W24" s="11">
        <v>309.231</v>
      </c>
      <c r="X24" s="42">
        <f t="shared" si="29"/>
        <v>0</v>
      </c>
      <c r="Y24" s="43">
        <f t="shared" si="37"/>
        <v>60000</v>
      </c>
      <c r="Z24" s="43"/>
      <c r="AA24" s="43">
        <f t="shared" si="31"/>
        <v>647971.8</v>
      </c>
      <c r="AB24" s="62">
        <f t="shared" si="32"/>
        <v>286321.8</v>
      </c>
      <c r="AC24" s="26">
        <v>2025.12</v>
      </c>
      <c r="AD24" s="26" t="s">
        <v>42</v>
      </c>
      <c r="AE24" s="43">
        <f>AA24/12*0</f>
        <v>0</v>
      </c>
      <c r="AF24" s="43">
        <f>AB24/12*12</f>
        <v>286321.8</v>
      </c>
      <c r="AG24" s="43">
        <f t="shared" si="34"/>
        <v>647971.8</v>
      </c>
      <c r="AH24" s="43">
        <f t="shared" si="23"/>
        <v>934293.6</v>
      </c>
      <c r="AI24" s="84"/>
      <c r="AJ24" s="92"/>
    </row>
    <row r="25" s="1" customFormat="1" ht="45" customHeight="1" spans="1:36">
      <c r="A25" s="32"/>
      <c r="B25" s="14" t="s">
        <v>99</v>
      </c>
      <c r="C25" s="27" t="s">
        <v>100</v>
      </c>
      <c r="D25" s="16" t="s">
        <v>101</v>
      </c>
      <c r="E25" s="16" t="s">
        <v>35</v>
      </c>
      <c r="F25" s="16" t="s">
        <v>40</v>
      </c>
      <c r="G25" s="30">
        <v>66860</v>
      </c>
      <c r="H25" s="17">
        <v>6.88</v>
      </c>
      <c r="I25" s="42">
        <f t="shared" si="36"/>
        <v>459996.8</v>
      </c>
      <c r="J25" s="50">
        <v>33036</v>
      </c>
      <c r="K25" s="17">
        <v>8.01</v>
      </c>
      <c r="L25" s="42">
        <f t="shared" si="24"/>
        <v>264618.36</v>
      </c>
      <c r="M25" s="50">
        <v>33036</v>
      </c>
      <c r="N25" s="11">
        <v>3.78</v>
      </c>
      <c r="O25" s="42">
        <f t="shared" si="25"/>
        <v>124876.08</v>
      </c>
      <c r="P25" s="43">
        <f t="shared" si="26"/>
        <v>99896</v>
      </c>
      <c r="Q25" s="17">
        <v>3.68</v>
      </c>
      <c r="R25" s="42">
        <f t="shared" si="27"/>
        <v>367617.28</v>
      </c>
      <c r="S25" s="50">
        <v>0</v>
      </c>
      <c r="T25" s="11">
        <v>1.26</v>
      </c>
      <c r="U25" s="42">
        <f t="shared" si="28"/>
        <v>0</v>
      </c>
      <c r="V25" s="50">
        <v>0</v>
      </c>
      <c r="W25" s="11">
        <v>309.231</v>
      </c>
      <c r="X25" s="42">
        <f t="shared" si="29"/>
        <v>0</v>
      </c>
      <c r="Y25" s="43">
        <f t="shared" si="37"/>
        <v>99896</v>
      </c>
      <c r="Z25" s="43"/>
      <c r="AA25" s="43">
        <f t="shared" si="31"/>
        <v>1217108.52</v>
      </c>
      <c r="AB25" s="62">
        <f t="shared" si="32"/>
        <v>632235.64</v>
      </c>
      <c r="AC25" s="26">
        <v>2026.12</v>
      </c>
      <c r="AD25" s="26" t="s">
        <v>102</v>
      </c>
      <c r="AE25" s="43">
        <f>AA25/12*0</f>
        <v>0</v>
      </c>
      <c r="AF25" s="43">
        <f>AA25/12*0</f>
        <v>0</v>
      </c>
      <c r="AG25" s="43">
        <f>AB25/12*12</f>
        <v>632235.64</v>
      </c>
      <c r="AH25" s="43">
        <f t="shared" si="23"/>
        <v>632235.64</v>
      </c>
      <c r="AI25" s="84"/>
      <c r="AJ25" s="92"/>
    </row>
    <row r="26" ht="45" customHeight="1" spans="1:35">
      <c r="A26" s="14" t="s">
        <v>103</v>
      </c>
      <c r="B26" s="14" t="s">
        <v>104</v>
      </c>
      <c r="C26" s="27"/>
      <c r="D26" s="16" t="s">
        <v>34</v>
      </c>
      <c r="E26" s="27" t="s">
        <v>36</v>
      </c>
      <c r="F26" s="16" t="s">
        <v>40</v>
      </c>
      <c r="G26" s="30">
        <v>34280</v>
      </c>
      <c r="H26" s="31">
        <v>5.16</v>
      </c>
      <c r="I26" s="42">
        <f t="shared" si="36"/>
        <v>176884.8</v>
      </c>
      <c r="J26" s="50">
        <v>22808</v>
      </c>
      <c r="K26" s="17">
        <v>6.57</v>
      </c>
      <c r="L26" s="42">
        <f t="shared" si="24"/>
        <v>149848.56</v>
      </c>
      <c r="M26" s="50">
        <v>28353</v>
      </c>
      <c r="N26" s="11">
        <v>3.78</v>
      </c>
      <c r="O26" s="42">
        <f t="shared" si="25"/>
        <v>107174.34</v>
      </c>
      <c r="P26" s="43">
        <f t="shared" si="26"/>
        <v>62633</v>
      </c>
      <c r="Q26" s="60">
        <v>2.93</v>
      </c>
      <c r="R26" s="42">
        <f t="shared" si="27"/>
        <v>183514.69</v>
      </c>
      <c r="S26" s="50">
        <v>0</v>
      </c>
      <c r="T26" s="11">
        <v>1.26</v>
      </c>
      <c r="U26" s="42">
        <f t="shared" si="28"/>
        <v>0</v>
      </c>
      <c r="V26" s="50">
        <v>0</v>
      </c>
      <c r="W26" s="11">
        <v>309.231</v>
      </c>
      <c r="X26" s="42">
        <f t="shared" si="29"/>
        <v>0</v>
      </c>
      <c r="Y26" s="43">
        <v>62633</v>
      </c>
      <c r="Z26" s="42">
        <v>100000</v>
      </c>
      <c r="AA26" s="43">
        <f>I26+L26+O26+R26+U26+X26+Z26</f>
        <v>717422.39</v>
      </c>
      <c r="AB26" s="62">
        <f t="shared" si="32"/>
        <v>333363.25</v>
      </c>
      <c r="AC26" s="26" t="s">
        <v>105</v>
      </c>
      <c r="AD26" s="26" t="s">
        <v>37</v>
      </c>
      <c r="AE26" s="43">
        <f>AA26/12*9</f>
        <v>538066.7925</v>
      </c>
      <c r="AF26" s="43">
        <f t="shared" si="33"/>
        <v>717422.39</v>
      </c>
      <c r="AG26" s="43">
        <f t="shared" si="34"/>
        <v>717422.39</v>
      </c>
      <c r="AH26" s="43">
        <f t="shared" si="23"/>
        <v>1972911.5725</v>
      </c>
      <c r="AI26" s="93" t="s">
        <v>106</v>
      </c>
    </row>
    <row r="27" ht="37" customHeight="1" spans="1:35">
      <c r="A27" s="33" t="s">
        <v>107</v>
      </c>
      <c r="B27" s="33"/>
      <c r="C27" s="33"/>
      <c r="D27" s="33"/>
      <c r="E27" s="33"/>
      <c r="F27" s="33"/>
      <c r="G27" s="34"/>
      <c r="H27" s="35"/>
      <c r="I27" s="51">
        <f t="shared" si="36"/>
        <v>0</v>
      </c>
      <c r="J27" s="35"/>
      <c r="K27" s="35"/>
      <c r="L27" s="51">
        <f t="shared" si="24"/>
        <v>0</v>
      </c>
      <c r="M27" s="35"/>
      <c r="N27" s="35"/>
      <c r="O27" s="35"/>
      <c r="P27" s="35"/>
      <c r="Q27" s="35"/>
      <c r="R27" s="51">
        <f t="shared" si="27"/>
        <v>0</v>
      </c>
      <c r="S27" s="35"/>
      <c r="T27" s="35"/>
      <c r="U27" s="51"/>
      <c r="V27" s="35"/>
      <c r="W27" s="35"/>
      <c r="X27" s="51"/>
      <c r="Y27" s="71">
        <f>SUM(Y5:Y26)</f>
        <v>810673.19</v>
      </c>
      <c r="Z27" s="72"/>
      <c r="AA27" s="73">
        <f>SUM(AA5:AA26)</f>
        <v>9419707.9415</v>
      </c>
      <c r="AB27" s="74"/>
      <c r="AC27" s="75"/>
      <c r="AD27" s="75"/>
      <c r="AE27" s="76">
        <f>SUM(AE3:AE26)</f>
        <v>6315334.88719001</v>
      </c>
      <c r="AF27" s="76">
        <f>SUM(AF3:AF26)</f>
        <v>10309473.2206089</v>
      </c>
      <c r="AG27" s="76">
        <f>SUM(AG3:AG26)</f>
        <v>11876866.5062756</v>
      </c>
      <c r="AH27" s="76">
        <f t="shared" si="23"/>
        <v>28501674.6140745</v>
      </c>
      <c r="AI27" s="94"/>
    </row>
    <row r="28" ht="35" customHeight="1" spans="1:35">
      <c r="A28" s="36" t="s">
        <v>108</v>
      </c>
      <c r="B28" s="37"/>
      <c r="C28" s="38"/>
      <c r="D28" s="33"/>
      <c r="E28" s="33"/>
      <c r="F28" s="33"/>
      <c r="G28" s="35"/>
      <c r="H28" s="35"/>
      <c r="I28" s="52"/>
      <c r="J28" s="35"/>
      <c r="K28" s="35"/>
      <c r="L28" s="52"/>
      <c r="M28" s="35"/>
      <c r="N28" s="35"/>
      <c r="O28" s="35"/>
      <c r="P28" s="35"/>
      <c r="Q28" s="35"/>
      <c r="R28" s="52"/>
      <c r="S28" s="35"/>
      <c r="T28" s="35"/>
      <c r="U28" s="35"/>
      <c r="V28" s="35"/>
      <c r="W28" s="35"/>
      <c r="X28" s="35"/>
      <c r="Y28" s="35"/>
      <c r="Z28" s="35"/>
      <c r="AA28" s="77"/>
      <c r="AB28" s="74"/>
      <c r="AC28" s="75"/>
      <c r="AD28" s="75"/>
      <c r="AE28" s="78">
        <v>400000</v>
      </c>
      <c r="AF28" s="78">
        <v>400000</v>
      </c>
      <c r="AG28" s="78">
        <v>400000</v>
      </c>
      <c r="AH28" s="95">
        <f t="shared" si="23"/>
        <v>1200000</v>
      </c>
      <c r="AI28" s="91" t="s">
        <v>109</v>
      </c>
    </row>
    <row r="29" ht="40" customHeight="1" spans="1:35">
      <c r="A29" s="33" t="s">
        <v>107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76">
        <f>AE27+AE28</f>
        <v>6715334.88719001</v>
      </c>
      <c r="AF29" s="76">
        <f>AF27+AF28</f>
        <v>10709473.2206089</v>
      </c>
      <c r="AG29" s="76">
        <f>AG27+AG28</f>
        <v>12276866.5062756</v>
      </c>
      <c r="AH29" s="76">
        <f t="shared" si="23"/>
        <v>29701674.6140745</v>
      </c>
      <c r="AI29" s="96"/>
    </row>
    <row r="30" ht="145" customHeight="1" spans="1:35">
      <c r="A30" s="39" t="s">
        <v>110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</sheetData>
  <sheetProtection algorithmName="SHA-512" hashValue="DdwoWQibNa894UdQc5cpmVLx+amZoHuECdWJUrZNvwGFjAy/lk8dSyYxXXlJyeL4ZMiGSR0+fXpNSbq9rELPZA==" saltValue="8JHsSEhCxHBB8BG0II0PsA==" spinCount="100000" sheet="1" objects="1"/>
  <mergeCells count="14">
    <mergeCell ref="A1:AI1"/>
    <mergeCell ref="A27:C27"/>
    <mergeCell ref="A28:C28"/>
    <mergeCell ref="A29:C29"/>
    <mergeCell ref="G29:AC29"/>
    <mergeCell ref="A30:AI30"/>
    <mergeCell ref="A3:A4"/>
    <mergeCell ref="A5:A15"/>
    <mergeCell ref="A16:A21"/>
    <mergeCell ref="A23:A25"/>
    <mergeCell ref="B3:B4"/>
    <mergeCell ref="B5:B15"/>
    <mergeCell ref="B16:B21"/>
    <mergeCell ref="B23:B24"/>
  </mergeCells>
  <pageMargins left="0.7" right="0.7" top="0.75" bottom="0.75" header="0.3" footer="0.3"/>
  <pageSetup paperSize="8" scale="50" fitToHeight="0" orientation="landscape"/>
  <headerFooter/>
  <ignoredErrors>
    <ignoredError sqref="AF15 AE4:AF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郑</cp:lastModifiedBy>
  <dcterms:created xsi:type="dcterms:W3CDTF">2020-07-28T00:44:00Z</dcterms:created>
  <cp:lastPrinted>2022-10-09T03:39:00Z</cp:lastPrinted>
  <dcterms:modified xsi:type="dcterms:W3CDTF">2025-02-19T02:54:58Z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CE16D23C06614B7A983BCBB714DC43AD_13</vt:lpwstr>
  </property>
</Properties>
</file>