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全桥工程数量表" sheetId="13" r:id="rId1"/>
    <sheet name="上部及附属" sheetId="14" r:id="rId2"/>
  </sheets>
  <definedNames>
    <definedName name="_xlnm.Print_Area" localSheetId="0">全桥工程数量表!$A$1:$U$52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<sst xmlns="http://schemas.openxmlformats.org/spreadsheetml/2006/main" count="220" uniqueCount="151">
  <si>
    <t>全桥主要材料及工程数量表</t>
  </si>
  <si>
    <t>庆安镇园满创智科技园桥建设工程施工图设计   庆安镇园满创智科技园桥</t>
  </si>
  <si>
    <t>S4-3</t>
  </si>
  <si>
    <t xml:space="preserve">
材料</t>
  </si>
  <si>
    <t>项目</t>
  </si>
  <si>
    <t>单位</t>
  </si>
  <si>
    <t>上      部      构      造</t>
  </si>
  <si>
    <t>下      部      结      构</t>
  </si>
  <si>
    <t>搭板</t>
  </si>
  <si>
    <t>锥坡</t>
  </si>
  <si>
    <t>总计</t>
  </si>
  <si>
    <t>预制板梁</t>
  </si>
  <si>
    <t>铰缝</t>
  </si>
  <si>
    <t>铺装</t>
  </si>
  <si>
    <t>桥面排水</t>
  </si>
  <si>
    <t>护栏</t>
  </si>
  <si>
    <t>伸缩缝</t>
  </si>
  <si>
    <t>支座及预埋件</t>
  </si>
  <si>
    <t>桥      台</t>
  </si>
  <si>
    <t>台帽</t>
  </si>
  <si>
    <t>垫石</t>
  </si>
  <si>
    <t>防震锚栓</t>
  </si>
  <si>
    <t>耳背墙及挡块</t>
  </si>
  <si>
    <t>基础</t>
  </si>
  <si>
    <t>混凝土</t>
  </si>
  <si>
    <t>C50</t>
  </si>
  <si>
    <r>
      <rPr>
        <sz val="10"/>
        <rFont val="宋体"/>
        <charset val="134"/>
        <scheme val="minor"/>
      </rPr>
      <t>m</t>
    </r>
    <r>
      <rPr>
        <vertAlign val="superscript"/>
        <sz val="10"/>
        <rFont val="宋体"/>
        <charset val="134"/>
        <scheme val="minor"/>
      </rPr>
      <t>3</t>
    </r>
  </si>
  <si>
    <t>C50钢纤维</t>
  </si>
  <si>
    <t>C50聚丙烯纤维防水</t>
  </si>
  <si>
    <t>C40</t>
  </si>
  <si>
    <t>C40小石子</t>
  </si>
  <si>
    <t>C35</t>
  </si>
  <si>
    <t>C30</t>
  </si>
  <si>
    <t>C30水下</t>
  </si>
  <si>
    <t>C25</t>
  </si>
  <si>
    <t>C20小石子</t>
  </si>
  <si>
    <t>小计</t>
  </si>
  <si>
    <t>沥青混凝土</t>
  </si>
  <si>
    <t>柔性防水层</t>
  </si>
  <si>
    <r>
      <rPr>
        <sz val="10"/>
        <rFont val="宋体"/>
        <charset val="134"/>
        <scheme val="minor"/>
      </rPr>
      <t>m</t>
    </r>
    <r>
      <rPr>
        <vertAlign val="superscript"/>
        <sz val="10"/>
        <rFont val="宋体"/>
        <charset val="134"/>
        <scheme val="minor"/>
      </rPr>
      <t>2</t>
    </r>
  </si>
  <si>
    <t>D12钢筋网</t>
  </si>
  <si>
    <t>Kg</t>
  </si>
  <si>
    <r>
      <rPr>
        <i/>
        <sz val="10"/>
        <rFont val="SJQY"/>
        <charset val="134"/>
      </rPr>
      <t>A</t>
    </r>
    <r>
      <rPr>
        <vertAlign val="superscript"/>
        <sz val="10"/>
        <rFont val="SJQY"/>
        <charset val="134"/>
      </rPr>
      <t>s</t>
    </r>
    <r>
      <rPr>
        <sz val="10"/>
        <rFont val="宋体"/>
        <charset val="134"/>
        <scheme val="minor"/>
      </rPr>
      <t>15.2钢铰线</t>
    </r>
  </si>
  <si>
    <t>钢筋</t>
  </si>
  <si>
    <t>HPB300</t>
  </si>
  <si>
    <r>
      <rPr>
        <i/>
        <sz val="10"/>
        <rFont val="SJQY"/>
        <charset val="134"/>
      </rPr>
      <t>A</t>
    </r>
    <r>
      <rPr>
        <i/>
        <sz val="10"/>
        <rFont val="宋体"/>
        <charset val="134"/>
        <scheme val="major"/>
      </rPr>
      <t>25</t>
    </r>
  </si>
  <si>
    <r>
      <rPr>
        <i/>
        <sz val="10"/>
        <rFont val="SJQY"/>
        <charset val="134"/>
      </rPr>
      <t>A</t>
    </r>
    <r>
      <rPr>
        <i/>
        <sz val="10"/>
        <rFont val="宋体"/>
        <charset val="134"/>
        <scheme val="major"/>
      </rPr>
      <t>20</t>
    </r>
  </si>
  <si>
    <r>
      <rPr>
        <i/>
        <sz val="10"/>
        <rFont val="SJQY"/>
        <charset val="134"/>
      </rPr>
      <t>A</t>
    </r>
    <r>
      <rPr>
        <i/>
        <sz val="10"/>
        <rFont val="宋体"/>
        <charset val="134"/>
        <scheme val="major"/>
      </rPr>
      <t>16</t>
    </r>
  </si>
  <si>
    <r>
      <rPr>
        <i/>
        <sz val="10"/>
        <rFont val="SJQY"/>
        <charset val="134"/>
      </rPr>
      <t>A</t>
    </r>
    <r>
      <rPr>
        <i/>
        <sz val="10"/>
        <rFont val="宋体"/>
        <charset val="134"/>
        <scheme val="major"/>
      </rPr>
      <t>10</t>
    </r>
  </si>
  <si>
    <r>
      <rPr>
        <i/>
        <sz val="10"/>
        <rFont val="SJQY"/>
        <charset val="134"/>
      </rPr>
      <t>A</t>
    </r>
    <r>
      <rPr>
        <i/>
        <sz val="10"/>
        <rFont val="宋体"/>
        <charset val="134"/>
        <scheme val="major"/>
      </rPr>
      <t>8</t>
    </r>
  </si>
  <si>
    <t>HRB400</t>
  </si>
  <si>
    <r>
      <rPr>
        <i/>
        <sz val="10"/>
        <rFont val="SJQY"/>
        <charset val="134"/>
      </rPr>
      <t>C</t>
    </r>
    <r>
      <rPr>
        <i/>
        <sz val="10"/>
        <rFont val="宋体"/>
        <charset val="134"/>
        <scheme val="major"/>
      </rPr>
      <t>25</t>
    </r>
  </si>
  <si>
    <r>
      <rPr>
        <i/>
        <sz val="10"/>
        <rFont val="SJQY"/>
        <charset val="134"/>
      </rPr>
      <t>C</t>
    </r>
    <r>
      <rPr>
        <i/>
        <sz val="10"/>
        <rFont val="宋体"/>
        <charset val="134"/>
        <scheme val="major"/>
      </rPr>
      <t>16</t>
    </r>
  </si>
  <si>
    <r>
      <rPr>
        <i/>
        <sz val="10"/>
        <rFont val="SJQY"/>
        <charset val="134"/>
      </rPr>
      <t>C</t>
    </r>
    <r>
      <rPr>
        <i/>
        <sz val="10"/>
        <rFont val="宋体"/>
        <charset val="134"/>
        <scheme val="major"/>
      </rPr>
      <t>12</t>
    </r>
  </si>
  <si>
    <r>
      <rPr>
        <i/>
        <sz val="10"/>
        <rFont val="SJQY"/>
        <charset val="134"/>
      </rPr>
      <t>C</t>
    </r>
    <r>
      <rPr>
        <i/>
        <sz val="10"/>
        <rFont val="宋体"/>
        <charset val="134"/>
        <scheme val="major"/>
      </rPr>
      <t>10</t>
    </r>
  </si>
  <si>
    <t>其它钢材</t>
  </si>
  <si>
    <t>钢板</t>
  </si>
  <si>
    <t>□460x20x430</t>
  </si>
  <si>
    <t>□440x15x410</t>
  </si>
  <si>
    <t>Q345C</t>
  </si>
  <si>
    <t>锌铁皮</t>
  </si>
  <si>
    <t>钢管</t>
  </si>
  <si>
    <r>
      <rPr>
        <sz val="10"/>
        <rFont val="SJQY"/>
        <charset val="134"/>
      </rPr>
      <t>A</t>
    </r>
    <r>
      <rPr>
        <sz val="10"/>
        <rFont val="宋体"/>
        <charset val="134"/>
        <scheme val="minor"/>
      </rPr>
      <t>38×2.5</t>
    </r>
  </si>
  <si>
    <t>支座</t>
  </si>
  <si>
    <t>GBZY250x52(CR)</t>
  </si>
  <si>
    <t>个</t>
  </si>
  <si>
    <t>铸铁泄
水管</t>
  </si>
  <si>
    <t>泄水钢管</t>
  </si>
  <si>
    <t>矩形泄水管</t>
  </si>
  <si>
    <t>土工布</t>
  </si>
  <si>
    <t>G2011玻纤格栅</t>
  </si>
  <si>
    <t>碎石盲沟</t>
  </si>
  <si>
    <t>橡胶缓冲块</t>
  </si>
  <si>
    <t>涂装</t>
  </si>
  <si>
    <t>混凝土定位块</t>
  </si>
  <si>
    <t>聚合物水泥砂浆</t>
  </si>
  <si>
    <t>M40伸缩缝</t>
  </si>
  <si>
    <t>m</t>
  </si>
  <si>
    <t>M15水泥砂浆</t>
  </si>
  <si>
    <t>C30实心六角预制块</t>
  </si>
  <si>
    <t>填方</t>
  </si>
  <si>
    <t>挖方</t>
  </si>
  <si>
    <t>编制：</t>
  </si>
  <si>
    <t>复核：</t>
  </si>
  <si>
    <t>12m-单幅一孔</t>
  </si>
  <si>
    <t>全桥合计</t>
  </si>
  <si>
    <t>斜度a</t>
  </si>
  <si>
    <t>5</t>
  </si>
  <si>
    <t>预P制P板</t>
  </si>
  <si>
    <t>C50混凝土(m{3})</t>
  </si>
  <si>
    <t>C40封头混凝土(m{3})</t>
  </si>
  <si>
    <t>钢绞线 (kg)</t>
  </si>
  <si>
    <t>^{s}15.2</t>
  </si>
  <si>
    <t>钢 筋 (kg)</t>
  </si>
  <si>
    <t>^16</t>
  </si>
  <si>
    <t>^10</t>
  </si>
  <si>
    <t>^8</t>
  </si>
  <si>
    <t>Q235钢板(kg/块)</t>
  </si>
  <si>
    <t>现浇桥面</t>
  </si>
  <si>
    <t>D12焊接网(kg)</t>
  </si>
  <si>
    <t>钝角钢筋(kg)</t>
  </si>
  <si>
    <t>铰缝C50混凝土(m{3})</t>
  </si>
  <si>
    <t>铰缝钢筋(kg)</t>
  </si>
  <si>
    <t>桥面沥青混凝土(m{3})</t>
  </si>
  <si>
    <t>柔性防水层(m{2})</t>
  </si>
  <si>
    <t>M15水泥砂浆(m{3})</t>
  </si>
  <si>
    <t>涂装面积(m{2})</t>
  </si>
  <si>
    <t>其他数量</t>
  </si>
  <si>
    <t>全桥数量</t>
  </si>
  <si>
    <t>GBZY d250x63(CR)</t>
  </si>
  <si>
    <t>GBZYH d250x65(CR)</t>
  </si>
  <si>
    <t>预埋钢板</t>
  </si>
  <si>
    <t>一道桥面连续</t>
  </si>
  <si>
    <t>全桥个数</t>
  </si>
  <si>
    <t>桥面连续</t>
  </si>
  <si>
    <t>单孔一侧数量</t>
  </si>
  <si>
    <t>外侧单个耳墙段</t>
  </si>
  <si>
    <t>内侧左单个耳墙段</t>
  </si>
  <si>
    <t>内侧右单个耳墙段</t>
  </si>
  <si>
    <t>系梁</t>
  </si>
  <si>
    <t>预埋件</t>
  </si>
  <si>
    <t>C35混凝土(m{3})</t>
  </si>
  <si>
    <t>钢管桩</t>
  </si>
  <si>
    <t>∅140x4.5</t>
  </si>
  <si>
    <t>200X200X10 钢板</t>
  </si>
  <si>
    <t>M60伸缩缝</t>
  </si>
  <si>
    <t>一条伸缩缝数量</t>
  </si>
  <si>
    <t>长度（m）</t>
  </si>
  <si>
    <t>C50钢纤维砼</t>
  </si>
  <si>
    <t>单幅一个桥台</t>
  </si>
  <si>
    <t>20(Kg)</t>
  </si>
  <si>
    <t>16(Kg)</t>
  </si>
  <si>
    <t>12(Kg)</t>
  </si>
  <si>
    <t>^10(Kg)</t>
  </si>
  <si>
    <t>D=40mm钢管(m)</t>
  </si>
  <si>
    <t>C30混凝土(m{3} )</t>
  </si>
  <si>
    <t>一孔16m</t>
  </si>
  <si>
    <t>泄水钢管(Kg)</t>
  </si>
  <si>
    <t>矩形泄水管(Kg)</t>
  </si>
  <si>
    <t>土工布(m2)</t>
  </si>
  <si>
    <t>^8补强钢筋(Kg)</t>
  </si>
  <si>
    <t>G2011玻纤格栅(m2)</t>
  </si>
  <si>
    <t>碎石盲沟(m3)</t>
  </si>
  <si>
    <t>PVC管（m）</t>
  </si>
  <si>
    <t>集中排水时</t>
  </si>
  <si>
    <t>钢护筒</t>
  </si>
  <si>
    <t>个数</t>
  </si>
  <si>
    <t>桩径</t>
  </si>
  <si>
    <t>高度</t>
  </si>
  <si>
    <t>重量</t>
  </si>
  <si>
    <t>t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</si>
</sst>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1">
    <numFmt numFmtId="24" formatCode="\$#,##0_);[Red]\(\$#,##0\)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&quot;孔&quot;"/>
    <numFmt numFmtId="177" formatCode="0.0_ "/>
    <numFmt numFmtId="178" formatCode="0.000_ "/>
    <numFmt numFmtId="179" formatCode="0.0"/>
    <numFmt numFmtId="180" formatCode="0_ "/>
    <numFmt numFmtId="181" formatCode="&quot;$&quot;0"/>
  </numFmts>
  <fonts count="40">
    <font>
      <sz val="11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14"/>
      <name val="宋体"/>
      <charset val="134"/>
      <scheme val="minor"/>
    </font>
    <font>
      <sz val="10"/>
      <name val="宋体"/>
      <charset val="134"/>
      <scheme val="minor"/>
    </font>
    <font>
      <b/>
      <sz val="10"/>
      <name val="宋体"/>
      <charset val="134"/>
      <scheme val="minor"/>
    </font>
    <font>
      <i/>
      <sz val="10"/>
      <name val="宋体"/>
      <charset val="134"/>
      <scheme val="minor"/>
    </font>
    <font>
      <i/>
      <sz val="10"/>
      <name val="宋体"/>
      <charset val="134"/>
      <scheme val="minor"/>
    </font>
    <font>
      <i/>
      <sz val="10"/>
      <name val="SJQY"/>
      <charset val="134"/>
    </font>
    <font>
      <sz val="10"/>
      <name val="宋体"/>
      <charset val="134"/>
      <scheme val="major"/>
    </font>
    <font>
      <sz val="10"/>
      <name val="SJQY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0"/>
      <name val="宋体"/>
      <charset val="134"/>
      <scheme val="major"/>
    </font>
    <font>
      <vertAlign val="superscript"/>
      <sz val="10"/>
      <name val="宋体"/>
      <charset val="134"/>
      <scheme val="minor"/>
    </font>
    <font>
      <i/>
      <sz val="10"/>
      <name val="SJQY"/>
      <charset val="134"/>
    </font>
    <font>
      <vertAlign val="superscript"/>
      <sz val="10"/>
      <name val="SJQY"/>
      <charset val="134"/>
    </font>
  </fonts>
  <fills count="40">
    <fill>
      <patternFill patternType="none"/>
    </fill>
    <fill>
      <patternFill patternType="gray125"/>
    </fill>
    <fill>
      <patternFill patternType="solid">
        <fgColor rgb="FF33CC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9" borderId="20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23" fillId="0" borderId="21" applyNumberFormat="0" applyFill="0" applyAlignment="0" applyProtection="0">
      <alignment vertical="center"/>
    </xf>
    <xf numFmtId="0" fontId="24" fillId="0" borderId="22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10" borderId="23" applyNumberFormat="0" applyAlignment="0" applyProtection="0">
      <alignment vertical="center"/>
    </xf>
    <xf numFmtId="0" fontId="26" fillId="11" borderId="24" applyNumberFormat="0" applyAlignment="0" applyProtection="0">
      <alignment vertical="center"/>
    </xf>
    <xf numFmtId="0" fontId="27" fillId="11" borderId="23" applyNumberFormat="0" applyAlignment="0" applyProtection="0">
      <alignment vertical="center"/>
    </xf>
    <xf numFmtId="0" fontId="28" fillId="12" borderId="25" applyNumberFormat="0" applyAlignment="0" applyProtection="0">
      <alignment vertical="center"/>
    </xf>
    <xf numFmtId="0" fontId="29" fillId="0" borderId="26" applyNumberFormat="0" applyFill="0" applyAlignment="0" applyProtection="0">
      <alignment vertical="center"/>
    </xf>
    <xf numFmtId="0" fontId="30" fillId="0" borderId="27" applyNumberFormat="0" applyFill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</cellStyleXfs>
  <cellXfs count="100">
    <xf numFmtId="0" fontId="0" fillId="0" borderId="0" xfId="0"/>
    <xf numFmtId="0" fontId="0" fillId="0" borderId="0" xfId="0" applyAlignment="1">
      <alignment horizontal="center" vertical="center"/>
    </xf>
    <xf numFmtId="49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9" fontId="0" fillId="2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7" fontId="2" fillId="3" borderId="1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24" fontId="0" fillId="0" borderId="1" xfId="0" applyNumberFormat="1" applyBorder="1" applyAlignment="1">
      <alignment horizontal="center" vertical="center" wrapText="1"/>
    </xf>
    <xf numFmtId="24" fontId="0" fillId="4" borderId="1" xfId="0" applyNumberFormat="1" applyFill="1" applyBorder="1" applyAlignment="1">
      <alignment horizontal="center" vertical="center" wrapText="1"/>
    </xf>
    <xf numFmtId="177" fontId="2" fillId="4" borderId="1" xfId="0" applyNumberFormat="1" applyFont="1" applyFill="1" applyBorder="1" applyAlignment="1">
      <alignment horizontal="center" vertical="center" wrapText="1"/>
    </xf>
    <xf numFmtId="177" fontId="3" fillId="4" borderId="1" xfId="0" applyNumberFormat="1" applyFont="1" applyFill="1" applyBorder="1" applyAlignment="1">
      <alignment horizontal="center" vertical="center"/>
    </xf>
    <xf numFmtId="177" fontId="2" fillId="5" borderId="1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Border="1" applyAlignment="1">
      <alignment horizontal="center" vertical="center" wrapText="1"/>
    </xf>
    <xf numFmtId="49" fontId="0" fillId="4" borderId="1" xfId="0" applyNumberForma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2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 wrapText="1"/>
    </xf>
    <xf numFmtId="49" fontId="0" fillId="0" borderId="1" xfId="0" applyNumberFormat="1" applyBorder="1" applyAlignment="1">
      <alignment vertical="center" wrapText="1"/>
    </xf>
    <xf numFmtId="24" fontId="0" fillId="0" borderId="6" xfId="0" applyNumberFormat="1" applyBorder="1" applyAlignment="1">
      <alignment horizontal="center" vertical="center"/>
    </xf>
    <xf numFmtId="24" fontId="0" fillId="0" borderId="2" xfId="0" applyNumberFormat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0" fillId="0" borderId="8" xfId="0" applyBorder="1" applyAlignment="1">
      <alignment horizontal="center" vertical="center"/>
    </xf>
    <xf numFmtId="178" fontId="0" fillId="2" borderId="1" xfId="0" applyNumberFormat="1" applyFill="1" applyBorder="1" applyAlignment="1">
      <alignment horizontal="center" vertical="center"/>
    </xf>
    <xf numFmtId="178" fontId="0" fillId="4" borderId="1" xfId="0" applyNumberForma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7" fontId="0" fillId="2" borderId="1" xfId="0" applyNumberForma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79" fontId="0" fillId="0" borderId="1" xfId="0" applyNumberFormat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177" fontId="7" fillId="7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179" fontId="0" fillId="8" borderId="1" xfId="0" applyNumberFormat="1" applyFill="1" applyBorder="1" applyAlignment="1">
      <alignment horizontal="center" vertical="center"/>
    </xf>
    <xf numFmtId="0" fontId="0" fillId="0" borderId="0" xfId="0" applyFill="1"/>
    <xf numFmtId="180" fontId="8" fillId="0" borderId="0" xfId="0" applyNumberFormat="1" applyFont="1" applyFill="1" applyAlignment="1">
      <alignment horizontal="center" vertical="center"/>
    </xf>
    <xf numFmtId="177" fontId="8" fillId="0" borderId="0" xfId="0" applyNumberFormat="1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left" vertical="center"/>
    </xf>
    <xf numFmtId="0" fontId="8" fillId="0" borderId="9" xfId="0" applyFont="1" applyFill="1" applyBorder="1" applyAlignment="1">
      <alignment horizontal="center" vertical="center" wrapText="1"/>
    </xf>
    <xf numFmtId="0" fontId="8" fillId="0" borderId="10" xfId="0" applyFont="1" applyFill="1" applyBorder="1"/>
    <xf numFmtId="0" fontId="8" fillId="0" borderId="11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/>
    </xf>
    <xf numFmtId="0" fontId="8" fillId="0" borderId="13" xfId="0" applyFont="1" applyFill="1" applyBorder="1"/>
    <xf numFmtId="0" fontId="8" fillId="0" borderId="8" xfId="0" applyFont="1" applyFill="1" applyBorder="1"/>
    <xf numFmtId="0" fontId="8" fillId="0" borderId="2" xfId="0" applyFont="1" applyFill="1" applyBorder="1"/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textRotation="255"/>
    </xf>
    <xf numFmtId="179" fontId="8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2" fontId="8" fillId="0" borderId="1" xfId="0" applyNumberFormat="1" applyFont="1" applyFill="1" applyBorder="1" applyAlignment="1">
      <alignment horizontal="center" vertical="center"/>
    </xf>
    <xf numFmtId="179" fontId="11" fillId="0" borderId="1" xfId="0" applyNumberFormat="1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center" vertical="center"/>
    </xf>
    <xf numFmtId="0" fontId="12" fillId="0" borderId="13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textRotation="90"/>
    </xf>
    <xf numFmtId="0" fontId="14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181" fontId="14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textRotation="255"/>
    </xf>
    <xf numFmtId="0" fontId="16" fillId="0" borderId="1" xfId="0" applyFont="1" applyFill="1" applyBorder="1" applyAlignment="1">
      <alignment horizontal="center" vertical="center"/>
    </xf>
    <xf numFmtId="180" fontId="8" fillId="0" borderId="13" xfId="0" applyNumberFormat="1" applyFont="1" applyFill="1" applyBorder="1" applyAlignment="1">
      <alignment horizontal="center" vertical="center"/>
    </xf>
    <xf numFmtId="180" fontId="8" fillId="0" borderId="1" xfId="0" applyNumberFormat="1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center" vertical="center" wrapText="1"/>
    </xf>
    <xf numFmtId="1" fontId="8" fillId="0" borderId="1" xfId="0" applyNumberFormat="1" applyFont="1" applyFill="1" applyBorder="1" applyAlignment="1">
      <alignment horizontal="center" vertical="center"/>
    </xf>
    <xf numFmtId="180" fontId="8" fillId="0" borderId="13" xfId="0" applyNumberFormat="1" applyFont="1" applyFill="1" applyBorder="1" applyAlignment="1">
      <alignment horizontal="center" vertical="center" wrapText="1"/>
    </xf>
    <xf numFmtId="180" fontId="8" fillId="0" borderId="1" xfId="0" applyNumberFormat="1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177" fontId="8" fillId="0" borderId="13" xfId="0" applyNumberFormat="1" applyFont="1" applyFill="1" applyBorder="1" applyAlignment="1">
      <alignment horizontal="center" vertical="center"/>
    </xf>
    <xf numFmtId="177" fontId="8" fillId="0" borderId="1" xfId="0" applyNumberFormat="1" applyFont="1" applyFill="1" applyBorder="1" applyAlignment="1">
      <alignment horizontal="center" vertical="center"/>
    </xf>
    <xf numFmtId="180" fontId="8" fillId="0" borderId="15" xfId="0" applyNumberFormat="1" applyFont="1" applyFill="1" applyBorder="1" applyAlignment="1">
      <alignment horizontal="center" vertical="center"/>
    </xf>
    <xf numFmtId="180" fontId="8" fillId="0" borderId="16" xfId="0" applyNumberFormat="1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right" vertical="center"/>
    </xf>
    <xf numFmtId="0" fontId="10" fillId="0" borderId="12" xfId="0" applyFont="1" applyFill="1" applyBorder="1" applyAlignment="1">
      <alignment horizontal="center" vertical="center" wrapText="1"/>
    </xf>
    <xf numFmtId="0" fontId="8" fillId="0" borderId="17" xfId="0" applyFont="1" applyFill="1" applyBorder="1" applyAlignment="1">
      <alignment horizontal="center" vertical="center"/>
    </xf>
    <xf numFmtId="0" fontId="8" fillId="0" borderId="18" xfId="0" applyFont="1" applyFill="1" applyBorder="1" applyAlignment="1">
      <alignment horizontal="center" vertical="center"/>
    </xf>
    <xf numFmtId="179" fontId="11" fillId="0" borderId="18" xfId="0" applyNumberFormat="1" applyFont="1" applyFill="1" applyBorder="1" applyAlignment="1">
      <alignment horizontal="center" vertical="center"/>
    </xf>
    <xf numFmtId="1" fontId="11" fillId="0" borderId="18" xfId="0" applyNumberFormat="1" applyFont="1" applyFill="1" applyBorder="1" applyAlignment="1">
      <alignment horizontal="center" vertical="center"/>
    </xf>
    <xf numFmtId="177" fontId="8" fillId="0" borderId="16" xfId="0" applyNumberFormat="1" applyFont="1" applyFill="1" applyBorder="1" applyAlignment="1">
      <alignment horizontal="center" vertical="center"/>
    </xf>
    <xf numFmtId="177" fontId="11" fillId="0" borderId="19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colors>
    <mruColors>
      <color rgb="0033CCFF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9525</xdr:colOff>
      <xdr:row>2</xdr:row>
      <xdr:rowOff>12065</xdr:rowOff>
    </xdr:from>
    <xdr:to>
      <xdr:col>4</xdr:col>
      <xdr:colOff>5715</xdr:colOff>
      <xdr:row>5</xdr:row>
      <xdr:rowOff>11430</xdr:rowOff>
    </xdr:to>
    <xdr:sp>
      <xdr:nvSpPr>
        <xdr:cNvPr id="7" name="Line 8"/>
        <xdr:cNvSpPr>
          <a:spLocks noChangeShapeType="1"/>
        </xdr:cNvSpPr>
      </xdr:nvSpPr>
      <xdr:spPr>
        <a:xfrm>
          <a:off x="209550" y="455295"/>
          <a:ext cx="2082165" cy="66421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B1:AX52"/>
  <sheetViews>
    <sheetView showZeros="0" tabSelected="1" view="pageBreakPreview" zoomScale="115" zoomScaleNormal="100" workbookViewId="0">
      <pane xSplit="5" ySplit="5" topLeftCell="F6" activePane="bottomRight" state="frozen"/>
      <selection/>
      <selection pane="topRight"/>
      <selection pane="bottomLeft"/>
      <selection pane="bottomRight" activeCell="S10" sqref="S10"/>
    </sheetView>
  </sheetViews>
  <sheetFormatPr defaultColWidth="9" defaultRowHeight="17.45" customHeight="1"/>
  <cols>
    <col min="1" max="1" width="2.625" style="52" customWidth="1"/>
    <col min="2" max="3" width="7.625" style="52" customWidth="1"/>
    <col min="4" max="4" width="12.125" style="52" customWidth="1"/>
    <col min="5" max="5" width="5.625" style="52" customWidth="1"/>
    <col min="6" max="11" width="10.125" style="52" customWidth="1"/>
    <col min="12" max="12" width="12.5" style="52" customWidth="1"/>
    <col min="13" max="15" width="10.125" style="52" customWidth="1"/>
    <col min="16" max="16" width="11.875" style="52" customWidth="1"/>
    <col min="17" max="20" width="10.125" style="52" customWidth="1"/>
    <col min="21" max="21" width="2.625" style="52" customWidth="1"/>
    <col min="22" max="256" width="9" style="52"/>
    <col min="257" max="258" width="3.625" style="52" customWidth="1"/>
    <col min="259" max="259" width="17.25" style="52" customWidth="1"/>
    <col min="260" max="260" width="4" style="52" customWidth="1"/>
    <col min="261" max="267" width="7.625" style="52" customWidth="1"/>
    <col min="268" max="268" width="8" style="52" customWidth="1"/>
    <col min="269" max="271" width="7.625" style="52" customWidth="1"/>
    <col min="272" max="272" width="11.875" style="52" customWidth="1"/>
    <col min="273" max="274" width="6.125" style="52" customWidth="1"/>
    <col min="275" max="276" width="8" style="52" customWidth="1"/>
    <col min="277" max="512" width="9" style="52"/>
    <col min="513" max="514" width="3.625" style="52" customWidth="1"/>
    <col min="515" max="515" width="17.25" style="52" customWidth="1"/>
    <col min="516" max="516" width="4" style="52" customWidth="1"/>
    <col min="517" max="523" width="7.625" style="52" customWidth="1"/>
    <col min="524" max="524" width="8" style="52" customWidth="1"/>
    <col min="525" max="527" width="7.625" style="52" customWidth="1"/>
    <col min="528" max="528" width="11.875" style="52" customWidth="1"/>
    <col min="529" max="530" width="6.125" style="52" customWidth="1"/>
    <col min="531" max="532" width="8" style="52" customWidth="1"/>
    <col min="533" max="768" width="9" style="52"/>
    <col min="769" max="770" width="3.625" style="52" customWidth="1"/>
    <col min="771" max="771" width="17.25" style="52" customWidth="1"/>
    <col min="772" max="772" width="4" style="52" customWidth="1"/>
    <col min="773" max="779" width="7.625" style="52" customWidth="1"/>
    <col min="780" max="780" width="8" style="52" customWidth="1"/>
    <col min="781" max="783" width="7.625" style="52" customWidth="1"/>
    <col min="784" max="784" width="11.875" style="52" customWidth="1"/>
    <col min="785" max="786" width="6.125" style="52" customWidth="1"/>
    <col min="787" max="788" width="8" style="52" customWidth="1"/>
    <col min="789" max="1024" width="9" style="52"/>
    <col min="1025" max="1026" width="3.625" style="52" customWidth="1"/>
    <col min="1027" max="1027" width="17.25" style="52" customWidth="1"/>
    <col min="1028" max="1028" width="4" style="52" customWidth="1"/>
    <col min="1029" max="1035" width="7.625" style="52" customWidth="1"/>
    <col min="1036" max="1036" width="8" style="52" customWidth="1"/>
    <col min="1037" max="1039" width="7.625" style="52" customWidth="1"/>
    <col min="1040" max="1040" width="11.875" style="52" customWidth="1"/>
    <col min="1041" max="1042" width="6.125" style="52" customWidth="1"/>
    <col min="1043" max="1044" width="8" style="52" customWidth="1"/>
    <col min="1045" max="1280" width="9" style="52"/>
    <col min="1281" max="1282" width="3.625" style="52" customWidth="1"/>
    <col min="1283" max="1283" width="17.25" style="52" customWidth="1"/>
    <col min="1284" max="1284" width="4" style="52" customWidth="1"/>
    <col min="1285" max="1291" width="7.625" style="52" customWidth="1"/>
    <col min="1292" max="1292" width="8" style="52" customWidth="1"/>
    <col min="1293" max="1295" width="7.625" style="52" customWidth="1"/>
    <col min="1296" max="1296" width="11.875" style="52" customWidth="1"/>
    <col min="1297" max="1298" width="6.125" style="52" customWidth="1"/>
    <col min="1299" max="1300" width="8" style="52" customWidth="1"/>
    <col min="1301" max="1536" width="9" style="52"/>
    <col min="1537" max="1538" width="3.625" style="52" customWidth="1"/>
    <col min="1539" max="1539" width="17.25" style="52" customWidth="1"/>
    <col min="1540" max="1540" width="4" style="52" customWidth="1"/>
    <col min="1541" max="1547" width="7.625" style="52" customWidth="1"/>
    <col min="1548" max="1548" width="8" style="52" customWidth="1"/>
    <col min="1549" max="1551" width="7.625" style="52" customWidth="1"/>
    <col min="1552" max="1552" width="11.875" style="52" customWidth="1"/>
    <col min="1553" max="1554" width="6.125" style="52" customWidth="1"/>
    <col min="1555" max="1556" width="8" style="52" customWidth="1"/>
    <col min="1557" max="1792" width="9" style="52"/>
    <col min="1793" max="1794" width="3.625" style="52" customWidth="1"/>
    <col min="1795" max="1795" width="17.25" style="52" customWidth="1"/>
    <col min="1796" max="1796" width="4" style="52" customWidth="1"/>
    <col min="1797" max="1803" width="7.625" style="52" customWidth="1"/>
    <col min="1804" max="1804" width="8" style="52" customWidth="1"/>
    <col min="1805" max="1807" width="7.625" style="52" customWidth="1"/>
    <col min="1808" max="1808" width="11.875" style="52" customWidth="1"/>
    <col min="1809" max="1810" width="6.125" style="52" customWidth="1"/>
    <col min="1811" max="1812" width="8" style="52" customWidth="1"/>
    <col min="1813" max="2048" width="9" style="52"/>
    <col min="2049" max="2050" width="3.625" style="52" customWidth="1"/>
    <col min="2051" max="2051" width="17.25" style="52" customWidth="1"/>
    <col min="2052" max="2052" width="4" style="52" customWidth="1"/>
    <col min="2053" max="2059" width="7.625" style="52" customWidth="1"/>
    <col min="2060" max="2060" width="8" style="52" customWidth="1"/>
    <col min="2061" max="2063" width="7.625" style="52" customWidth="1"/>
    <col min="2064" max="2064" width="11.875" style="52" customWidth="1"/>
    <col min="2065" max="2066" width="6.125" style="52" customWidth="1"/>
    <col min="2067" max="2068" width="8" style="52" customWidth="1"/>
    <col min="2069" max="2304" width="9" style="52"/>
    <col min="2305" max="2306" width="3.625" style="52" customWidth="1"/>
    <col min="2307" max="2307" width="17.25" style="52" customWidth="1"/>
    <col min="2308" max="2308" width="4" style="52" customWidth="1"/>
    <col min="2309" max="2315" width="7.625" style="52" customWidth="1"/>
    <col min="2316" max="2316" width="8" style="52" customWidth="1"/>
    <col min="2317" max="2319" width="7.625" style="52" customWidth="1"/>
    <col min="2320" max="2320" width="11.875" style="52" customWidth="1"/>
    <col min="2321" max="2322" width="6.125" style="52" customWidth="1"/>
    <col min="2323" max="2324" width="8" style="52" customWidth="1"/>
    <col min="2325" max="2560" width="9" style="52"/>
    <col min="2561" max="2562" width="3.625" style="52" customWidth="1"/>
    <col min="2563" max="2563" width="17.25" style="52" customWidth="1"/>
    <col min="2564" max="2564" width="4" style="52" customWidth="1"/>
    <col min="2565" max="2571" width="7.625" style="52" customWidth="1"/>
    <col min="2572" max="2572" width="8" style="52" customWidth="1"/>
    <col min="2573" max="2575" width="7.625" style="52" customWidth="1"/>
    <col min="2576" max="2576" width="11.875" style="52" customWidth="1"/>
    <col min="2577" max="2578" width="6.125" style="52" customWidth="1"/>
    <col min="2579" max="2580" width="8" style="52" customWidth="1"/>
    <col min="2581" max="2816" width="9" style="52"/>
    <col min="2817" max="2818" width="3.625" style="52" customWidth="1"/>
    <col min="2819" max="2819" width="17.25" style="52" customWidth="1"/>
    <col min="2820" max="2820" width="4" style="52" customWidth="1"/>
    <col min="2821" max="2827" width="7.625" style="52" customWidth="1"/>
    <col min="2828" max="2828" width="8" style="52" customWidth="1"/>
    <col min="2829" max="2831" width="7.625" style="52" customWidth="1"/>
    <col min="2832" max="2832" width="11.875" style="52" customWidth="1"/>
    <col min="2833" max="2834" width="6.125" style="52" customWidth="1"/>
    <col min="2835" max="2836" width="8" style="52" customWidth="1"/>
    <col min="2837" max="3072" width="9" style="52"/>
    <col min="3073" max="3074" width="3.625" style="52" customWidth="1"/>
    <col min="3075" max="3075" width="17.25" style="52" customWidth="1"/>
    <col min="3076" max="3076" width="4" style="52" customWidth="1"/>
    <col min="3077" max="3083" width="7.625" style="52" customWidth="1"/>
    <col min="3084" max="3084" width="8" style="52" customWidth="1"/>
    <col min="3085" max="3087" width="7.625" style="52" customWidth="1"/>
    <col min="3088" max="3088" width="11.875" style="52" customWidth="1"/>
    <col min="3089" max="3090" width="6.125" style="52" customWidth="1"/>
    <col min="3091" max="3092" width="8" style="52" customWidth="1"/>
    <col min="3093" max="3328" width="9" style="52"/>
    <col min="3329" max="3330" width="3.625" style="52" customWidth="1"/>
    <col min="3331" max="3331" width="17.25" style="52" customWidth="1"/>
    <col min="3332" max="3332" width="4" style="52" customWidth="1"/>
    <col min="3333" max="3339" width="7.625" style="52" customWidth="1"/>
    <col min="3340" max="3340" width="8" style="52" customWidth="1"/>
    <col min="3341" max="3343" width="7.625" style="52" customWidth="1"/>
    <col min="3344" max="3344" width="11.875" style="52" customWidth="1"/>
    <col min="3345" max="3346" width="6.125" style="52" customWidth="1"/>
    <col min="3347" max="3348" width="8" style="52" customWidth="1"/>
    <col min="3349" max="3584" width="9" style="52"/>
    <col min="3585" max="3586" width="3.625" style="52" customWidth="1"/>
    <col min="3587" max="3587" width="17.25" style="52" customWidth="1"/>
    <col min="3588" max="3588" width="4" style="52" customWidth="1"/>
    <col min="3589" max="3595" width="7.625" style="52" customWidth="1"/>
    <col min="3596" max="3596" width="8" style="52" customWidth="1"/>
    <col min="3597" max="3599" width="7.625" style="52" customWidth="1"/>
    <col min="3600" max="3600" width="11.875" style="52" customWidth="1"/>
    <col min="3601" max="3602" width="6.125" style="52" customWidth="1"/>
    <col min="3603" max="3604" width="8" style="52" customWidth="1"/>
    <col min="3605" max="3840" width="9" style="52"/>
    <col min="3841" max="3842" width="3.625" style="52" customWidth="1"/>
    <col min="3843" max="3843" width="17.25" style="52" customWidth="1"/>
    <col min="3844" max="3844" width="4" style="52" customWidth="1"/>
    <col min="3845" max="3851" width="7.625" style="52" customWidth="1"/>
    <col min="3852" max="3852" width="8" style="52" customWidth="1"/>
    <col min="3853" max="3855" width="7.625" style="52" customWidth="1"/>
    <col min="3856" max="3856" width="11.875" style="52" customWidth="1"/>
    <col min="3857" max="3858" width="6.125" style="52" customWidth="1"/>
    <col min="3859" max="3860" width="8" style="52" customWidth="1"/>
    <col min="3861" max="4096" width="9" style="52"/>
    <col min="4097" max="4098" width="3.625" style="52" customWidth="1"/>
    <col min="4099" max="4099" width="17.25" style="52" customWidth="1"/>
    <col min="4100" max="4100" width="4" style="52" customWidth="1"/>
    <col min="4101" max="4107" width="7.625" style="52" customWidth="1"/>
    <col min="4108" max="4108" width="8" style="52" customWidth="1"/>
    <col min="4109" max="4111" width="7.625" style="52" customWidth="1"/>
    <col min="4112" max="4112" width="11.875" style="52" customWidth="1"/>
    <col min="4113" max="4114" width="6.125" style="52" customWidth="1"/>
    <col min="4115" max="4116" width="8" style="52" customWidth="1"/>
    <col min="4117" max="4352" width="9" style="52"/>
    <col min="4353" max="4354" width="3.625" style="52" customWidth="1"/>
    <col min="4355" max="4355" width="17.25" style="52" customWidth="1"/>
    <col min="4356" max="4356" width="4" style="52" customWidth="1"/>
    <col min="4357" max="4363" width="7.625" style="52" customWidth="1"/>
    <col min="4364" max="4364" width="8" style="52" customWidth="1"/>
    <col min="4365" max="4367" width="7.625" style="52" customWidth="1"/>
    <col min="4368" max="4368" width="11.875" style="52" customWidth="1"/>
    <col min="4369" max="4370" width="6.125" style="52" customWidth="1"/>
    <col min="4371" max="4372" width="8" style="52" customWidth="1"/>
    <col min="4373" max="4608" width="9" style="52"/>
    <col min="4609" max="4610" width="3.625" style="52" customWidth="1"/>
    <col min="4611" max="4611" width="17.25" style="52" customWidth="1"/>
    <col min="4612" max="4612" width="4" style="52" customWidth="1"/>
    <col min="4613" max="4619" width="7.625" style="52" customWidth="1"/>
    <col min="4620" max="4620" width="8" style="52" customWidth="1"/>
    <col min="4621" max="4623" width="7.625" style="52" customWidth="1"/>
    <col min="4624" max="4624" width="11.875" style="52" customWidth="1"/>
    <col min="4625" max="4626" width="6.125" style="52" customWidth="1"/>
    <col min="4627" max="4628" width="8" style="52" customWidth="1"/>
    <col min="4629" max="4864" width="9" style="52"/>
    <col min="4865" max="4866" width="3.625" style="52" customWidth="1"/>
    <col min="4867" max="4867" width="17.25" style="52" customWidth="1"/>
    <col min="4868" max="4868" width="4" style="52" customWidth="1"/>
    <col min="4869" max="4875" width="7.625" style="52" customWidth="1"/>
    <col min="4876" max="4876" width="8" style="52" customWidth="1"/>
    <col min="4877" max="4879" width="7.625" style="52" customWidth="1"/>
    <col min="4880" max="4880" width="11.875" style="52" customWidth="1"/>
    <col min="4881" max="4882" width="6.125" style="52" customWidth="1"/>
    <col min="4883" max="4884" width="8" style="52" customWidth="1"/>
    <col min="4885" max="5120" width="9" style="52"/>
    <col min="5121" max="5122" width="3.625" style="52" customWidth="1"/>
    <col min="5123" max="5123" width="17.25" style="52" customWidth="1"/>
    <col min="5124" max="5124" width="4" style="52" customWidth="1"/>
    <col min="5125" max="5131" width="7.625" style="52" customWidth="1"/>
    <col min="5132" max="5132" width="8" style="52" customWidth="1"/>
    <col min="5133" max="5135" width="7.625" style="52" customWidth="1"/>
    <col min="5136" max="5136" width="11.875" style="52" customWidth="1"/>
    <col min="5137" max="5138" width="6.125" style="52" customWidth="1"/>
    <col min="5139" max="5140" width="8" style="52" customWidth="1"/>
    <col min="5141" max="5376" width="9" style="52"/>
    <col min="5377" max="5378" width="3.625" style="52" customWidth="1"/>
    <col min="5379" max="5379" width="17.25" style="52" customWidth="1"/>
    <col min="5380" max="5380" width="4" style="52" customWidth="1"/>
    <col min="5381" max="5387" width="7.625" style="52" customWidth="1"/>
    <col min="5388" max="5388" width="8" style="52" customWidth="1"/>
    <col min="5389" max="5391" width="7.625" style="52" customWidth="1"/>
    <col min="5392" max="5392" width="11.875" style="52" customWidth="1"/>
    <col min="5393" max="5394" width="6.125" style="52" customWidth="1"/>
    <col min="5395" max="5396" width="8" style="52" customWidth="1"/>
    <col min="5397" max="5632" width="9" style="52"/>
    <col min="5633" max="5634" width="3.625" style="52" customWidth="1"/>
    <col min="5635" max="5635" width="17.25" style="52" customWidth="1"/>
    <col min="5636" max="5636" width="4" style="52" customWidth="1"/>
    <col min="5637" max="5643" width="7.625" style="52" customWidth="1"/>
    <col min="5644" max="5644" width="8" style="52" customWidth="1"/>
    <col min="5645" max="5647" width="7.625" style="52" customWidth="1"/>
    <col min="5648" max="5648" width="11.875" style="52" customWidth="1"/>
    <col min="5649" max="5650" width="6.125" style="52" customWidth="1"/>
    <col min="5651" max="5652" width="8" style="52" customWidth="1"/>
    <col min="5653" max="5888" width="9" style="52"/>
    <col min="5889" max="5890" width="3.625" style="52" customWidth="1"/>
    <col min="5891" max="5891" width="17.25" style="52" customWidth="1"/>
    <col min="5892" max="5892" width="4" style="52" customWidth="1"/>
    <col min="5893" max="5899" width="7.625" style="52" customWidth="1"/>
    <col min="5900" max="5900" width="8" style="52" customWidth="1"/>
    <col min="5901" max="5903" width="7.625" style="52" customWidth="1"/>
    <col min="5904" max="5904" width="11.875" style="52" customWidth="1"/>
    <col min="5905" max="5906" width="6.125" style="52" customWidth="1"/>
    <col min="5907" max="5908" width="8" style="52" customWidth="1"/>
    <col min="5909" max="6144" width="9" style="52"/>
    <col min="6145" max="6146" width="3.625" style="52" customWidth="1"/>
    <col min="6147" max="6147" width="17.25" style="52" customWidth="1"/>
    <col min="6148" max="6148" width="4" style="52" customWidth="1"/>
    <col min="6149" max="6155" width="7.625" style="52" customWidth="1"/>
    <col min="6156" max="6156" width="8" style="52" customWidth="1"/>
    <col min="6157" max="6159" width="7.625" style="52" customWidth="1"/>
    <col min="6160" max="6160" width="11.875" style="52" customWidth="1"/>
    <col min="6161" max="6162" width="6.125" style="52" customWidth="1"/>
    <col min="6163" max="6164" width="8" style="52" customWidth="1"/>
    <col min="6165" max="6400" width="9" style="52"/>
    <col min="6401" max="6402" width="3.625" style="52" customWidth="1"/>
    <col min="6403" max="6403" width="17.25" style="52" customWidth="1"/>
    <col min="6404" max="6404" width="4" style="52" customWidth="1"/>
    <col min="6405" max="6411" width="7.625" style="52" customWidth="1"/>
    <col min="6412" max="6412" width="8" style="52" customWidth="1"/>
    <col min="6413" max="6415" width="7.625" style="52" customWidth="1"/>
    <col min="6416" max="6416" width="11.875" style="52" customWidth="1"/>
    <col min="6417" max="6418" width="6.125" style="52" customWidth="1"/>
    <col min="6419" max="6420" width="8" style="52" customWidth="1"/>
    <col min="6421" max="6656" width="9" style="52"/>
    <col min="6657" max="6658" width="3.625" style="52" customWidth="1"/>
    <col min="6659" max="6659" width="17.25" style="52" customWidth="1"/>
    <col min="6660" max="6660" width="4" style="52" customWidth="1"/>
    <col min="6661" max="6667" width="7.625" style="52" customWidth="1"/>
    <col min="6668" max="6668" width="8" style="52" customWidth="1"/>
    <col min="6669" max="6671" width="7.625" style="52" customWidth="1"/>
    <col min="6672" max="6672" width="11.875" style="52" customWidth="1"/>
    <col min="6673" max="6674" width="6.125" style="52" customWidth="1"/>
    <col min="6675" max="6676" width="8" style="52" customWidth="1"/>
    <col min="6677" max="6912" width="9" style="52"/>
    <col min="6913" max="6914" width="3.625" style="52" customWidth="1"/>
    <col min="6915" max="6915" width="17.25" style="52" customWidth="1"/>
    <col min="6916" max="6916" width="4" style="52" customWidth="1"/>
    <col min="6917" max="6923" width="7.625" style="52" customWidth="1"/>
    <col min="6924" max="6924" width="8" style="52" customWidth="1"/>
    <col min="6925" max="6927" width="7.625" style="52" customWidth="1"/>
    <col min="6928" max="6928" width="11.875" style="52" customWidth="1"/>
    <col min="6929" max="6930" width="6.125" style="52" customWidth="1"/>
    <col min="6931" max="6932" width="8" style="52" customWidth="1"/>
    <col min="6933" max="7168" width="9" style="52"/>
    <col min="7169" max="7170" width="3.625" style="52" customWidth="1"/>
    <col min="7171" max="7171" width="17.25" style="52" customWidth="1"/>
    <col min="7172" max="7172" width="4" style="52" customWidth="1"/>
    <col min="7173" max="7179" width="7.625" style="52" customWidth="1"/>
    <col min="7180" max="7180" width="8" style="52" customWidth="1"/>
    <col min="7181" max="7183" width="7.625" style="52" customWidth="1"/>
    <col min="7184" max="7184" width="11.875" style="52" customWidth="1"/>
    <col min="7185" max="7186" width="6.125" style="52" customWidth="1"/>
    <col min="7187" max="7188" width="8" style="52" customWidth="1"/>
    <col min="7189" max="7424" width="9" style="52"/>
    <col min="7425" max="7426" width="3.625" style="52" customWidth="1"/>
    <col min="7427" max="7427" width="17.25" style="52" customWidth="1"/>
    <col min="7428" max="7428" width="4" style="52" customWidth="1"/>
    <col min="7429" max="7435" width="7.625" style="52" customWidth="1"/>
    <col min="7436" max="7436" width="8" style="52" customWidth="1"/>
    <col min="7437" max="7439" width="7.625" style="52" customWidth="1"/>
    <col min="7440" max="7440" width="11.875" style="52" customWidth="1"/>
    <col min="7441" max="7442" width="6.125" style="52" customWidth="1"/>
    <col min="7443" max="7444" width="8" style="52" customWidth="1"/>
    <col min="7445" max="7680" width="9" style="52"/>
    <col min="7681" max="7682" width="3.625" style="52" customWidth="1"/>
    <col min="7683" max="7683" width="17.25" style="52" customWidth="1"/>
    <col min="7684" max="7684" width="4" style="52" customWidth="1"/>
    <col min="7685" max="7691" width="7.625" style="52" customWidth="1"/>
    <col min="7692" max="7692" width="8" style="52" customWidth="1"/>
    <col min="7693" max="7695" width="7.625" style="52" customWidth="1"/>
    <col min="7696" max="7696" width="11.875" style="52" customWidth="1"/>
    <col min="7697" max="7698" width="6.125" style="52" customWidth="1"/>
    <col min="7699" max="7700" width="8" style="52" customWidth="1"/>
    <col min="7701" max="7936" width="9" style="52"/>
    <col min="7937" max="7938" width="3.625" style="52" customWidth="1"/>
    <col min="7939" max="7939" width="17.25" style="52" customWidth="1"/>
    <col min="7940" max="7940" width="4" style="52" customWidth="1"/>
    <col min="7941" max="7947" width="7.625" style="52" customWidth="1"/>
    <col min="7948" max="7948" width="8" style="52" customWidth="1"/>
    <col min="7949" max="7951" width="7.625" style="52" customWidth="1"/>
    <col min="7952" max="7952" width="11.875" style="52" customWidth="1"/>
    <col min="7953" max="7954" width="6.125" style="52" customWidth="1"/>
    <col min="7955" max="7956" width="8" style="52" customWidth="1"/>
    <col min="7957" max="8192" width="9" style="52"/>
    <col min="8193" max="8194" width="3.625" style="52" customWidth="1"/>
    <col min="8195" max="8195" width="17.25" style="52" customWidth="1"/>
    <col min="8196" max="8196" width="4" style="52" customWidth="1"/>
    <col min="8197" max="8203" width="7.625" style="52" customWidth="1"/>
    <col min="8204" max="8204" width="8" style="52" customWidth="1"/>
    <col min="8205" max="8207" width="7.625" style="52" customWidth="1"/>
    <col min="8208" max="8208" width="11.875" style="52" customWidth="1"/>
    <col min="8209" max="8210" width="6.125" style="52" customWidth="1"/>
    <col min="8211" max="8212" width="8" style="52" customWidth="1"/>
    <col min="8213" max="8448" width="9" style="52"/>
    <col min="8449" max="8450" width="3.625" style="52" customWidth="1"/>
    <col min="8451" max="8451" width="17.25" style="52" customWidth="1"/>
    <col min="8452" max="8452" width="4" style="52" customWidth="1"/>
    <col min="8453" max="8459" width="7.625" style="52" customWidth="1"/>
    <col min="8460" max="8460" width="8" style="52" customWidth="1"/>
    <col min="8461" max="8463" width="7.625" style="52" customWidth="1"/>
    <col min="8464" max="8464" width="11.875" style="52" customWidth="1"/>
    <col min="8465" max="8466" width="6.125" style="52" customWidth="1"/>
    <col min="8467" max="8468" width="8" style="52" customWidth="1"/>
    <col min="8469" max="8704" width="9" style="52"/>
    <col min="8705" max="8706" width="3.625" style="52" customWidth="1"/>
    <col min="8707" max="8707" width="17.25" style="52" customWidth="1"/>
    <col min="8708" max="8708" width="4" style="52" customWidth="1"/>
    <col min="8709" max="8715" width="7.625" style="52" customWidth="1"/>
    <col min="8716" max="8716" width="8" style="52" customWidth="1"/>
    <col min="8717" max="8719" width="7.625" style="52" customWidth="1"/>
    <col min="8720" max="8720" width="11.875" style="52" customWidth="1"/>
    <col min="8721" max="8722" width="6.125" style="52" customWidth="1"/>
    <col min="8723" max="8724" width="8" style="52" customWidth="1"/>
    <col min="8725" max="8960" width="9" style="52"/>
    <col min="8961" max="8962" width="3.625" style="52" customWidth="1"/>
    <col min="8963" max="8963" width="17.25" style="52" customWidth="1"/>
    <col min="8964" max="8964" width="4" style="52" customWidth="1"/>
    <col min="8965" max="8971" width="7.625" style="52" customWidth="1"/>
    <col min="8972" max="8972" width="8" style="52" customWidth="1"/>
    <col min="8973" max="8975" width="7.625" style="52" customWidth="1"/>
    <col min="8976" max="8976" width="11.875" style="52" customWidth="1"/>
    <col min="8977" max="8978" width="6.125" style="52" customWidth="1"/>
    <col min="8979" max="8980" width="8" style="52" customWidth="1"/>
    <col min="8981" max="9216" width="9" style="52"/>
    <col min="9217" max="9218" width="3.625" style="52" customWidth="1"/>
    <col min="9219" max="9219" width="17.25" style="52" customWidth="1"/>
    <col min="9220" max="9220" width="4" style="52" customWidth="1"/>
    <col min="9221" max="9227" width="7.625" style="52" customWidth="1"/>
    <col min="9228" max="9228" width="8" style="52" customWidth="1"/>
    <col min="9229" max="9231" width="7.625" style="52" customWidth="1"/>
    <col min="9232" max="9232" width="11.875" style="52" customWidth="1"/>
    <col min="9233" max="9234" width="6.125" style="52" customWidth="1"/>
    <col min="9235" max="9236" width="8" style="52" customWidth="1"/>
    <col min="9237" max="9472" width="9" style="52"/>
    <col min="9473" max="9474" width="3.625" style="52" customWidth="1"/>
    <col min="9475" max="9475" width="17.25" style="52" customWidth="1"/>
    <col min="9476" max="9476" width="4" style="52" customWidth="1"/>
    <col min="9477" max="9483" width="7.625" style="52" customWidth="1"/>
    <col min="9484" max="9484" width="8" style="52" customWidth="1"/>
    <col min="9485" max="9487" width="7.625" style="52" customWidth="1"/>
    <col min="9488" max="9488" width="11.875" style="52" customWidth="1"/>
    <col min="9489" max="9490" width="6.125" style="52" customWidth="1"/>
    <col min="9491" max="9492" width="8" style="52" customWidth="1"/>
    <col min="9493" max="9728" width="9" style="52"/>
    <col min="9729" max="9730" width="3.625" style="52" customWidth="1"/>
    <col min="9731" max="9731" width="17.25" style="52" customWidth="1"/>
    <col min="9732" max="9732" width="4" style="52" customWidth="1"/>
    <col min="9733" max="9739" width="7.625" style="52" customWidth="1"/>
    <col min="9740" max="9740" width="8" style="52" customWidth="1"/>
    <col min="9741" max="9743" width="7.625" style="52" customWidth="1"/>
    <col min="9744" max="9744" width="11.875" style="52" customWidth="1"/>
    <col min="9745" max="9746" width="6.125" style="52" customWidth="1"/>
    <col min="9747" max="9748" width="8" style="52" customWidth="1"/>
    <col min="9749" max="9984" width="9" style="52"/>
    <col min="9985" max="9986" width="3.625" style="52" customWidth="1"/>
    <col min="9987" max="9987" width="17.25" style="52" customWidth="1"/>
    <col min="9988" max="9988" width="4" style="52" customWidth="1"/>
    <col min="9989" max="9995" width="7.625" style="52" customWidth="1"/>
    <col min="9996" max="9996" width="8" style="52" customWidth="1"/>
    <col min="9997" max="9999" width="7.625" style="52" customWidth="1"/>
    <col min="10000" max="10000" width="11.875" style="52" customWidth="1"/>
    <col min="10001" max="10002" width="6.125" style="52" customWidth="1"/>
    <col min="10003" max="10004" width="8" style="52" customWidth="1"/>
    <col min="10005" max="10240" width="9" style="52"/>
    <col min="10241" max="10242" width="3.625" style="52" customWidth="1"/>
    <col min="10243" max="10243" width="17.25" style="52" customWidth="1"/>
    <col min="10244" max="10244" width="4" style="52" customWidth="1"/>
    <col min="10245" max="10251" width="7.625" style="52" customWidth="1"/>
    <col min="10252" max="10252" width="8" style="52" customWidth="1"/>
    <col min="10253" max="10255" width="7.625" style="52" customWidth="1"/>
    <col min="10256" max="10256" width="11.875" style="52" customWidth="1"/>
    <col min="10257" max="10258" width="6.125" style="52" customWidth="1"/>
    <col min="10259" max="10260" width="8" style="52" customWidth="1"/>
    <col min="10261" max="10496" width="9" style="52"/>
    <col min="10497" max="10498" width="3.625" style="52" customWidth="1"/>
    <col min="10499" max="10499" width="17.25" style="52" customWidth="1"/>
    <col min="10500" max="10500" width="4" style="52" customWidth="1"/>
    <col min="10501" max="10507" width="7.625" style="52" customWidth="1"/>
    <col min="10508" max="10508" width="8" style="52" customWidth="1"/>
    <col min="10509" max="10511" width="7.625" style="52" customWidth="1"/>
    <col min="10512" max="10512" width="11.875" style="52" customWidth="1"/>
    <col min="10513" max="10514" width="6.125" style="52" customWidth="1"/>
    <col min="10515" max="10516" width="8" style="52" customWidth="1"/>
    <col min="10517" max="10752" width="9" style="52"/>
    <col min="10753" max="10754" width="3.625" style="52" customWidth="1"/>
    <col min="10755" max="10755" width="17.25" style="52" customWidth="1"/>
    <col min="10756" max="10756" width="4" style="52" customWidth="1"/>
    <col min="10757" max="10763" width="7.625" style="52" customWidth="1"/>
    <col min="10764" max="10764" width="8" style="52" customWidth="1"/>
    <col min="10765" max="10767" width="7.625" style="52" customWidth="1"/>
    <col min="10768" max="10768" width="11.875" style="52" customWidth="1"/>
    <col min="10769" max="10770" width="6.125" style="52" customWidth="1"/>
    <col min="10771" max="10772" width="8" style="52" customWidth="1"/>
    <col min="10773" max="11008" width="9" style="52"/>
    <col min="11009" max="11010" width="3.625" style="52" customWidth="1"/>
    <col min="11011" max="11011" width="17.25" style="52" customWidth="1"/>
    <col min="11012" max="11012" width="4" style="52" customWidth="1"/>
    <col min="11013" max="11019" width="7.625" style="52" customWidth="1"/>
    <col min="11020" max="11020" width="8" style="52" customWidth="1"/>
    <col min="11021" max="11023" width="7.625" style="52" customWidth="1"/>
    <col min="11024" max="11024" width="11.875" style="52" customWidth="1"/>
    <col min="11025" max="11026" width="6.125" style="52" customWidth="1"/>
    <col min="11027" max="11028" width="8" style="52" customWidth="1"/>
    <col min="11029" max="11264" width="9" style="52"/>
    <col min="11265" max="11266" width="3.625" style="52" customWidth="1"/>
    <col min="11267" max="11267" width="17.25" style="52" customWidth="1"/>
    <col min="11268" max="11268" width="4" style="52" customWidth="1"/>
    <col min="11269" max="11275" width="7.625" style="52" customWidth="1"/>
    <col min="11276" max="11276" width="8" style="52" customWidth="1"/>
    <col min="11277" max="11279" width="7.625" style="52" customWidth="1"/>
    <col min="11280" max="11280" width="11.875" style="52" customWidth="1"/>
    <col min="11281" max="11282" width="6.125" style="52" customWidth="1"/>
    <col min="11283" max="11284" width="8" style="52" customWidth="1"/>
    <col min="11285" max="11520" width="9" style="52"/>
    <col min="11521" max="11522" width="3.625" style="52" customWidth="1"/>
    <col min="11523" max="11523" width="17.25" style="52" customWidth="1"/>
    <col min="11524" max="11524" width="4" style="52" customWidth="1"/>
    <col min="11525" max="11531" width="7.625" style="52" customWidth="1"/>
    <col min="11532" max="11532" width="8" style="52" customWidth="1"/>
    <col min="11533" max="11535" width="7.625" style="52" customWidth="1"/>
    <col min="11536" max="11536" width="11.875" style="52" customWidth="1"/>
    <col min="11537" max="11538" width="6.125" style="52" customWidth="1"/>
    <col min="11539" max="11540" width="8" style="52" customWidth="1"/>
    <col min="11541" max="11776" width="9" style="52"/>
    <col min="11777" max="11778" width="3.625" style="52" customWidth="1"/>
    <col min="11779" max="11779" width="17.25" style="52" customWidth="1"/>
    <col min="11780" max="11780" width="4" style="52" customWidth="1"/>
    <col min="11781" max="11787" width="7.625" style="52" customWidth="1"/>
    <col min="11788" max="11788" width="8" style="52" customWidth="1"/>
    <col min="11789" max="11791" width="7.625" style="52" customWidth="1"/>
    <col min="11792" max="11792" width="11.875" style="52" customWidth="1"/>
    <col min="11793" max="11794" width="6.125" style="52" customWidth="1"/>
    <col min="11795" max="11796" width="8" style="52" customWidth="1"/>
    <col min="11797" max="12032" width="9" style="52"/>
    <col min="12033" max="12034" width="3.625" style="52" customWidth="1"/>
    <col min="12035" max="12035" width="17.25" style="52" customWidth="1"/>
    <col min="12036" max="12036" width="4" style="52" customWidth="1"/>
    <col min="12037" max="12043" width="7.625" style="52" customWidth="1"/>
    <col min="12044" max="12044" width="8" style="52" customWidth="1"/>
    <col min="12045" max="12047" width="7.625" style="52" customWidth="1"/>
    <col min="12048" max="12048" width="11.875" style="52" customWidth="1"/>
    <col min="12049" max="12050" width="6.125" style="52" customWidth="1"/>
    <col min="12051" max="12052" width="8" style="52" customWidth="1"/>
    <col min="12053" max="12288" width="9" style="52"/>
    <col min="12289" max="12290" width="3.625" style="52" customWidth="1"/>
    <col min="12291" max="12291" width="17.25" style="52" customWidth="1"/>
    <col min="12292" max="12292" width="4" style="52" customWidth="1"/>
    <col min="12293" max="12299" width="7.625" style="52" customWidth="1"/>
    <col min="12300" max="12300" width="8" style="52" customWidth="1"/>
    <col min="12301" max="12303" width="7.625" style="52" customWidth="1"/>
    <col min="12304" max="12304" width="11.875" style="52" customWidth="1"/>
    <col min="12305" max="12306" width="6.125" style="52" customWidth="1"/>
    <col min="12307" max="12308" width="8" style="52" customWidth="1"/>
    <col min="12309" max="12544" width="9" style="52"/>
    <col min="12545" max="12546" width="3.625" style="52" customWidth="1"/>
    <col min="12547" max="12547" width="17.25" style="52" customWidth="1"/>
    <col min="12548" max="12548" width="4" style="52" customWidth="1"/>
    <col min="12549" max="12555" width="7.625" style="52" customWidth="1"/>
    <col min="12556" max="12556" width="8" style="52" customWidth="1"/>
    <col min="12557" max="12559" width="7.625" style="52" customWidth="1"/>
    <col min="12560" max="12560" width="11.875" style="52" customWidth="1"/>
    <col min="12561" max="12562" width="6.125" style="52" customWidth="1"/>
    <col min="12563" max="12564" width="8" style="52" customWidth="1"/>
    <col min="12565" max="12800" width="9" style="52"/>
    <col min="12801" max="12802" width="3.625" style="52" customWidth="1"/>
    <col min="12803" max="12803" width="17.25" style="52" customWidth="1"/>
    <col min="12804" max="12804" width="4" style="52" customWidth="1"/>
    <col min="12805" max="12811" width="7.625" style="52" customWidth="1"/>
    <col min="12812" max="12812" width="8" style="52" customWidth="1"/>
    <col min="12813" max="12815" width="7.625" style="52" customWidth="1"/>
    <col min="12816" max="12816" width="11.875" style="52" customWidth="1"/>
    <col min="12817" max="12818" width="6.125" style="52" customWidth="1"/>
    <col min="12819" max="12820" width="8" style="52" customWidth="1"/>
    <col min="12821" max="13056" width="9" style="52"/>
    <col min="13057" max="13058" width="3.625" style="52" customWidth="1"/>
    <col min="13059" max="13059" width="17.25" style="52" customWidth="1"/>
    <col min="13060" max="13060" width="4" style="52" customWidth="1"/>
    <col min="13061" max="13067" width="7.625" style="52" customWidth="1"/>
    <col min="13068" max="13068" width="8" style="52" customWidth="1"/>
    <col min="13069" max="13071" width="7.625" style="52" customWidth="1"/>
    <col min="13072" max="13072" width="11.875" style="52" customWidth="1"/>
    <col min="13073" max="13074" width="6.125" style="52" customWidth="1"/>
    <col min="13075" max="13076" width="8" style="52" customWidth="1"/>
    <col min="13077" max="13312" width="9" style="52"/>
    <col min="13313" max="13314" width="3.625" style="52" customWidth="1"/>
    <col min="13315" max="13315" width="17.25" style="52" customWidth="1"/>
    <col min="13316" max="13316" width="4" style="52" customWidth="1"/>
    <col min="13317" max="13323" width="7.625" style="52" customWidth="1"/>
    <col min="13324" max="13324" width="8" style="52" customWidth="1"/>
    <col min="13325" max="13327" width="7.625" style="52" customWidth="1"/>
    <col min="13328" max="13328" width="11.875" style="52" customWidth="1"/>
    <col min="13329" max="13330" width="6.125" style="52" customWidth="1"/>
    <col min="13331" max="13332" width="8" style="52" customWidth="1"/>
    <col min="13333" max="13568" width="9" style="52"/>
    <col min="13569" max="13570" width="3.625" style="52" customWidth="1"/>
    <col min="13571" max="13571" width="17.25" style="52" customWidth="1"/>
    <col min="13572" max="13572" width="4" style="52" customWidth="1"/>
    <col min="13573" max="13579" width="7.625" style="52" customWidth="1"/>
    <col min="13580" max="13580" width="8" style="52" customWidth="1"/>
    <col min="13581" max="13583" width="7.625" style="52" customWidth="1"/>
    <col min="13584" max="13584" width="11.875" style="52" customWidth="1"/>
    <col min="13585" max="13586" width="6.125" style="52" customWidth="1"/>
    <col min="13587" max="13588" width="8" style="52" customWidth="1"/>
    <col min="13589" max="13824" width="9" style="52"/>
    <col min="13825" max="13826" width="3.625" style="52" customWidth="1"/>
    <col min="13827" max="13827" width="17.25" style="52" customWidth="1"/>
    <col min="13828" max="13828" width="4" style="52" customWidth="1"/>
    <col min="13829" max="13835" width="7.625" style="52" customWidth="1"/>
    <col min="13836" max="13836" width="8" style="52" customWidth="1"/>
    <col min="13837" max="13839" width="7.625" style="52" customWidth="1"/>
    <col min="13840" max="13840" width="11.875" style="52" customWidth="1"/>
    <col min="13841" max="13842" width="6.125" style="52" customWidth="1"/>
    <col min="13843" max="13844" width="8" style="52" customWidth="1"/>
    <col min="13845" max="14080" width="9" style="52"/>
    <col min="14081" max="14082" width="3.625" style="52" customWidth="1"/>
    <col min="14083" max="14083" width="17.25" style="52" customWidth="1"/>
    <col min="14084" max="14084" width="4" style="52" customWidth="1"/>
    <col min="14085" max="14091" width="7.625" style="52" customWidth="1"/>
    <col min="14092" max="14092" width="8" style="52" customWidth="1"/>
    <col min="14093" max="14095" width="7.625" style="52" customWidth="1"/>
    <col min="14096" max="14096" width="11.875" style="52" customWidth="1"/>
    <col min="14097" max="14098" width="6.125" style="52" customWidth="1"/>
    <col min="14099" max="14100" width="8" style="52" customWidth="1"/>
    <col min="14101" max="14336" width="9" style="52"/>
    <col min="14337" max="14338" width="3.625" style="52" customWidth="1"/>
    <col min="14339" max="14339" width="17.25" style="52" customWidth="1"/>
    <col min="14340" max="14340" width="4" style="52" customWidth="1"/>
    <col min="14341" max="14347" width="7.625" style="52" customWidth="1"/>
    <col min="14348" max="14348" width="8" style="52" customWidth="1"/>
    <col min="14349" max="14351" width="7.625" style="52" customWidth="1"/>
    <col min="14352" max="14352" width="11.875" style="52" customWidth="1"/>
    <col min="14353" max="14354" width="6.125" style="52" customWidth="1"/>
    <col min="14355" max="14356" width="8" style="52" customWidth="1"/>
    <col min="14357" max="14592" width="9" style="52"/>
    <col min="14593" max="14594" width="3.625" style="52" customWidth="1"/>
    <col min="14595" max="14595" width="17.25" style="52" customWidth="1"/>
    <col min="14596" max="14596" width="4" style="52" customWidth="1"/>
    <col min="14597" max="14603" width="7.625" style="52" customWidth="1"/>
    <col min="14604" max="14604" width="8" style="52" customWidth="1"/>
    <col min="14605" max="14607" width="7.625" style="52" customWidth="1"/>
    <col min="14608" max="14608" width="11.875" style="52" customWidth="1"/>
    <col min="14609" max="14610" width="6.125" style="52" customWidth="1"/>
    <col min="14611" max="14612" width="8" style="52" customWidth="1"/>
    <col min="14613" max="14848" width="9" style="52"/>
    <col min="14849" max="14850" width="3.625" style="52" customWidth="1"/>
    <col min="14851" max="14851" width="17.25" style="52" customWidth="1"/>
    <col min="14852" max="14852" width="4" style="52" customWidth="1"/>
    <col min="14853" max="14859" width="7.625" style="52" customWidth="1"/>
    <col min="14860" max="14860" width="8" style="52" customWidth="1"/>
    <col min="14861" max="14863" width="7.625" style="52" customWidth="1"/>
    <col min="14864" max="14864" width="11.875" style="52" customWidth="1"/>
    <col min="14865" max="14866" width="6.125" style="52" customWidth="1"/>
    <col min="14867" max="14868" width="8" style="52" customWidth="1"/>
    <col min="14869" max="15104" width="9" style="52"/>
    <col min="15105" max="15106" width="3.625" style="52" customWidth="1"/>
    <col min="15107" max="15107" width="17.25" style="52" customWidth="1"/>
    <col min="15108" max="15108" width="4" style="52" customWidth="1"/>
    <col min="15109" max="15115" width="7.625" style="52" customWidth="1"/>
    <col min="15116" max="15116" width="8" style="52" customWidth="1"/>
    <col min="15117" max="15119" width="7.625" style="52" customWidth="1"/>
    <col min="15120" max="15120" width="11.875" style="52" customWidth="1"/>
    <col min="15121" max="15122" width="6.125" style="52" customWidth="1"/>
    <col min="15123" max="15124" width="8" style="52" customWidth="1"/>
    <col min="15125" max="15360" width="9" style="52"/>
    <col min="15361" max="15362" width="3.625" style="52" customWidth="1"/>
    <col min="15363" max="15363" width="17.25" style="52" customWidth="1"/>
    <col min="15364" max="15364" width="4" style="52" customWidth="1"/>
    <col min="15365" max="15371" width="7.625" style="52" customWidth="1"/>
    <col min="15372" max="15372" width="8" style="52" customWidth="1"/>
    <col min="15373" max="15375" width="7.625" style="52" customWidth="1"/>
    <col min="15376" max="15376" width="11.875" style="52" customWidth="1"/>
    <col min="15377" max="15378" width="6.125" style="52" customWidth="1"/>
    <col min="15379" max="15380" width="8" style="52" customWidth="1"/>
    <col min="15381" max="15616" width="9" style="52"/>
    <col min="15617" max="15618" width="3.625" style="52" customWidth="1"/>
    <col min="15619" max="15619" width="17.25" style="52" customWidth="1"/>
    <col min="15620" max="15620" width="4" style="52" customWidth="1"/>
    <col min="15621" max="15627" width="7.625" style="52" customWidth="1"/>
    <col min="15628" max="15628" width="8" style="52" customWidth="1"/>
    <col min="15629" max="15631" width="7.625" style="52" customWidth="1"/>
    <col min="15632" max="15632" width="11.875" style="52" customWidth="1"/>
    <col min="15633" max="15634" width="6.125" style="52" customWidth="1"/>
    <col min="15635" max="15636" width="8" style="52" customWidth="1"/>
    <col min="15637" max="15872" width="9" style="52"/>
    <col min="15873" max="15874" width="3.625" style="52" customWidth="1"/>
    <col min="15875" max="15875" width="17.25" style="52" customWidth="1"/>
    <col min="15876" max="15876" width="4" style="52" customWidth="1"/>
    <col min="15877" max="15883" width="7.625" style="52" customWidth="1"/>
    <col min="15884" max="15884" width="8" style="52" customWidth="1"/>
    <col min="15885" max="15887" width="7.625" style="52" customWidth="1"/>
    <col min="15888" max="15888" width="11.875" style="52" customWidth="1"/>
    <col min="15889" max="15890" width="6.125" style="52" customWidth="1"/>
    <col min="15891" max="15892" width="8" style="52" customWidth="1"/>
    <col min="15893" max="16128" width="9" style="52"/>
    <col min="16129" max="16130" width="3.625" style="52" customWidth="1"/>
    <col min="16131" max="16131" width="17.25" style="52" customWidth="1"/>
    <col min="16132" max="16132" width="4" style="52" customWidth="1"/>
    <col min="16133" max="16139" width="7.625" style="52" customWidth="1"/>
    <col min="16140" max="16140" width="8" style="52" customWidth="1"/>
    <col min="16141" max="16143" width="7.625" style="52" customWidth="1"/>
    <col min="16144" max="16144" width="11.875" style="52" customWidth="1"/>
    <col min="16145" max="16146" width="6.125" style="52" customWidth="1"/>
    <col min="16147" max="16148" width="8" style="52" customWidth="1"/>
    <col min="16149" max="16384" width="9" style="52"/>
  </cols>
  <sheetData>
    <row r="1" customHeight="1" spans="2:20">
      <c r="B1" s="53" t="s">
        <v>0</v>
      </c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</row>
    <row r="2" customHeight="1" spans="2:20">
      <c r="B2" s="54" t="s">
        <v>1</v>
      </c>
      <c r="C2" s="54"/>
      <c r="D2" s="54"/>
      <c r="E2" s="54"/>
      <c r="F2" s="54"/>
      <c r="G2" s="54"/>
      <c r="H2" s="54"/>
      <c r="I2" s="54"/>
      <c r="J2" s="54"/>
      <c r="K2" s="54"/>
      <c r="S2" s="91"/>
      <c r="T2" s="92" t="s">
        <v>2</v>
      </c>
    </row>
    <row r="3" customHeight="1" spans="2:20">
      <c r="B3" s="55" t="s">
        <v>3</v>
      </c>
      <c r="C3" s="56"/>
      <c r="D3" s="57" t="s">
        <v>4</v>
      </c>
      <c r="E3" s="58" t="s">
        <v>5</v>
      </c>
      <c r="F3" s="58" t="s">
        <v>6</v>
      </c>
      <c r="G3" s="58"/>
      <c r="H3" s="58"/>
      <c r="I3" s="58"/>
      <c r="J3" s="58"/>
      <c r="K3" s="58"/>
      <c r="L3" s="58"/>
      <c r="M3" s="58" t="s">
        <v>7</v>
      </c>
      <c r="N3" s="58"/>
      <c r="O3" s="58"/>
      <c r="P3" s="58"/>
      <c r="Q3" s="58"/>
      <c r="R3" s="58" t="s">
        <v>8</v>
      </c>
      <c r="S3" s="93" t="s">
        <v>9</v>
      </c>
      <c r="T3" s="94" t="s">
        <v>10</v>
      </c>
    </row>
    <row r="4" customHeight="1" spans="2:20">
      <c r="B4" s="59"/>
      <c r="C4" s="60"/>
      <c r="D4" s="61"/>
      <c r="E4" s="62"/>
      <c r="F4" s="63" t="s">
        <v>11</v>
      </c>
      <c r="G4" s="63" t="s">
        <v>12</v>
      </c>
      <c r="H4" s="63" t="s">
        <v>13</v>
      </c>
      <c r="I4" s="63" t="s">
        <v>14</v>
      </c>
      <c r="J4" s="63" t="s">
        <v>15</v>
      </c>
      <c r="K4" s="63" t="s">
        <v>16</v>
      </c>
      <c r="L4" s="63" t="s">
        <v>17</v>
      </c>
      <c r="M4" s="62" t="s">
        <v>18</v>
      </c>
      <c r="N4" s="62"/>
      <c r="O4" s="62"/>
      <c r="P4" s="62"/>
      <c r="Q4" s="62"/>
      <c r="R4" s="62"/>
      <c r="S4" s="63"/>
      <c r="T4" s="95"/>
    </row>
    <row r="5" customHeight="1" spans="2:20">
      <c r="B5" s="59"/>
      <c r="C5" s="60"/>
      <c r="D5" s="61"/>
      <c r="E5" s="62"/>
      <c r="F5" s="63"/>
      <c r="G5" s="63"/>
      <c r="H5" s="63"/>
      <c r="I5" s="63"/>
      <c r="J5" s="63"/>
      <c r="K5" s="63"/>
      <c r="L5" s="63"/>
      <c r="M5" s="63" t="s">
        <v>19</v>
      </c>
      <c r="N5" s="63" t="s">
        <v>20</v>
      </c>
      <c r="O5" s="63" t="s">
        <v>21</v>
      </c>
      <c r="P5" s="62" t="s">
        <v>22</v>
      </c>
      <c r="Q5" s="62" t="s">
        <v>23</v>
      </c>
      <c r="R5" s="62"/>
      <c r="S5" s="63"/>
      <c r="T5" s="95"/>
    </row>
    <row r="6" ht="17.1" customHeight="1" spans="2:50">
      <c r="B6" s="64" t="s">
        <v>24</v>
      </c>
      <c r="C6" s="62" t="s">
        <v>25</v>
      </c>
      <c r="D6" s="62"/>
      <c r="E6" s="62" t="s">
        <v>26</v>
      </c>
      <c r="F6" s="65">
        <f>4.64*21+6.54*2</f>
        <v>110.52</v>
      </c>
      <c r="G6" s="65">
        <f>1.08*22</f>
        <v>23.76</v>
      </c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96">
        <f>SUM(F6:S6)</f>
        <v>134.28</v>
      </c>
      <c r="U6" s="51"/>
      <c r="V6" s="51"/>
      <c r="W6" s="51"/>
      <c r="X6" s="51"/>
      <c r="Y6" s="51"/>
      <c r="Z6" s="51"/>
      <c r="AA6" s="51"/>
      <c r="AB6" s="51"/>
      <c r="AC6" s="51"/>
      <c r="AD6" s="51"/>
      <c r="AE6" s="51"/>
      <c r="AF6" s="51"/>
      <c r="AG6" s="51"/>
      <c r="AH6" s="51"/>
      <c r="AI6" s="51"/>
      <c r="AJ6" s="51"/>
      <c r="AK6" s="51"/>
      <c r="AL6" s="51"/>
      <c r="AM6" s="51"/>
      <c r="AN6" s="51"/>
      <c r="AO6" s="51"/>
      <c r="AP6" s="51"/>
      <c r="AQ6" s="51"/>
      <c r="AR6" s="51"/>
      <c r="AS6" s="51"/>
      <c r="AT6" s="51"/>
      <c r="AU6" s="51"/>
      <c r="AV6" s="51"/>
      <c r="AW6" s="51"/>
      <c r="AX6" s="51"/>
    </row>
    <row r="7" ht="17.1" customHeight="1" spans="2:50">
      <c r="B7" s="64"/>
      <c r="C7" s="66" t="s">
        <v>27</v>
      </c>
      <c r="D7" s="62"/>
      <c r="E7" s="62" t="s">
        <v>26</v>
      </c>
      <c r="F7" s="67"/>
      <c r="G7" s="65"/>
      <c r="H7" s="65"/>
      <c r="I7" s="65"/>
      <c r="J7" s="65"/>
      <c r="K7" s="65">
        <f>2.93*2</f>
        <v>5.86</v>
      </c>
      <c r="L7" s="65"/>
      <c r="M7" s="65"/>
      <c r="N7" s="65"/>
      <c r="O7" s="65"/>
      <c r="P7" s="65"/>
      <c r="Q7" s="65"/>
      <c r="R7" s="65"/>
      <c r="S7" s="65"/>
      <c r="T7" s="96">
        <f t="shared" ref="T7:T44" si="0">SUM(F7:S7)</f>
        <v>5.86</v>
      </c>
      <c r="U7" s="51"/>
      <c r="V7" s="51"/>
      <c r="W7" s="51"/>
      <c r="X7" s="51"/>
      <c r="Y7" s="51"/>
      <c r="Z7" s="51"/>
      <c r="AA7" s="51"/>
      <c r="AB7" s="51"/>
      <c r="AC7" s="51"/>
      <c r="AD7" s="51"/>
      <c r="AE7" s="51"/>
      <c r="AF7" s="51"/>
      <c r="AG7" s="51"/>
      <c r="AH7" s="51"/>
      <c r="AI7" s="51"/>
      <c r="AJ7" s="51"/>
      <c r="AK7" s="51"/>
      <c r="AL7" s="51"/>
      <c r="AM7" s="51"/>
      <c r="AN7" s="51"/>
      <c r="AO7" s="51"/>
      <c r="AP7" s="51"/>
      <c r="AQ7" s="51"/>
      <c r="AR7" s="51"/>
      <c r="AS7" s="51"/>
      <c r="AT7" s="51"/>
      <c r="AU7" s="51"/>
      <c r="AV7" s="51"/>
      <c r="AW7" s="51"/>
      <c r="AX7" s="51"/>
    </row>
    <row r="8" ht="17.1" customHeight="1" spans="2:50">
      <c r="B8" s="64"/>
      <c r="C8" s="66" t="s">
        <v>28</v>
      </c>
      <c r="D8" s="62"/>
      <c r="E8" s="62" t="s">
        <v>26</v>
      </c>
      <c r="F8" s="67"/>
      <c r="G8" s="65"/>
      <c r="H8" s="65">
        <f>24*12.96*0.1</f>
        <v>31.104</v>
      </c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96">
        <f t="shared" si="0"/>
        <v>31.104</v>
      </c>
      <c r="U8" s="51"/>
      <c r="V8" s="51"/>
      <c r="W8" s="51"/>
      <c r="X8" s="51"/>
      <c r="Y8" s="51"/>
      <c r="Z8" s="51"/>
      <c r="AA8" s="51"/>
      <c r="AB8" s="51"/>
      <c r="AC8" s="51"/>
      <c r="AD8" s="51"/>
      <c r="AE8" s="51"/>
      <c r="AF8" s="51"/>
      <c r="AG8" s="51"/>
      <c r="AH8" s="51"/>
      <c r="AI8" s="51"/>
      <c r="AJ8" s="51"/>
      <c r="AK8" s="51"/>
      <c r="AL8" s="51"/>
      <c r="AM8" s="51"/>
      <c r="AN8" s="51"/>
      <c r="AO8" s="51"/>
      <c r="AP8" s="51"/>
      <c r="AQ8" s="51"/>
      <c r="AR8" s="51"/>
      <c r="AS8" s="51"/>
      <c r="AT8" s="51"/>
      <c r="AU8" s="51"/>
      <c r="AV8" s="51"/>
      <c r="AW8" s="51"/>
      <c r="AX8" s="51"/>
    </row>
    <row r="9" ht="17.1" customHeight="1" spans="2:50">
      <c r="B9" s="64"/>
      <c r="C9" s="62" t="s">
        <v>29</v>
      </c>
      <c r="D9" s="62"/>
      <c r="E9" s="62" t="s">
        <v>26</v>
      </c>
      <c r="F9" s="65">
        <f>0.16*23</f>
        <v>3.68</v>
      </c>
      <c r="G9" s="65"/>
      <c r="H9" s="65"/>
      <c r="I9" s="65"/>
      <c r="J9" s="65"/>
      <c r="K9" s="65"/>
      <c r="L9" s="65"/>
      <c r="M9" s="65"/>
      <c r="N9" s="65"/>
      <c r="O9" s="65"/>
      <c r="P9" s="65"/>
      <c r="Q9" s="65"/>
      <c r="R9" s="65"/>
      <c r="S9" s="65"/>
      <c r="T9" s="96">
        <f t="shared" si="0"/>
        <v>3.68</v>
      </c>
      <c r="U9" s="51"/>
      <c r="V9" s="51"/>
      <c r="W9" s="51"/>
      <c r="X9" s="51"/>
      <c r="Y9" s="51"/>
      <c r="Z9" s="51"/>
      <c r="AA9" s="51"/>
      <c r="AB9" s="51"/>
      <c r="AC9" s="51"/>
      <c r="AD9" s="51"/>
      <c r="AE9" s="51"/>
      <c r="AF9" s="51"/>
      <c r="AG9" s="51"/>
      <c r="AH9" s="51"/>
      <c r="AI9" s="51"/>
      <c r="AJ9" s="51"/>
      <c r="AK9" s="51"/>
      <c r="AL9" s="51"/>
      <c r="AM9" s="51"/>
      <c r="AN9" s="51"/>
      <c r="AO9" s="51"/>
      <c r="AP9" s="51"/>
      <c r="AQ9" s="51"/>
      <c r="AR9" s="51"/>
      <c r="AS9" s="51"/>
      <c r="AT9" s="51"/>
      <c r="AU9" s="51"/>
      <c r="AV9" s="51"/>
      <c r="AW9" s="51"/>
      <c r="AX9" s="51"/>
    </row>
    <row r="10" ht="17.1" customHeight="1" spans="2:50">
      <c r="B10" s="64"/>
      <c r="C10" s="66" t="s">
        <v>30</v>
      </c>
      <c r="D10" s="62"/>
      <c r="E10" s="62" t="s">
        <v>26</v>
      </c>
      <c r="F10" s="67"/>
      <c r="G10" s="65"/>
      <c r="H10" s="65"/>
      <c r="I10" s="65"/>
      <c r="J10" s="65"/>
      <c r="K10" s="65"/>
      <c r="L10" s="65"/>
      <c r="M10" s="65"/>
      <c r="N10" s="65">
        <v>4.42</v>
      </c>
      <c r="O10" s="65"/>
      <c r="P10" s="65"/>
      <c r="Q10" s="65"/>
      <c r="R10" s="65"/>
      <c r="S10" s="65"/>
      <c r="T10" s="96">
        <f t="shared" si="0"/>
        <v>4.42</v>
      </c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</row>
    <row r="11" ht="17.1" customHeight="1" spans="2:50">
      <c r="B11" s="64"/>
      <c r="C11" s="62" t="s">
        <v>31</v>
      </c>
      <c r="D11" s="62"/>
      <c r="E11" s="62" t="s">
        <v>26</v>
      </c>
      <c r="F11" s="67"/>
      <c r="G11" s="65"/>
      <c r="H11" s="65"/>
      <c r="I11" s="65"/>
      <c r="J11" s="65">
        <f>4.76+1.57</f>
        <v>6.33</v>
      </c>
      <c r="K11" s="65"/>
      <c r="L11" s="67"/>
      <c r="M11" s="65">
        <f>40.32*2</f>
        <v>80.64</v>
      </c>
      <c r="N11" s="65"/>
      <c r="O11" s="65"/>
      <c r="P11" s="65">
        <f>14.94*2+0.37*2</f>
        <v>30.62</v>
      </c>
      <c r="Q11" s="65"/>
      <c r="R11" s="65"/>
      <c r="S11" s="65"/>
      <c r="T11" s="96">
        <f t="shared" si="0"/>
        <v>117.59</v>
      </c>
      <c r="U11" s="51"/>
      <c r="V11" s="51"/>
      <c r="W11" s="51"/>
      <c r="X11" s="51"/>
      <c r="Y11" s="51"/>
      <c r="Z11" s="51"/>
      <c r="AA11" s="51"/>
      <c r="AB11" s="51"/>
      <c r="AC11" s="51"/>
      <c r="AD11" s="51"/>
      <c r="AE11" s="51"/>
      <c r="AF11" s="51"/>
      <c r="AG11" s="51"/>
      <c r="AH11" s="51"/>
      <c r="AI11" s="51"/>
      <c r="AJ11" s="51"/>
      <c r="AK11" s="51"/>
      <c r="AL11" s="51"/>
      <c r="AM11" s="51"/>
      <c r="AN11" s="51"/>
      <c r="AO11" s="51"/>
      <c r="AP11" s="51"/>
      <c r="AQ11" s="51"/>
      <c r="AR11" s="51"/>
      <c r="AS11" s="51"/>
      <c r="AT11" s="51"/>
      <c r="AU11" s="51"/>
      <c r="AV11" s="51"/>
      <c r="AW11" s="51"/>
      <c r="AX11" s="51"/>
    </row>
    <row r="12" ht="17.1" customHeight="1" spans="2:50">
      <c r="B12" s="64"/>
      <c r="C12" s="62" t="s">
        <v>32</v>
      </c>
      <c r="D12" s="62"/>
      <c r="E12" s="62" t="s">
        <v>26</v>
      </c>
      <c r="F12" s="67"/>
      <c r="G12" s="65"/>
      <c r="H12" s="65"/>
      <c r="I12" s="65"/>
      <c r="J12" s="65"/>
      <c r="K12" s="65"/>
      <c r="L12" s="67"/>
      <c r="M12" s="65"/>
      <c r="N12" s="65"/>
      <c r="O12" s="65"/>
      <c r="P12" s="65"/>
      <c r="Q12" s="65"/>
      <c r="R12" s="65">
        <f>69.84+10.33</f>
        <v>80.17</v>
      </c>
      <c r="S12" s="65"/>
      <c r="T12" s="96">
        <f t="shared" si="0"/>
        <v>80.17</v>
      </c>
      <c r="U12" s="51"/>
      <c r="V12" s="51"/>
      <c r="W12" s="51"/>
      <c r="X12" s="51"/>
      <c r="Y12" s="51"/>
      <c r="Z12" s="51"/>
      <c r="AA12" s="51"/>
      <c r="AB12" s="51"/>
      <c r="AC12" s="51"/>
      <c r="AD12" s="51"/>
      <c r="AE12" s="51"/>
      <c r="AF12" s="51"/>
      <c r="AG12" s="51"/>
      <c r="AH12" s="51"/>
      <c r="AI12" s="51"/>
      <c r="AJ12" s="51"/>
      <c r="AK12" s="51"/>
      <c r="AL12" s="51"/>
      <c r="AM12" s="51"/>
      <c r="AN12" s="51"/>
      <c r="AO12" s="51"/>
      <c r="AP12" s="51"/>
      <c r="AQ12" s="51"/>
      <c r="AR12" s="51"/>
      <c r="AS12" s="51"/>
      <c r="AT12" s="51"/>
      <c r="AU12" s="51"/>
      <c r="AV12" s="51"/>
      <c r="AW12" s="51"/>
      <c r="AX12" s="51"/>
    </row>
    <row r="13" ht="17.1" customHeight="1" spans="2:50">
      <c r="B13" s="64"/>
      <c r="C13" s="66" t="s">
        <v>33</v>
      </c>
      <c r="D13" s="62"/>
      <c r="E13" s="62" t="s">
        <v>26</v>
      </c>
      <c r="F13" s="62"/>
      <c r="G13" s="65"/>
      <c r="H13" s="65"/>
      <c r="I13" s="65"/>
      <c r="J13" s="62"/>
      <c r="K13" s="65"/>
      <c r="L13" s="65"/>
      <c r="M13" s="65"/>
      <c r="N13" s="65"/>
      <c r="O13" s="65"/>
      <c r="P13" s="65"/>
      <c r="Q13" s="65">
        <v>224.32</v>
      </c>
      <c r="R13" s="65"/>
      <c r="S13" s="65"/>
      <c r="T13" s="96">
        <f t="shared" si="0"/>
        <v>224.32</v>
      </c>
      <c r="U13" s="51"/>
      <c r="V13" s="51"/>
      <c r="W13" s="51"/>
      <c r="X13" s="51"/>
      <c r="Y13" s="51"/>
      <c r="Z13" s="51"/>
      <c r="AA13" s="51"/>
      <c r="AB13" s="51"/>
      <c r="AC13" s="51"/>
      <c r="AD13" s="51"/>
      <c r="AE13" s="51"/>
      <c r="AF13" s="51"/>
      <c r="AG13" s="51"/>
      <c r="AH13" s="51"/>
      <c r="AI13" s="51"/>
      <c r="AJ13" s="51"/>
      <c r="AK13" s="51"/>
      <c r="AL13" s="51"/>
      <c r="AM13" s="51"/>
      <c r="AN13" s="51"/>
      <c r="AO13" s="51"/>
      <c r="AP13" s="51"/>
      <c r="AQ13" s="51"/>
      <c r="AR13" s="51"/>
      <c r="AS13" s="51"/>
      <c r="AT13" s="51"/>
      <c r="AU13" s="51"/>
      <c r="AV13" s="51"/>
      <c r="AW13" s="51"/>
      <c r="AX13" s="51"/>
    </row>
    <row r="14" ht="17.1" customHeight="1" spans="2:50">
      <c r="B14" s="64"/>
      <c r="C14" s="62" t="s">
        <v>34</v>
      </c>
      <c r="D14" s="62"/>
      <c r="E14" s="62" t="s">
        <v>26</v>
      </c>
      <c r="F14" s="62"/>
      <c r="G14" s="65"/>
      <c r="H14" s="65"/>
      <c r="I14" s="65"/>
      <c r="J14" s="62"/>
      <c r="K14" s="65"/>
      <c r="L14" s="65"/>
      <c r="M14" s="65"/>
      <c r="N14" s="65"/>
      <c r="O14" s="65"/>
      <c r="P14" s="65"/>
      <c r="Q14" s="65"/>
      <c r="R14" s="65"/>
      <c r="S14" s="65">
        <v>35.7</v>
      </c>
      <c r="T14" s="96">
        <f t="shared" si="0"/>
        <v>35.7</v>
      </c>
      <c r="U14" s="51"/>
      <c r="V14" s="51"/>
      <c r="W14" s="51"/>
      <c r="X14" s="51"/>
      <c r="Y14" s="51"/>
      <c r="Z14" s="51"/>
      <c r="AA14" s="51"/>
      <c r="AB14" s="51"/>
      <c r="AC14" s="51"/>
      <c r="AD14" s="51"/>
      <c r="AE14" s="51"/>
      <c r="AF14" s="51"/>
      <c r="AG14" s="51"/>
      <c r="AH14" s="51"/>
      <c r="AI14" s="51"/>
      <c r="AJ14" s="51"/>
      <c r="AK14" s="51"/>
      <c r="AL14" s="51"/>
      <c r="AM14" s="51"/>
      <c r="AN14" s="51"/>
      <c r="AO14" s="51"/>
      <c r="AP14" s="51"/>
      <c r="AQ14" s="51"/>
      <c r="AR14" s="51"/>
      <c r="AS14" s="51"/>
      <c r="AT14" s="51"/>
      <c r="AU14" s="51"/>
      <c r="AV14" s="51"/>
      <c r="AW14" s="51"/>
      <c r="AX14" s="51"/>
    </row>
    <row r="15" ht="17.1" customHeight="1" spans="2:50">
      <c r="B15" s="64"/>
      <c r="C15" s="66" t="s">
        <v>35</v>
      </c>
      <c r="D15" s="62"/>
      <c r="E15" s="62" t="s">
        <v>26</v>
      </c>
      <c r="F15" s="62"/>
      <c r="G15" s="65"/>
      <c r="H15" s="65"/>
      <c r="I15" s="65"/>
      <c r="J15" s="62"/>
      <c r="K15" s="65"/>
      <c r="L15" s="65"/>
      <c r="M15" s="65"/>
      <c r="N15" s="65"/>
      <c r="O15" s="65"/>
      <c r="P15" s="65"/>
      <c r="Q15" s="65"/>
      <c r="R15" s="65"/>
      <c r="S15" s="65">
        <v>5.2</v>
      </c>
      <c r="T15" s="96">
        <f t="shared" si="0"/>
        <v>5.2</v>
      </c>
      <c r="U15" s="51"/>
      <c r="V15" s="51"/>
      <c r="W15" s="51"/>
      <c r="X15" s="51"/>
      <c r="Y15" s="51"/>
      <c r="Z15" s="51"/>
      <c r="AA15" s="51"/>
      <c r="AB15" s="51"/>
      <c r="AC15" s="51"/>
      <c r="AD15" s="51"/>
      <c r="AE15" s="51"/>
      <c r="AF15" s="51"/>
      <c r="AG15" s="51"/>
      <c r="AH15" s="51"/>
      <c r="AI15" s="51"/>
      <c r="AJ15" s="51"/>
      <c r="AK15" s="51"/>
      <c r="AL15" s="51"/>
      <c r="AM15" s="51"/>
      <c r="AN15" s="51"/>
      <c r="AO15" s="51"/>
      <c r="AP15" s="51"/>
      <c r="AQ15" s="51"/>
      <c r="AR15" s="51"/>
      <c r="AS15" s="51"/>
      <c r="AT15" s="51"/>
      <c r="AU15" s="51"/>
      <c r="AV15" s="51"/>
      <c r="AW15" s="51"/>
      <c r="AX15" s="51"/>
    </row>
    <row r="16" ht="17.1" customHeight="1" spans="2:50">
      <c r="B16" s="64"/>
      <c r="C16" s="62" t="s">
        <v>36</v>
      </c>
      <c r="D16" s="62"/>
      <c r="E16" s="62" t="s">
        <v>26</v>
      </c>
      <c r="F16" s="68">
        <f>SUM(F6:F15)</f>
        <v>114.2</v>
      </c>
      <c r="G16" s="68">
        <f t="shared" ref="G16:S16" si="1">SUM(G6:G15)</f>
        <v>23.76</v>
      </c>
      <c r="H16" s="68">
        <f t="shared" si="1"/>
        <v>31.104</v>
      </c>
      <c r="I16" s="68">
        <f t="shared" si="1"/>
        <v>0</v>
      </c>
      <c r="J16" s="68">
        <f t="shared" si="1"/>
        <v>6.33</v>
      </c>
      <c r="K16" s="68">
        <f t="shared" si="1"/>
        <v>5.86</v>
      </c>
      <c r="L16" s="68">
        <f t="shared" si="1"/>
        <v>0</v>
      </c>
      <c r="M16" s="68">
        <f t="shared" si="1"/>
        <v>80.64</v>
      </c>
      <c r="N16" s="68">
        <f t="shared" si="1"/>
        <v>4.42</v>
      </c>
      <c r="O16" s="68">
        <f t="shared" si="1"/>
        <v>0</v>
      </c>
      <c r="P16" s="68">
        <f t="shared" si="1"/>
        <v>30.62</v>
      </c>
      <c r="Q16" s="68">
        <f t="shared" si="1"/>
        <v>224.32</v>
      </c>
      <c r="R16" s="68">
        <f t="shared" si="1"/>
        <v>80.17</v>
      </c>
      <c r="S16" s="68">
        <f t="shared" si="1"/>
        <v>40.9</v>
      </c>
      <c r="T16" s="96">
        <f t="shared" si="0"/>
        <v>642.324</v>
      </c>
      <c r="U16" s="51"/>
      <c r="V16" s="51"/>
      <c r="W16" s="51"/>
      <c r="X16" s="51"/>
      <c r="Y16" s="51"/>
      <c r="Z16" s="51"/>
      <c r="AA16" s="51"/>
      <c r="AB16" s="51"/>
      <c r="AC16" s="51"/>
      <c r="AD16" s="51"/>
      <c r="AE16" s="51"/>
      <c r="AF16" s="51"/>
      <c r="AG16" s="51"/>
      <c r="AH16" s="51"/>
      <c r="AI16" s="51"/>
      <c r="AJ16" s="51"/>
      <c r="AK16" s="51"/>
      <c r="AL16" s="51"/>
      <c r="AM16" s="51"/>
      <c r="AN16" s="51"/>
      <c r="AO16" s="51"/>
      <c r="AP16" s="51"/>
      <c r="AQ16" s="51"/>
      <c r="AR16" s="51"/>
      <c r="AS16" s="51"/>
      <c r="AT16" s="51"/>
      <c r="AU16" s="51"/>
      <c r="AV16" s="51"/>
      <c r="AW16" s="51"/>
      <c r="AX16" s="51"/>
    </row>
    <row r="17" ht="17.1" customHeight="1" spans="2:50">
      <c r="B17" s="69" t="s">
        <v>37</v>
      </c>
      <c r="C17" s="62"/>
      <c r="D17" s="62"/>
      <c r="E17" s="62" t="s">
        <v>26</v>
      </c>
      <c r="F17" s="65"/>
      <c r="G17" s="65"/>
      <c r="H17" s="65">
        <f>(24-0.525*2)*(12.96-0.22*2)*0.1</f>
        <v>28.7334</v>
      </c>
      <c r="I17" s="65"/>
      <c r="J17" s="65"/>
      <c r="K17" s="67"/>
      <c r="L17" s="65"/>
      <c r="M17" s="65"/>
      <c r="N17" s="65"/>
      <c r="O17" s="65"/>
      <c r="P17" s="65"/>
      <c r="Q17" s="65"/>
      <c r="R17" s="65"/>
      <c r="S17" s="65"/>
      <c r="T17" s="96">
        <f t="shared" si="0"/>
        <v>28.7334</v>
      </c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  <c r="AN17" s="51"/>
      <c r="AO17" s="51"/>
      <c r="AP17" s="51"/>
      <c r="AQ17" s="51"/>
      <c r="AR17" s="51"/>
      <c r="AS17" s="51"/>
      <c r="AT17" s="51"/>
      <c r="AU17" s="51"/>
      <c r="AV17" s="51"/>
      <c r="AW17" s="51"/>
      <c r="AX17" s="51"/>
    </row>
    <row r="18" ht="17.1" customHeight="1" spans="2:50">
      <c r="B18" s="69" t="s">
        <v>38</v>
      </c>
      <c r="C18" s="62"/>
      <c r="D18" s="62"/>
      <c r="E18" s="62" t="s">
        <v>39</v>
      </c>
      <c r="F18" s="65"/>
      <c r="G18" s="65"/>
      <c r="H18" s="65">
        <f>12.96*24</f>
        <v>311.04</v>
      </c>
      <c r="I18" s="65"/>
      <c r="J18" s="65"/>
      <c r="K18" s="67"/>
      <c r="L18" s="65"/>
      <c r="M18" s="65"/>
      <c r="N18" s="65"/>
      <c r="O18" s="65"/>
      <c r="P18" s="65"/>
      <c r="Q18" s="65"/>
      <c r="R18" s="65"/>
      <c r="S18" s="65"/>
      <c r="T18" s="96">
        <f t="shared" si="0"/>
        <v>311.04</v>
      </c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</row>
    <row r="19" ht="17.1" customHeight="1" spans="2:50">
      <c r="B19" s="69" t="s">
        <v>40</v>
      </c>
      <c r="C19" s="62"/>
      <c r="D19" s="62"/>
      <c r="E19" s="62" t="s">
        <v>41</v>
      </c>
      <c r="F19" s="65"/>
      <c r="G19" s="65"/>
      <c r="H19" s="65">
        <v>5524.1</v>
      </c>
      <c r="I19" s="65"/>
      <c r="J19" s="65"/>
      <c r="K19" s="65"/>
      <c r="L19" s="65"/>
      <c r="M19" s="65"/>
      <c r="N19" s="65"/>
      <c r="O19" s="65"/>
      <c r="P19" s="65"/>
      <c r="Q19" s="65"/>
      <c r="R19" s="65"/>
      <c r="S19" s="65"/>
      <c r="T19" s="96">
        <f t="shared" si="0"/>
        <v>5524.1</v>
      </c>
      <c r="U19" s="51"/>
      <c r="V19" s="51"/>
      <c r="W19" s="51"/>
      <c r="X19" s="51"/>
      <c r="Y19" s="51"/>
      <c r="Z19" s="51"/>
      <c r="AA19" s="51"/>
      <c r="AB19" s="51"/>
      <c r="AC19" s="51"/>
      <c r="AD19" s="51"/>
      <c r="AE19" s="51"/>
      <c r="AF19" s="51"/>
      <c r="AG19" s="51"/>
      <c r="AH19" s="51"/>
      <c r="AI19" s="51"/>
      <c r="AJ19" s="51"/>
      <c r="AK19" s="51"/>
      <c r="AL19" s="51"/>
      <c r="AM19" s="51"/>
      <c r="AN19" s="51"/>
      <c r="AO19" s="51"/>
      <c r="AP19" s="51"/>
      <c r="AQ19" s="51"/>
      <c r="AR19" s="51"/>
      <c r="AS19" s="51"/>
      <c r="AT19" s="51"/>
      <c r="AU19" s="51"/>
      <c r="AV19" s="51"/>
      <c r="AW19" s="51"/>
      <c r="AX19" s="51"/>
    </row>
    <row r="20" ht="17.1" customHeight="1" spans="2:50">
      <c r="B20" s="70" t="s">
        <v>42</v>
      </c>
      <c r="C20" s="71"/>
      <c r="D20" s="71"/>
      <c r="E20" s="62" t="s">
        <v>41</v>
      </c>
      <c r="F20" s="65">
        <f>157*21+171.2*2</f>
        <v>3639.4</v>
      </c>
      <c r="G20" s="65"/>
      <c r="H20" s="65"/>
      <c r="I20" s="65"/>
      <c r="J20" s="65"/>
      <c r="K20" s="65"/>
      <c r="L20" s="65"/>
      <c r="M20" s="65"/>
      <c r="N20" s="65"/>
      <c r="O20" s="65"/>
      <c r="P20" s="65"/>
      <c r="Q20" s="65"/>
      <c r="R20" s="65"/>
      <c r="S20" s="65"/>
      <c r="T20" s="96">
        <f t="shared" si="0"/>
        <v>3639.4</v>
      </c>
      <c r="U20" s="51"/>
      <c r="V20" s="51"/>
      <c r="W20" s="51"/>
      <c r="X20" s="51"/>
      <c r="Y20" s="51"/>
      <c r="Z20" s="51"/>
      <c r="AA20" s="51"/>
      <c r="AB20" s="51"/>
      <c r="AC20" s="51"/>
      <c r="AD20" s="51"/>
      <c r="AE20" s="51"/>
      <c r="AF20" s="51"/>
      <c r="AG20" s="51"/>
      <c r="AH20" s="51"/>
      <c r="AI20" s="51"/>
      <c r="AJ20" s="51"/>
      <c r="AK20" s="51"/>
      <c r="AL20" s="51"/>
      <c r="AM20" s="51"/>
      <c r="AN20" s="51"/>
      <c r="AO20" s="51"/>
      <c r="AP20" s="51"/>
      <c r="AQ20" s="51"/>
      <c r="AR20" s="51"/>
      <c r="AS20" s="51"/>
      <c r="AT20" s="51"/>
      <c r="AU20" s="51"/>
      <c r="AV20" s="51"/>
      <c r="AW20" s="51"/>
      <c r="AX20" s="51"/>
    </row>
    <row r="21" ht="17.1" customHeight="1" spans="2:50">
      <c r="B21" s="64" t="s">
        <v>43</v>
      </c>
      <c r="C21" s="72" t="s">
        <v>44</v>
      </c>
      <c r="D21" s="73" t="s">
        <v>45</v>
      </c>
      <c r="E21" s="62" t="s">
        <v>41</v>
      </c>
      <c r="F21" s="65"/>
      <c r="G21" s="65"/>
      <c r="H21" s="65"/>
      <c r="I21" s="65"/>
      <c r="J21" s="65"/>
      <c r="K21" s="65"/>
      <c r="L21" s="65"/>
      <c r="M21" s="65"/>
      <c r="N21" s="65"/>
      <c r="O21" s="62">
        <v>118.6</v>
      </c>
      <c r="P21" s="65"/>
      <c r="Q21" s="65"/>
      <c r="R21" s="65"/>
      <c r="S21" s="65"/>
      <c r="T21" s="96">
        <f t="shared" si="0"/>
        <v>118.6</v>
      </c>
      <c r="U21" s="51"/>
      <c r="V21" s="51"/>
      <c r="W21" s="51"/>
      <c r="X21" s="51"/>
      <c r="Y21" s="51"/>
      <c r="Z21" s="51"/>
      <c r="AA21" s="51"/>
      <c r="AB21" s="51"/>
      <c r="AC21" s="51"/>
      <c r="AD21" s="51"/>
      <c r="AE21" s="51"/>
      <c r="AF21" s="51"/>
      <c r="AG21" s="51"/>
      <c r="AH21" s="51"/>
      <c r="AI21" s="51"/>
      <c r="AJ21" s="51"/>
      <c r="AK21" s="51"/>
      <c r="AL21" s="51"/>
      <c r="AM21" s="51"/>
      <c r="AN21" s="51"/>
      <c r="AO21" s="51"/>
      <c r="AP21" s="51"/>
      <c r="AQ21" s="51"/>
      <c r="AR21" s="51"/>
      <c r="AS21" s="51"/>
      <c r="AT21" s="51"/>
      <c r="AU21" s="51"/>
      <c r="AV21" s="51"/>
      <c r="AW21" s="51"/>
      <c r="AX21" s="51"/>
    </row>
    <row r="22" ht="17.1" customHeight="1" spans="2:50">
      <c r="B22" s="64"/>
      <c r="C22" s="72"/>
      <c r="D22" s="73" t="s">
        <v>46</v>
      </c>
      <c r="E22" s="62" t="s">
        <v>41</v>
      </c>
      <c r="F22" s="65"/>
      <c r="G22" s="65"/>
      <c r="H22" s="65"/>
      <c r="I22" s="65"/>
      <c r="J22" s="65"/>
      <c r="K22" s="65"/>
      <c r="L22" s="65"/>
      <c r="M22" s="65"/>
      <c r="N22" s="65"/>
      <c r="O22" s="62"/>
      <c r="P22" s="65">
        <f>117.5*2</f>
        <v>235</v>
      </c>
      <c r="Q22" s="65"/>
      <c r="R22" s="65"/>
      <c r="S22" s="65"/>
      <c r="T22" s="96">
        <f t="shared" si="0"/>
        <v>235</v>
      </c>
      <c r="U22" s="51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1"/>
      <c r="AN22" s="51"/>
      <c r="AO22" s="51"/>
      <c r="AP22" s="51"/>
      <c r="AQ22" s="51"/>
      <c r="AR22" s="51"/>
      <c r="AS22" s="51"/>
      <c r="AT22" s="51"/>
      <c r="AU22" s="51"/>
      <c r="AV22" s="51"/>
      <c r="AW22" s="51"/>
      <c r="AX22" s="51"/>
    </row>
    <row r="23" ht="17.1" customHeight="1" spans="2:50">
      <c r="B23" s="64"/>
      <c r="C23" s="72"/>
      <c r="D23" s="73" t="s">
        <v>47</v>
      </c>
      <c r="E23" s="62" t="s">
        <v>41</v>
      </c>
      <c r="F23" s="65"/>
      <c r="G23" s="65"/>
      <c r="H23" s="65"/>
      <c r="I23" s="65"/>
      <c r="J23" s="65"/>
      <c r="K23" s="65"/>
      <c r="L23" s="65">
        <v>225.5</v>
      </c>
      <c r="M23" s="65"/>
      <c r="N23" s="65"/>
      <c r="O23" s="65"/>
      <c r="P23" s="65"/>
      <c r="Q23" s="65"/>
      <c r="R23" s="65"/>
      <c r="S23" s="65"/>
      <c r="T23" s="96">
        <f t="shared" si="0"/>
        <v>225.5</v>
      </c>
      <c r="U23" s="51"/>
      <c r="V23" s="51"/>
      <c r="W23" s="51"/>
      <c r="X23" s="51"/>
      <c r="Y23" s="51"/>
      <c r="Z23" s="51"/>
      <c r="AA23" s="51"/>
      <c r="AB23" s="51"/>
      <c r="AC23" s="51"/>
      <c r="AD23" s="51"/>
      <c r="AE23" s="51"/>
      <c r="AF23" s="51"/>
      <c r="AG23" s="51"/>
      <c r="AH23" s="51"/>
      <c r="AI23" s="51"/>
      <c r="AJ23" s="51"/>
      <c r="AK23" s="51"/>
      <c r="AL23" s="51"/>
      <c r="AM23" s="51"/>
      <c r="AN23" s="51"/>
      <c r="AO23" s="51"/>
      <c r="AP23" s="51"/>
      <c r="AQ23" s="51"/>
      <c r="AR23" s="51"/>
      <c r="AS23" s="51"/>
      <c r="AT23" s="51"/>
      <c r="AU23" s="51"/>
      <c r="AV23" s="51"/>
      <c r="AW23" s="51"/>
      <c r="AX23" s="51"/>
    </row>
    <row r="24" ht="17.1" customHeight="1" spans="2:50">
      <c r="B24" s="64"/>
      <c r="C24" s="72"/>
      <c r="D24" s="73" t="s">
        <v>48</v>
      </c>
      <c r="E24" s="62" t="s">
        <v>41</v>
      </c>
      <c r="F24" s="65">
        <f>320.5*21+236.7*2</f>
        <v>7203.9</v>
      </c>
      <c r="G24" s="65">
        <f>53.7*22</f>
        <v>1181.4</v>
      </c>
      <c r="H24" s="65"/>
      <c r="I24" s="65"/>
      <c r="J24" s="65"/>
      <c r="K24" s="65">
        <f>154.5*2</f>
        <v>309</v>
      </c>
      <c r="L24" s="65"/>
      <c r="M24" s="65">
        <f>1445.7*2</f>
        <v>2891.4</v>
      </c>
      <c r="N24" s="65">
        <v>1122.4</v>
      </c>
      <c r="O24" s="65"/>
      <c r="P24" s="65"/>
      <c r="Q24" s="65">
        <v>4477.1</v>
      </c>
      <c r="R24" s="65"/>
      <c r="S24" s="65"/>
      <c r="T24" s="96">
        <f t="shared" si="0"/>
        <v>17185.2</v>
      </c>
      <c r="U24" s="51"/>
      <c r="V24" s="51"/>
      <c r="W24" s="51"/>
      <c r="X24" s="51"/>
      <c r="Y24" s="51"/>
      <c r="Z24" s="51"/>
      <c r="AA24" s="51"/>
      <c r="AB24" s="51"/>
      <c r="AC24" s="51"/>
      <c r="AD24" s="51"/>
      <c r="AE24" s="51"/>
      <c r="AF24" s="51"/>
      <c r="AG24" s="51"/>
      <c r="AH24" s="51"/>
      <c r="AI24" s="51"/>
      <c r="AJ24" s="51"/>
      <c r="AK24" s="51"/>
      <c r="AL24" s="51"/>
      <c r="AM24" s="51"/>
      <c r="AN24" s="51"/>
      <c r="AO24" s="51"/>
      <c r="AP24" s="51"/>
      <c r="AQ24" s="51"/>
      <c r="AR24" s="51"/>
      <c r="AS24" s="51"/>
      <c r="AT24" s="51"/>
      <c r="AU24" s="51"/>
      <c r="AV24" s="51"/>
      <c r="AW24" s="51"/>
      <c r="AX24" s="51"/>
    </row>
    <row r="25" ht="17.1" customHeight="1" spans="2:50">
      <c r="B25" s="64"/>
      <c r="C25" s="72"/>
      <c r="D25" s="73" t="s">
        <v>49</v>
      </c>
      <c r="E25" s="62" t="s">
        <v>41</v>
      </c>
      <c r="F25" s="65">
        <f>111.4*21+82.7*2</f>
        <v>2504.8</v>
      </c>
      <c r="G25" s="65"/>
      <c r="H25" s="65"/>
      <c r="I25" s="65">
        <v>15.2</v>
      </c>
      <c r="J25" s="65"/>
      <c r="K25" s="65"/>
      <c r="L25" s="65"/>
      <c r="M25" s="65"/>
      <c r="N25" s="65"/>
      <c r="O25" s="65">
        <v>38.2</v>
      </c>
      <c r="P25" s="65"/>
      <c r="Q25" s="65"/>
      <c r="R25" s="65"/>
      <c r="S25" s="65"/>
      <c r="T25" s="96">
        <f t="shared" si="0"/>
        <v>2558.2</v>
      </c>
      <c r="U25" s="51"/>
      <c r="V25" s="51"/>
      <c r="W25" s="51"/>
      <c r="X25" s="51"/>
      <c r="Y25" s="51"/>
      <c r="Z25" s="51"/>
      <c r="AA25" s="51"/>
      <c r="AB25" s="51"/>
      <c r="AC25" s="51"/>
      <c r="AD25" s="51"/>
      <c r="AE25" s="51"/>
      <c r="AF25" s="51"/>
      <c r="AG25" s="51"/>
      <c r="AH25" s="51"/>
      <c r="AI25" s="51"/>
      <c r="AJ25" s="51"/>
      <c r="AK25" s="51"/>
      <c r="AL25" s="51"/>
      <c r="AM25" s="51"/>
      <c r="AN25" s="51"/>
      <c r="AO25" s="51"/>
      <c r="AP25" s="51"/>
      <c r="AQ25" s="51"/>
      <c r="AR25" s="51"/>
      <c r="AS25" s="51"/>
      <c r="AT25" s="51"/>
      <c r="AU25" s="51"/>
      <c r="AV25" s="51"/>
      <c r="AW25" s="51"/>
      <c r="AX25" s="51"/>
    </row>
    <row r="26" ht="17.1" customHeight="1" spans="2:50">
      <c r="B26" s="64"/>
      <c r="C26" s="72"/>
      <c r="D26" s="74" t="s">
        <v>36</v>
      </c>
      <c r="E26" s="62" t="s">
        <v>41</v>
      </c>
      <c r="F26" s="68">
        <f>SUM(F21:F25)</f>
        <v>9708.7</v>
      </c>
      <c r="G26" s="68">
        <f t="shared" ref="G26:S26" si="2">SUM(G21:G25)</f>
        <v>1181.4</v>
      </c>
      <c r="H26" s="68">
        <f t="shared" si="2"/>
        <v>0</v>
      </c>
      <c r="I26" s="68">
        <f t="shared" si="2"/>
        <v>15.2</v>
      </c>
      <c r="J26" s="68">
        <f t="shared" si="2"/>
        <v>0</v>
      </c>
      <c r="K26" s="68">
        <f t="shared" si="2"/>
        <v>309</v>
      </c>
      <c r="L26" s="68">
        <f t="shared" si="2"/>
        <v>225.5</v>
      </c>
      <c r="M26" s="68">
        <f t="shared" si="2"/>
        <v>2891.4</v>
      </c>
      <c r="N26" s="68">
        <f t="shared" si="2"/>
        <v>1122.4</v>
      </c>
      <c r="O26" s="68">
        <f t="shared" si="2"/>
        <v>156.8</v>
      </c>
      <c r="P26" s="68">
        <f t="shared" si="2"/>
        <v>235</v>
      </c>
      <c r="Q26" s="68">
        <f t="shared" si="2"/>
        <v>4477.1</v>
      </c>
      <c r="R26" s="68">
        <f t="shared" si="2"/>
        <v>0</v>
      </c>
      <c r="S26" s="68">
        <f t="shared" si="2"/>
        <v>0</v>
      </c>
      <c r="T26" s="96">
        <f t="shared" si="0"/>
        <v>20322.5</v>
      </c>
      <c r="U26" s="51"/>
      <c r="V26" s="51"/>
      <c r="W26" s="51"/>
      <c r="X26" s="51"/>
      <c r="Y26" s="51"/>
      <c r="Z26" s="51"/>
      <c r="AA26" s="51"/>
      <c r="AB26" s="51"/>
      <c r="AC26" s="51"/>
      <c r="AD26" s="51"/>
      <c r="AE26" s="51"/>
      <c r="AF26" s="51"/>
      <c r="AG26" s="51"/>
      <c r="AH26" s="51"/>
      <c r="AI26" s="51"/>
      <c r="AJ26" s="51"/>
      <c r="AK26" s="51"/>
      <c r="AL26" s="51"/>
      <c r="AM26" s="51"/>
      <c r="AN26" s="51"/>
      <c r="AO26" s="51"/>
      <c r="AP26" s="51"/>
      <c r="AQ26" s="51"/>
      <c r="AR26" s="51"/>
      <c r="AS26" s="51"/>
      <c r="AT26" s="51"/>
      <c r="AU26" s="51"/>
      <c r="AV26" s="51"/>
      <c r="AW26" s="51"/>
      <c r="AX26" s="51"/>
    </row>
    <row r="27" ht="17.1" customHeight="1" spans="2:50">
      <c r="B27" s="64"/>
      <c r="C27" s="72" t="s">
        <v>50</v>
      </c>
      <c r="D27" s="75" t="s">
        <v>51</v>
      </c>
      <c r="E27" s="62" t="s">
        <v>41</v>
      </c>
      <c r="F27" s="65"/>
      <c r="G27" s="65"/>
      <c r="H27" s="65"/>
      <c r="I27" s="65"/>
      <c r="J27" s="65"/>
      <c r="K27" s="65"/>
      <c r="L27" s="65"/>
      <c r="M27" s="65">
        <f>3947.4*2</f>
        <v>7894.8</v>
      </c>
      <c r="N27" s="65"/>
      <c r="O27" s="65"/>
      <c r="P27" s="65"/>
      <c r="Q27" s="65">
        <v>17040.7</v>
      </c>
      <c r="R27" s="65"/>
      <c r="S27" s="65"/>
      <c r="T27" s="96">
        <f t="shared" si="0"/>
        <v>24935.5</v>
      </c>
      <c r="U27" s="51"/>
      <c r="V27" s="51"/>
      <c r="W27" s="51"/>
      <c r="X27" s="51"/>
      <c r="Y27" s="51"/>
      <c r="Z27" s="51"/>
      <c r="AA27" s="51"/>
      <c r="AB27" s="51"/>
      <c r="AC27" s="51"/>
      <c r="AD27" s="51"/>
      <c r="AE27" s="51"/>
      <c r="AF27" s="51"/>
      <c r="AG27" s="51"/>
      <c r="AH27" s="51"/>
      <c r="AI27" s="51"/>
      <c r="AJ27" s="51"/>
      <c r="AK27" s="51"/>
      <c r="AL27" s="51"/>
      <c r="AM27" s="51"/>
      <c r="AN27" s="51"/>
      <c r="AO27" s="51"/>
      <c r="AP27" s="51"/>
      <c r="AQ27" s="51"/>
      <c r="AR27" s="51"/>
      <c r="AS27" s="51"/>
      <c r="AT27" s="51"/>
      <c r="AU27" s="51"/>
      <c r="AV27" s="51"/>
      <c r="AW27" s="51"/>
      <c r="AX27" s="51"/>
    </row>
    <row r="28" ht="17.1" customHeight="1" spans="2:50">
      <c r="B28" s="64"/>
      <c r="C28" s="72"/>
      <c r="D28" s="75" t="s">
        <v>52</v>
      </c>
      <c r="E28" s="62" t="s">
        <v>41</v>
      </c>
      <c r="F28" s="65">
        <f>245*21+183.7*2</f>
        <v>5512.4</v>
      </c>
      <c r="G28" s="65"/>
      <c r="H28" s="65"/>
      <c r="I28" s="65"/>
      <c r="J28" s="65">
        <f>587.3+271.9</f>
        <v>859.2</v>
      </c>
      <c r="K28" s="65">
        <f>1137.6*2</f>
        <v>2275.2</v>
      </c>
      <c r="L28" s="65"/>
      <c r="M28" s="65"/>
      <c r="N28" s="65"/>
      <c r="O28" s="65"/>
      <c r="P28" s="65">
        <f>204.7+221.7+73.7*2</f>
        <v>573.8</v>
      </c>
      <c r="Q28" s="65"/>
      <c r="R28" s="65">
        <v>5176</v>
      </c>
      <c r="S28" s="65"/>
      <c r="T28" s="96">
        <f t="shared" si="0"/>
        <v>14396.6</v>
      </c>
      <c r="U28" s="51"/>
      <c r="V28" s="51"/>
      <c r="W28" s="51"/>
      <c r="X28" s="51"/>
      <c r="Y28" s="51"/>
      <c r="AA28" s="51"/>
      <c r="AB28" s="51"/>
      <c r="AC28" s="51"/>
      <c r="AD28" s="51"/>
      <c r="AE28" s="51"/>
      <c r="AF28" s="51"/>
      <c r="AG28" s="51"/>
      <c r="AH28" s="51"/>
      <c r="AI28" s="51"/>
      <c r="AJ28" s="51"/>
      <c r="AK28" s="51"/>
      <c r="AL28" s="51"/>
      <c r="AM28" s="51"/>
      <c r="AN28" s="51"/>
      <c r="AO28" s="51"/>
      <c r="AP28" s="51"/>
      <c r="AQ28" s="51"/>
      <c r="AR28" s="51"/>
      <c r="AS28" s="51"/>
      <c r="AT28" s="51"/>
      <c r="AU28" s="51"/>
      <c r="AV28" s="51"/>
      <c r="AW28" s="51"/>
      <c r="AX28" s="51"/>
    </row>
    <row r="29" ht="17.1" customHeight="1" spans="2:50">
      <c r="B29" s="64"/>
      <c r="C29" s="72"/>
      <c r="D29" s="75" t="s">
        <v>53</v>
      </c>
      <c r="E29" s="62" t="s">
        <v>41</v>
      </c>
      <c r="F29" s="65">
        <f>112.2*21+218.4*2</f>
        <v>2793</v>
      </c>
      <c r="G29" s="65">
        <f>22.9*22</f>
        <v>503.8</v>
      </c>
      <c r="H29" s="65">
        <f>上部及附属!F15</f>
        <v>0</v>
      </c>
      <c r="I29" s="65"/>
      <c r="J29" s="65">
        <f>726+336.1</f>
        <v>1062.1</v>
      </c>
      <c r="K29" s="65"/>
      <c r="L29" s="65"/>
      <c r="M29" s="65">
        <f>257.8*2</f>
        <v>515.6</v>
      </c>
      <c r="N29" s="65">
        <v>552</v>
      </c>
      <c r="O29" s="65"/>
      <c r="P29" s="65">
        <f>1396.3+1397.5+26.2*2</f>
        <v>2846.2</v>
      </c>
      <c r="Q29" s="65"/>
      <c r="R29" s="65">
        <v>2253</v>
      </c>
      <c r="S29" s="65"/>
      <c r="T29" s="96">
        <f t="shared" si="0"/>
        <v>10525.7</v>
      </c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</row>
    <row r="30" s="49" customFormat="1" ht="17.1" customHeight="1" spans="2:50">
      <c r="B30" s="64"/>
      <c r="C30" s="72"/>
      <c r="D30" s="75" t="s">
        <v>54</v>
      </c>
      <c r="E30" s="62" t="s">
        <v>41</v>
      </c>
      <c r="F30" s="65">
        <f>169.7*2</f>
        <v>339.4</v>
      </c>
      <c r="G30" s="65"/>
      <c r="H30" s="65"/>
      <c r="I30" s="65"/>
      <c r="J30" s="65"/>
      <c r="K30" s="65"/>
      <c r="L30" s="65"/>
      <c r="M30" s="65"/>
      <c r="N30" s="65"/>
      <c r="O30" s="65"/>
      <c r="P30" s="65"/>
      <c r="Q30" s="65"/>
      <c r="R30" s="65"/>
      <c r="S30" s="65"/>
      <c r="T30" s="96">
        <f t="shared" si="0"/>
        <v>339.4</v>
      </c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</row>
    <row r="31" ht="17.1" customHeight="1" spans="2:50">
      <c r="B31" s="64"/>
      <c r="C31" s="72"/>
      <c r="D31" s="74" t="s">
        <v>36</v>
      </c>
      <c r="E31" s="62" t="s">
        <v>41</v>
      </c>
      <c r="F31" s="68">
        <f>SUM(F27:F30)</f>
        <v>8644.8</v>
      </c>
      <c r="G31" s="68">
        <f t="shared" ref="G31:S31" si="3">SUM(G27:G30)</f>
        <v>503.8</v>
      </c>
      <c r="H31" s="68">
        <f t="shared" si="3"/>
        <v>0</v>
      </c>
      <c r="I31" s="68">
        <f t="shared" si="3"/>
        <v>0</v>
      </c>
      <c r="J31" s="68">
        <f t="shared" si="3"/>
        <v>1921.3</v>
      </c>
      <c r="K31" s="68">
        <f t="shared" si="3"/>
        <v>2275.2</v>
      </c>
      <c r="L31" s="68">
        <f t="shared" si="3"/>
        <v>0</v>
      </c>
      <c r="M31" s="68">
        <f t="shared" si="3"/>
        <v>8410.4</v>
      </c>
      <c r="N31" s="68">
        <f t="shared" si="3"/>
        <v>552</v>
      </c>
      <c r="O31" s="68">
        <f t="shared" si="3"/>
        <v>0</v>
      </c>
      <c r="P31" s="68">
        <f t="shared" si="3"/>
        <v>3420</v>
      </c>
      <c r="Q31" s="68">
        <f t="shared" si="3"/>
        <v>17040.7</v>
      </c>
      <c r="R31" s="68">
        <f t="shared" si="3"/>
        <v>7429</v>
      </c>
      <c r="S31" s="68">
        <f t="shared" si="3"/>
        <v>0</v>
      </c>
      <c r="T31" s="96">
        <f t="shared" si="0"/>
        <v>50197.2</v>
      </c>
      <c r="U31" s="51"/>
      <c r="V31" s="51"/>
      <c r="W31" s="51"/>
      <c r="X31" s="51"/>
      <c r="Y31" s="51"/>
      <c r="Z31" s="51"/>
      <c r="AA31" s="51"/>
      <c r="AB31" s="51"/>
      <c r="AC31" s="51"/>
      <c r="AD31" s="51"/>
      <c r="AE31" s="51"/>
      <c r="AF31" s="51"/>
      <c r="AG31" s="51"/>
      <c r="AH31" s="51"/>
      <c r="AI31" s="51"/>
      <c r="AJ31" s="51"/>
      <c r="AK31" s="51"/>
      <c r="AL31" s="51"/>
      <c r="AM31" s="51"/>
      <c r="AN31" s="51"/>
      <c r="AO31" s="51"/>
      <c r="AP31" s="51"/>
      <c r="AQ31" s="51"/>
      <c r="AR31" s="51"/>
      <c r="AS31" s="51"/>
      <c r="AT31" s="51"/>
      <c r="AU31" s="51"/>
      <c r="AV31" s="51"/>
      <c r="AW31" s="51"/>
      <c r="AX31" s="51"/>
    </row>
    <row r="32" ht="17.1" customHeight="1" spans="2:50">
      <c r="B32" s="64" t="s">
        <v>55</v>
      </c>
      <c r="C32" s="76" t="s">
        <v>56</v>
      </c>
      <c r="D32" s="62" t="s">
        <v>57</v>
      </c>
      <c r="E32" s="62" t="s">
        <v>41</v>
      </c>
      <c r="F32" s="65"/>
      <c r="G32" s="65"/>
      <c r="H32" s="65"/>
      <c r="I32" s="65"/>
      <c r="J32" s="65"/>
      <c r="K32" s="65"/>
      <c r="L32" s="65">
        <f>2857</f>
        <v>2857</v>
      </c>
      <c r="M32" s="65"/>
      <c r="N32" s="65"/>
      <c r="O32" s="65"/>
      <c r="P32" s="65"/>
      <c r="Q32" s="65"/>
      <c r="R32" s="65"/>
      <c r="S32" s="65"/>
      <c r="T32" s="96">
        <f t="shared" si="0"/>
        <v>2857</v>
      </c>
      <c r="U32" s="51"/>
      <c r="V32" s="51"/>
      <c r="W32" s="51"/>
      <c r="X32" s="51"/>
      <c r="Y32" s="51"/>
      <c r="Z32" s="51"/>
      <c r="AA32" s="51"/>
      <c r="AB32" s="51"/>
      <c r="AC32" s="51"/>
      <c r="AD32" s="51"/>
      <c r="AE32" s="51"/>
      <c r="AF32" s="51"/>
      <c r="AG32" s="51"/>
      <c r="AH32" s="51"/>
      <c r="AI32" s="51"/>
      <c r="AJ32" s="51"/>
      <c r="AK32" s="51"/>
      <c r="AL32" s="51"/>
      <c r="AM32" s="51"/>
      <c r="AN32" s="51"/>
      <c r="AO32" s="51"/>
      <c r="AP32" s="51"/>
      <c r="AQ32" s="51"/>
      <c r="AR32" s="51"/>
      <c r="AS32" s="51"/>
      <c r="AT32" s="51"/>
      <c r="AU32" s="51"/>
      <c r="AV32" s="51"/>
      <c r="AW32" s="51"/>
      <c r="AX32" s="51"/>
    </row>
    <row r="33" ht="17.1" customHeight="1" spans="2:50">
      <c r="B33" s="64"/>
      <c r="C33" s="76"/>
      <c r="D33" s="62" t="s">
        <v>58</v>
      </c>
      <c r="E33" s="62" t="s">
        <v>41</v>
      </c>
      <c r="F33" s="65"/>
      <c r="G33" s="65"/>
      <c r="H33" s="65"/>
      <c r="I33" s="65"/>
      <c r="J33" s="65"/>
      <c r="K33" s="65"/>
      <c r="L33" s="65">
        <v>1954.1</v>
      </c>
      <c r="M33" s="65"/>
      <c r="N33" s="65"/>
      <c r="O33" s="65"/>
      <c r="P33" s="65"/>
      <c r="Q33" s="65"/>
      <c r="R33" s="65"/>
      <c r="S33" s="65"/>
      <c r="T33" s="96">
        <f t="shared" si="0"/>
        <v>1954.1</v>
      </c>
      <c r="U33" s="51"/>
      <c r="V33" s="51"/>
      <c r="W33" s="51"/>
      <c r="X33" s="51"/>
      <c r="Y33" s="51"/>
      <c r="Z33" s="51"/>
      <c r="AA33" s="51"/>
      <c r="AB33" s="51"/>
      <c r="AC33" s="51"/>
      <c r="AD33" s="51"/>
      <c r="AE33" s="51"/>
      <c r="AF33" s="51"/>
      <c r="AG33" s="51"/>
      <c r="AH33" s="51"/>
      <c r="AI33" s="51"/>
      <c r="AJ33" s="51"/>
      <c r="AK33" s="51"/>
      <c r="AL33" s="51"/>
      <c r="AM33" s="51"/>
      <c r="AN33" s="51"/>
      <c r="AO33" s="51"/>
      <c r="AP33" s="51"/>
      <c r="AQ33" s="51"/>
      <c r="AR33" s="51"/>
      <c r="AS33" s="51"/>
      <c r="AT33" s="51"/>
      <c r="AU33" s="51"/>
      <c r="AV33" s="51"/>
      <c r="AW33" s="51"/>
      <c r="AX33" s="51"/>
    </row>
    <row r="34" ht="17.1" customHeight="1" spans="2:50">
      <c r="B34" s="64"/>
      <c r="C34" s="76"/>
      <c r="D34" s="62" t="s">
        <v>59</v>
      </c>
      <c r="E34" s="62" t="s">
        <v>41</v>
      </c>
      <c r="F34" s="65"/>
      <c r="G34" s="65"/>
      <c r="H34" s="65"/>
      <c r="I34" s="65"/>
      <c r="J34" s="65">
        <v>5025.8</v>
      </c>
      <c r="K34" s="65"/>
      <c r="L34" s="65"/>
      <c r="M34" s="65"/>
      <c r="N34" s="65"/>
      <c r="O34" s="65"/>
      <c r="P34" s="65"/>
      <c r="Q34" s="65"/>
      <c r="R34" s="65"/>
      <c r="S34" s="65"/>
      <c r="T34" s="96">
        <f t="shared" si="0"/>
        <v>5025.8</v>
      </c>
      <c r="U34" s="51"/>
      <c r="V34" s="51"/>
      <c r="W34" s="51"/>
      <c r="X34" s="51"/>
      <c r="Y34" s="51"/>
      <c r="Z34" s="51"/>
      <c r="AA34" s="51"/>
      <c r="AB34" s="51"/>
      <c r="AC34" s="51"/>
      <c r="AD34" s="51"/>
      <c r="AE34" s="51"/>
      <c r="AF34" s="51"/>
      <c r="AG34" s="51"/>
      <c r="AH34" s="51"/>
      <c r="AI34" s="51"/>
      <c r="AJ34" s="51"/>
      <c r="AK34" s="51"/>
      <c r="AL34" s="51"/>
      <c r="AM34" s="51"/>
      <c r="AN34" s="51"/>
      <c r="AO34" s="51"/>
      <c r="AP34" s="51"/>
      <c r="AQ34" s="51"/>
      <c r="AR34" s="51"/>
      <c r="AS34" s="51"/>
      <c r="AT34" s="51"/>
      <c r="AU34" s="51"/>
      <c r="AV34" s="51"/>
      <c r="AW34" s="51"/>
      <c r="AX34" s="51"/>
    </row>
    <row r="35" ht="17.1" customHeight="1" spans="2:50">
      <c r="B35" s="64"/>
      <c r="C35" s="76"/>
      <c r="D35" s="62" t="s">
        <v>60</v>
      </c>
      <c r="E35" s="62" t="s">
        <v>41</v>
      </c>
      <c r="F35" s="65"/>
      <c r="G35" s="65"/>
      <c r="H35" s="65"/>
      <c r="I35" s="65"/>
      <c r="J35" s="65"/>
      <c r="K35" s="65"/>
      <c r="L35" s="65"/>
      <c r="M35" s="65"/>
      <c r="N35" s="65"/>
      <c r="O35" s="65">
        <v>3.45</v>
      </c>
      <c r="P35" s="65"/>
      <c r="Q35" s="65"/>
      <c r="R35" s="65"/>
      <c r="S35" s="65"/>
      <c r="T35" s="96">
        <f t="shared" si="0"/>
        <v>3.45</v>
      </c>
      <c r="U35" s="51"/>
      <c r="V35" s="51"/>
      <c r="W35" s="51"/>
      <c r="X35" s="51"/>
      <c r="Y35" s="51"/>
      <c r="Z35" s="51"/>
      <c r="AA35" s="51"/>
      <c r="AB35" s="51"/>
      <c r="AC35" s="51"/>
      <c r="AD35" s="51"/>
      <c r="AE35" s="51"/>
      <c r="AF35" s="51"/>
      <c r="AG35" s="51"/>
      <c r="AH35" s="51"/>
      <c r="AI35" s="51"/>
      <c r="AJ35" s="51"/>
      <c r="AK35" s="51"/>
      <c r="AL35" s="51"/>
      <c r="AM35" s="51"/>
      <c r="AN35" s="51"/>
      <c r="AO35" s="51"/>
      <c r="AP35" s="51"/>
      <c r="AQ35" s="51"/>
      <c r="AR35" s="51"/>
      <c r="AS35" s="51"/>
      <c r="AT35" s="51"/>
      <c r="AU35" s="51"/>
      <c r="AV35" s="51"/>
      <c r="AW35" s="51"/>
      <c r="AX35" s="51"/>
    </row>
    <row r="36" ht="17.1" customHeight="1" spans="2:50">
      <c r="B36" s="64"/>
      <c r="C36" s="62" t="s">
        <v>61</v>
      </c>
      <c r="D36" s="77" t="s">
        <v>62</v>
      </c>
      <c r="E36" s="62" t="s">
        <v>41</v>
      </c>
      <c r="F36" s="65"/>
      <c r="G36" s="65"/>
      <c r="H36" s="65"/>
      <c r="I36" s="65"/>
      <c r="J36" s="65"/>
      <c r="K36" s="65"/>
      <c r="L36" s="65"/>
      <c r="M36" s="65"/>
      <c r="N36" s="65"/>
      <c r="O36" s="65">
        <v>43.4</v>
      </c>
      <c r="P36" s="88"/>
      <c r="Q36" s="65"/>
      <c r="R36" s="88"/>
      <c r="S36" s="65"/>
      <c r="T36" s="96">
        <f t="shared" si="0"/>
        <v>43.4</v>
      </c>
      <c r="U36" s="51"/>
      <c r="V36" s="51"/>
      <c r="W36" s="51"/>
      <c r="X36" s="51"/>
      <c r="Y36" s="51"/>
      <c r="Z36" s="51"/>
      <c r="AA36" s="51"/>
      <c r="AB36" s="51"/>
      <c r="AC36" s="51"/>
      <c r="AD36" s="51"/>
      <c r="AE36" s="51"/>
      <c r="AF36" s="51"/>
      <c r="AG36" s="51"/>
      <c r="AH36" s="51"/>
      <c r="AI36" s="51"/>
      <c r="AJ36" s="51"/>
      <c r="AK36" s="51"/>
      <c r="AL36" s="51"/>
      <c r="AM36" s="51"/>
      <c r="AN36" s="51"/>
      <c r="AO36" s="51"/>
      <c r="AP36" s="51"/>
      <c r="AQ36" s="51"/>
      <c r="AR36" s="51"/>
      <c r="AS36" s="51"/>
      <c r="AT36" s="51"/>
      <c r="AU36" s="51"/>
      <c r="AV36" s="51"/>
      <c r="AW36" s="51"/>
      <c r="AX36" s="51"/>
    </row>
    <row r="37" s="50" customFormat="1" ht="17.1" customHeight="1" spans="2:20">
      <c r="B37" s="78" t="s">
        <v>63</v>
      </c>
      <c r="C37" s="79" t="s">
        <v>64</v>
      </c>
      <c r="D37" s="79"/>
      <c r="E37" s="79" t="s">
        <v>65</v>
      </c>
      <c r="F37" s="79"/>
      <c r="G37" s="79"/>
      <c r="H37" s="79"/>
      <c r="I37" s="79"/>
      <c r="J37" s="79"/>
      <c r="K37" s="79"/>
      <c r="L37" s="79">
        <v>92</v>
      </c>
      <c r="M37" s="79"/>
      <c r="N37" s="79"/>
      <c r="O37" s="79"/>
      <c r="P37" s="79"/>
      <c r="Q37" s="79"/>
      <c r="R37" s="79"/>
      <c r="S37" s="79"/>
      <c r="T37" s="96">
        <f t="shared" si="0"/>
        <v>92</v>
      </c>
    </row>
    <row r="38" ht="17.1" customHeight="1" spans="2:50">
      <c r="B38" s="80" t="s">
        <v>66</v>
      </c>
      <c r="C38" s="62" t="s">
        <v>67</v>
      </c>
      <c r="D38" s="62"/>
      <c r="E38" s="62" t="s">
        <v>41</v>
      </c>
      <c r="F38" s="81"/>
      <c r="G38" s="81"/>
      <c r="H38" s="81"/>
      <c r="I38" s="65">
        <v>20</v>
      </c>
      <c r="J38" s="81"/>
      <c r="K38" s="81"/>
      <c r="L38" s="81"/>
      <c r="M38" s="81"/>
      <c r="N38" s="81"/>
      <c r="O38" s="81"/>
      <c r="P38" s="81"/>
      <c r="Q38" s="81"/>
      <c r="R38" s="81"/>
      <c r="S38" s="65"/>
      <c r="T38" s="96">
        <f t="shared" si="0"/>
        <v>20</v>
      </c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</row>
    <row r="39" ht="17.1" customHeight="1" spans="2:50">
      <c r="B39" s="80"/>
      <c r="C39" s="62" t="s">
        <v>68</v>
      </c>
      <c r="D39" s="62"/>
      <c r="E39" s="62" t="s">
        <v>41</v>
      </c>
      <c r="F39" s="81"/>
      <c r="G39" s="81"/>
      <c r="H39" s="81"/>
      <c r="I39" s="65">
        <v>243.2</v>
      </c>
      <c r="J39" s="81"/>
      <c r="K39" s="81"/>
      <c r="L39" s="81"/>
      <c r="M39" s="81"/>
      <c r="N39" s="81"/>
      <c r="O39" s="81"/>
      <c r="P39" s="81"/>
      <c r="Q39" s="81"/>
      <c r="R39" s="81"/>
      <c r="S39" s="65"/>
      <c r="T39" s="96">
        <f t="shared" si="0"/>
        <v>243.2</v>
      </c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</row>
    <row r="40" ht="17.1" customHeight="1" spans="2:50">
      <c r="B40" s="80"/>
      <c r="C40" s="62" t="s">
        <v>69</v>
      </c>
      <c r="D40" s="62"/>
      <c r="E40" s="62" t="s">
        <v>39</v>
      </c>
      <c r="F40" s="81"/>
      <c r="G40" s="81"/>
      <c r="H40" s="81"/>
      <c r="I40" s="65">
        <v>7.28</v>
      </c>
      <c r="J40" s="81"/>
      <c r="K40" s="81"/>
      <c r="L40" s="81"/>
      <c r="M40" s="81"/>
      <c r="N40" s="81"/>
      <c r="O40" s="81"/>
      <c r="P40" s="81"/>
      <c r="Q40" s="81"/>
      <c r="R40" s="81"/>
      <c r="S40" s="65"/>
      <c r="T40" s="96">
        <f t="shared" si="0"/>
        <v>7.28</v>
      </c>
      <c r="U40" s="51"/>
      <c r="V40" s="51"/>
      <c r="W40" s="51"/>
      <c r="X40" s="51"/>
      <c r="Y40" s="51"/>
      <c r="Z40" s="51"/>
      <c r="AA40" s="51"/>
      <c r="AB40" s="51"/>
      <c r="AC40" s="51"/>
      <c r="AD40" s="51"/>
      <c r="AE40" s="51"/>
      <c r="AF40" s="51"/>
      <c r="AG40" s="51"/>
      <c r="AH40" s="51"/>
      <c r="AI40" s="51"/>
      <c r="AJ40" s="51"/>
      <c r="AK40" s="51"/>
      <c r="AL40" s="51"/>
      <c r="AM40" s="51"/>
      <c r="AN40" s="51"/>
      <c r="AO40" s="51"/>
      <c r="AP40" s="51"/>
      <c r="AQ40" s="51"/>
      <c r="AR40" s="51"/>
      <c r="AS40" s="51"/>
      <c r="AT40" s="51"/>
      <c r="AU40" s="51"/>
      <c r="AV40" s="51"/>
      <c r="AW40" s="51"/>
      <c r="AX40" s="51"/>
    </row>
    <row r="41" ht="17.1" customHeight="1" spans="2:50">
      <c r="B41" s="80"/>
      <c r="C41" s="62" t="s">
        <v>70</v>
      </c>
      <c r="D41" s="62"/>
      <c r="E41" s="62" t="s">
        <v>39</v>
      </c>
      <c r="F41" s="81"/>
      <c r="G41" s="81"/>
      <c r="H41" s="81"/>
      <c r="I41" s="65">
        <v>7.8</v>
      </c>
      <c r="J41" s="81"/>
      <c r="K41" s="81"/>
      <c r="L41" s="81"/>
      <c r="M41" s="81"/>
      <c r="N41" s="81"/>
      <c r="O41" s="81"/>
      <c r="P41" s="81"/>
      <c r="Q41" s="81"/>
      <c r="R41" s="81"/>
      <c r="S41" s="65"/>
      <c r="T41" s="96">
        <f t="shared" si="0"/>
        <v>7.8</v>
      </c>
      <c r="U41" s="51"/>
      <c r="V41" s="51"/>
      <c r="W41" s="51"/>
      <c r="X41" s="51"/>
      <c r="Y41" s="51"/>
      <c r="Z41" s="51"/>
      <c r="AA41" s="51"/>
      <c r="AB41" s="51"/>
      <c r="AC41" s="51"/>
      <c r="AD41" s="51"/>
      <c r="AE41" s="51"/>
      <c r="AF41" s="51"/>
      <c r="AG41" s="51"/>
      <c r="AH41" s="51"/>
      <c r="AI41" s="51"/>
      <c r="AJ41" s="51"/>
      <c r="AK41" s="51"/>
      <c r="AL41" s="51"/>
      <c r="AM41" s="51"/>
      <c r="AN41" s="51"/>
      <c r="AO41" s="51"/>
      <c r="AP41" s="51"/>
      <c r="AQ41" s="51"/>
      <c r="AR41" s="51"/>
      <c r="AS41" s="51"/>
      <c r="AT41" s="51"/>
      <c r="AU41" s="51"/>
      <c r="AV41" s="51"/>
      <c r="AW41" s="51"/>
      <c r="AX41" s="51"/>
    </row>
    <row r="42" ht="17.1" customHeight="1" spans="2:50">
      <c r="B42" s="80"/>
      <c r="C42" s="62" t="s">
        <v>71</v>
      </c>
      <c r="D42" s="62"/>
      <c r="E42" s="62" t="s">
        <v>26</v>
      </c>
      <c r="F42" s="81"/>
      <c r="G42" s="81"/>
      <c r="H42" s="81"/>
      <c r="I42" s="65">
        <v>0.156</v>
      </c>
      <c r="J42" s="81"/>
      <c r="K42" s="81"/>
      <c r="L42" s="81"/>
      <c r="M42" s="65"/>
      <c r="N42" s="65"/>
      <c r="O42" s="81"/>
      <c r="P42" s="65"/>
      <c r="Q42" s="65"/>
      <c r="R42" s="81"/>
      <c r="S42" s="65"/>
      <c r="T42" s="96">
        <f t="shared" si="0"/>
        <v>0.156</v>
      </c>
      <c r="U42" s="51"/>
      <c r="V42" s="51"/>
      <c r="W42" s="51"/>
      <c r="X42" s="51"/>
      <c r="Y42" s="51"/>
      <c r="Z42" s="51"/>
      <c r="AA42" s="51"/>
      <c r="AB42" s="51"/>
      <c r="AC42" s="51"/>
      <c r="AD42" s="51"/>
      <c r="AE42" s="51"/>
      <c r="AF42" s="51"/>
      <c r="AG42" s="51"/>
      <c r="AH42" s="51"/>
      <c r="AI42" s="51"/>
      <c r="AJ42" s="51"/>
      <c r="AK42" s="51"/>
      <c r="AL42" s="51"/>
      <c r="AM42" s="51"/>
      <c r="AN42" s="51"/>
      <c r="AO42" s="51"/>
      <c r="AP42" s="51"/>
      <c r="AQ42" s="51"/>
      <c r="AR42" s="51"/>
      <c r="AS42" s="51"/>
      <c r="AT42" s="51"/>
      <c r="AU42" s="51"/>
      <c r="AV42" s="51"/>
      <c r="AW42" s="51"/>
      <c r="AX42" s="51"/>
    </row>
    <row r="43" s="50" customFormat="1" ht="17.1" customHeight="1" spans="2:20">
      <c r="B43" s="82" t="s">
        <v>72</v>
      </c>
      <c r="C43" s="83"/>
      <c r="D43" s="83"/>
      <c r="E43" s="79" t="s">
        <v>65</v>
      </c>
      <c r="F43" s="79"/>
      <c r="G43" s="79"/>
      <c r="H43" s="79"/>
      <c r="I43" s="79"/>
      <c r="J43" s="79"/>
      <c r="K43" s="79"/>
      <c r="L43" s="79"/>
      <c r="M43" s="79"/>
      <c r="N43" s="79"/>
      <c r="O43" s="79"/>
      <c r="P43" s="79">
        <v>4</v>
      </c>
      <c r="Q43" s="79"/>
      <c r="R43" s="79"/>
      <c r="S43" s="79"/>
      <c r="T43" s="97">
        <f t="shared" si="0"/>
        <v>4</v>
      </c>
    </row>
    <row r="44" ht="17.1" customHeight="1" spans="2:50">
      <c r="B44" s="80" t="s">
        <v>73</v>
      </c>
      <c r="C44" s="63"/>
      <c r="D44" s="63"/>
      <c r="E44" s="62" t="s">
        <v>39</v>
      </c>
      <c r="F44" s="65">
        <f>0.9648*2+0.7156*21</f>
        <v>16.9572</v>
      </c>
      <c r="G44" s="81"/>
      <c r="H44" s="81"/>
      <c r="I44" s="65"/>
      <c r="J44" s="81"/>
      <c r="K44" s="81"/>
      <c r="L44" s="81"/>
      <c r="M44" s="65"/>
      <c r="N44" s="65"/>
      <c r="O44" s="81"/>
      <c r="P44" s="65"/>
      <c r="Q44" s="65"/>
      <c r="R44" s="81"/>
      <c r="S44" s="65"/>
      <c r="T44" s="96">
        <f t="shared" si="0"/>
        <v>16.9572</v>
      </c>
      <c r="U44" s="51"/>
      <c r="V44" s="51"/>
      <c r="W44" s="51"/>
      <c r="X44" s="51"/>
      <c r="Y44" s="51"/>
      <c r="Z44" s="51"/>
      <c r="AA44" s="51"/>
      <c r="AB44" s="51"/>
      <c r="AC44" s="51"/>
      <c r="AD44" s="51"/>
      <c r="AE44" s="51"/>
      <c r="AF44" s="51"/>
      <c r="AG44" s="51"/>
      <c r="AH44" s="51"/>
      <c r="AI44" s="51"/>
      <c r="AJ44" s="51"/>
      <c r="AK44" s="51"/>
      <c r="AL44" s="51"/>
      <c r="AM44" s="51"/>
      <c r="AN44" s="51"/>
      <c r="AO44" s="51"/>
      <c r="AP44" s="51"/>
      <c r="AQ44" s="51"/>
      <c r="AR44" s="51"/>
      <c r="AS44" s="51"/>
      <c r="AT44" s="51"/>
      <c r="AU44" s="51"/>
      <c r="AV44" s="51"/>
      <c r="AW44" s="51"/>
      <c r="AX44" s="51"/>
    </row>
    <row r="45" ht="17.1" customHeight="1" spans="2:50">
      <c r="B45" s="84" t="s">
        <v>74</v>
      </c>
      <c r="C45" s="85"/>
      <c r="D45" s="86"/>
      <c r="E45" s="79" t="s">
        <v>65</v>
      </c>
      <c r="F45" s="65"/>
      <c r="G45" s="81"/>
      <c r="H45" s="81"/>
      <c r="I45" s="65"/>
      <c r="J45" s="81"/>
      <c r="K45" s="81"/>
      <c r="L45" s="81"/>
      <c r="M45" s="65"/>
      <c r="N45" s="65"/>
      <c r="O45" s="81"/>
      <c r="P45" s="65"/>
      <c r="Q45" s="81">
        <v>448</v>
      </c>
      <c r="R45" s="81"/>
      <c r="S45" s="81"/>
      <c r="T45" s="97">
        <f t="shared" ref="T45:T51" si="4">SUM(F45:S45)</f>
        <v>448</v>
      </c>
      <c r="U45" s="51"/>
      <c r="V45" s="51"/>
      <c r="W45" s="51"/>
      <c r="X45" s="51"/>
      <c r="Y45" s="51"/>
      <c r="Z45" s="51"/>
      <c r="AA45" s="51"/>
      <c r="AB45" s="51"/>
      <c r="AC45" s="51"/>
      <c r="AD45" s="51"/>
      <c r="AE45" s="51"/>
      <c r="AF45" s="51"/>
      <c r="AG45" s="51"/>
      <c r="AH45" s="51"/>
      <c r="AI45" s="51"/>
      <c r="AJ45" s="51"/>
      <c r="AK45" s="51"/>
      <c r="AL45" s="51"/>
      <c r="AM45" s="51"/>
      <c r="AN45" s="51"/>
      <c r="AO45" s="51"/>
      <c r="AP45" s="51"/>
      <c r="AQ45" s="51"/>
      <c r="AR45" s="51"/>
      <c r="AS45" s="51"/>
      <c r="AT45" s="51"/>
      <c r="AU45" s="51"/>
      <c r="AV45" s="51"/>
      <c r="AW45" s="51"/>
      <c r="AX45" s="51"/>
    </row>
    <row r="46" ht="17.1" customHeight="1" spans="2:50">
      <c r="B46" s="80" t="s">
        <v>75</v>
      </c>
      <c r="C46" s="63"/>
      <c r="D46" s="63"/>
      <c r="E46" s="62" t="s">
        <v>26</v>
      </c>
      <c r="F46" s="65">
        <f>0.0023*23</f>
        <v>0.0529</v>
      </c>
      <c r="G46" s="81"/>
      <c r="H46" s="81"/>
      <c r="I46" s="65"/>
      <c r="J46" s="81"/>
      <c r="K46" s="81"/>
      <c r="L46" s="81"/>
      <c r="M46" s="65"/>
      <c r="N46" s="65"/>
      <c r="O46" s="81"/>
      <c r="P46" s="65"/>
      <c r="Q46" s="65"/>
      <c r="R46" s="81"/>
      <c r="S46" s="65"/>
      <c r="T46" s="96">
        <f t="shared" si="4"/>
        <v>0.0529</v>
      </c>
      <c r="U46" s="51"/>
      <c r="V46" s="51"/>
      <c r="W46" s="51"/>
      <c r="X46" s="51"/>
      <c r="Y46" s="51"/>
      <c r="Z46" s="51"/>
      <c r="AA46" s="51"/>
      <c r="AB46" s="51"/>
      <c r="AC46" s="51"/>
      <c r="AD46" s="51"/>
      <c r="AE46" s="51"/>
      <c r="AF46" s="51"/>
      <c r="AG46" s="51"/>
      <c r="AH46" s="51"/>
      <c r="AI46" s="51"/>
      <c r="AJ46" s="51"/>
      <c r="AK46" s="51"/>
      <c r="AL46" s="51"/>
      <c r="AM46" s="51"/>
      <c r="AN46" s="51"/>
      <c r="AO46" s="51"/>
      <c r="AP46" s="51"/>
      <c r="AQ46" s="51"/>
      <c r="AR46" s="51"/>
      <c r="AS46" s="51"/>
      <c r="AT46" s="51"/>
      <c r="AU46" s="51"/>
      <c r="AV46" s="51"/>
      <c r="AW46" s="51"/>
      <c r="AX46" s="51"/>
    </row>
    <row r="47" ht="17.1" customHeight="1" spans="2:50">
      <c r="B47" s="80" t="s">
        <v>76</v>
      </c>
      <c r="C47" s="63"/>
      <c r="D47" s="63"/>
      <c r="E47" s="62" t="s">
        <v>77</v>
      </c>
      <c r="F47" s="81"/>
      <c r="G47" s="81"/>
      <c r="H47" s="81"/>
      <c r="I47" s="81"/>
      <c r="J47" s="81"/>
      <c r="K47" s="65">
        <f>23.4*2</f>
        <v>46.8</v>
      </c>
      <c r="L47" s="81"/>
      <c r="M47" s="65"/>
      <c r="N47" s="65"/>
      <c r="O47" s="81"/>
      <c r="P47" s="65"/>
      <c r="Q47" s="65"/>
      <c r="R47" s="81"/>
      <c r="S47" s="65"/>
      <c r="T47" s="96">
        <f t="shared" si="4"/>
        <v>46.8</v>
      </c>
      <c r="U47" s="51"/>
      <c r="V47" s="51"/>
      <c r="W47" s="51"/>
      <c r="X47" s="51"/>
      <c r="Y47" s="51"/>
      <c r="Z47" s="51"/>
      <c r="AA47" s="51"/>
      <c r="AB47" s="51"/>
      <c r="AC47" s="51"/>
      <c r="AD47" s="51"/>
      <c r="AE47" s="51"/>
      <c r="AF47" s="51"/>
      <c r="AG47" s="51"/>
      <c r="AH47" s="51"/>
      <c r="AI47" s="51"/>
      <c r="AJ47" s="51"/>
      <c r="AK47" s="51"/>
      <c r="AL47" s="51"/>
      <c r="AM47" s="51"/>
      <c r="AN47" s="51"/>
      <c r="AO47" s="51"/>
      <c r="AP47" s="51"/>
      <c r="AQ47" s="51"/>
      <c r="AR47" s="51"/>
      <c r="AS47" s="51"/>
      <c r="AT47" s="51"/>
      <c r="AU47" s="51"/>
      <c r="AV47" s="51"/>
      <c r="AW47" s="51"/>
      <c r="AX47" s="51"/>
    </row>
    <row r="48" s="51" customFormat="1" ht="17.1" customHeight="1" spans="2:20">
      <c r="B48" s="87" t="s">
        <v>78</v>
      </c>
      <c r="C48" s="88"/>
      <c r="D48" s="88"/>
      <c r="E48" s="88" t="s">
        <v>26</v>
      </c>
      <c r="F48" s="88"/>
      <c r="G48" s="88">
        <f>0.013*22</f>
        <v>0.286</v>
      </c>
      <c r="H48" s="88"/>
      <c r="I48" s="88"/>
      <c r="J48" s="88"/>
      <c r="K48" s="88"/>
      <c r="L48" s="88"/>
      <c r="M48" s="88"/>
      <c r="N48" s="88"/>
      <c r="O48" s="88"/>
      <c r="P48" s="88"/>
      <c r="Q48" s="88"/>
      <c r="R48" s="88"/>
      <c r="S48" s="88"/>
      <c r="T48" s="96">
        <f t="shared" si="4"/>
        <v>0.286</v>
      </c>
    </row>
    <row r="49" ht="17.1" customHeight="1" spans="2:50">
      <c r="B49" s="69" t="s">
        <v>79</v>
      </c>
      <c r="C49" s="62"/>
      <c r="D49" s="62"/>
      <c r="E49" s="62" t="s">
        <v>26</v>
      </c>
      <c r="F49" s="67"/>
      <c r="G49" s="65"/>
      <c r="H49" s="65"/>
      <c r="I49" s="65"/>
      <c r="J49" s="62"/>
      <c r="K49" s="65"/>
      <c r="L49" s="65"/>
      <c r="M49" s="65"/>
      <c r="N49" s="65"/>
      <c r="O49" s="65"/>
      <c r="P49" s="65"/>
      <c r="Q49" s="65"/>
      <c r="R49" s="65"/>
      <c r="S49" s="65">
        <v>11.5</v>
      </c>
      <c r="T49" s="96">
        <f t="shared" si="4"/>
        <v>11.5</v>
      </c>
      <c r="U49" s="51"/>
      <c r="V49" s="51"/>
      <c r="W49" s="51"/>
      <c r="X49" s="51"/>
      <c r="Y49" s="51"/>
      <c r="Z49" s="51"/>
      <c r="AA49" s="51"/>
      <c r="AB49" s="51"/>
      <c r="AC49" s="51"/>
      <c r="AD49" s="51"/>
      <c r="AE49" s="51"/>
      <c r="AF49" s="51"/>
      <c r="AG49" s="51"/>
      <c r="AH49" s="51"/>
      <c r="AI49" s="51"/>
      <c r="AJ49" s="51"/>
      <c r="AK49" s="51"/>
      <c r="AL49" s="51"/>
      <c r="AM49" s="51"/>
      <c r="AN49" s="51"/>
      <c r="AO49" s="51"/>
      <c r="AP49" s="51"/>
      <c r="AQ49" s="51"/>
      <c r="AR49" s="51"/>
      <c r="AS49" s="51"/>
      <c r="AT49" s="51"/>
      <c r="AU49" s="51"/>
      <c r="AV49" s="51"/>
      <c r="AW49" s="51"/>
      <c r="AX49" s="51"/>
    </row>
    <row r="50" s="50" customFormat="1" ht="17.1" customHeight="1" spans="2:20">
      <c r="B50" s="78" t="s">
        <v>80</v>
      </c>
      <c r="C50" s="79"/>
      <c r="D50" s="79"/>
      <c r="E50" s="79" t="s">
        <v>26</v>
      </c>
      <c r="F50" s="79"/>
      <c r="G50" s="79"/>
      <c r="H50" s="79"/>
      <c r="I50" s="79"/>
      <c r="J50" s="79"/>
      <c r="K50" s="79"/>
      <c r="L50" s="79"/>
      <c r="M50" s="79"/>
      <c r="N50" s="79"/>
      <c r="O50" s="79"/>
      <c r="P50" s="79"/>
      <c r="Q50" s="79"/>
      <c r="R50" s="79"/>
      <c r="S50" s="88">
        <v>234.6</v>
      </c>
      <c r="T50" s="96">
        <f t="shared" si="4"/>
        <v>234.6</v>
      </c>
    </row>
    <row r="51" s="50" customFormat="1" ht="17.1" customHeight="1" spans="2:20">
      <c r="B51" s="89" t="s">
        <v>81</v>
      </c>
      <c r="C51" s="90"/>
      <c r="D51" s="90"/>
      <c r="E51" s="90" t="s">
        <v>26</v>
      </c>
      <c r="F51" s="90"/>
      <c r="G51" s="90"/>
      <c r="H51" s="90"/>
      <c r="I51" s="90"/>
      <c r="J51" s="90"/>
      <c r="K51" s="90"/>
      <c r="L51" s="90"/>
      <c r="M51" s="90"/>
      <c r="N51" s="90"/>
      <c r="O51" s="90"/>
      <c r="P51" s="90"/>
      <c r="Q51" s="90"/>
      <c r="R51" s="90"/>
      <c r="S51" s="98">
        <v>142.8</v>
      </c>
      <c r="T51" s="99">
        <f t="shared" si="4"/>
        <v>142.8</v>
      </c>
    </row>
    <row r="52" customHeight="1" spans="10:50">
      <c r="J52" s="52" t="s">
        <v>82</v>
      </c>
      <c r="P52" s="52" t="s">
        <v>83</v>
      </c>
      <c r="U52" s="51"/>
      <c r="V52" s="51"/>
      <c r="W52" s="51"/>
      <c r="X52" s="51"/>
      <c r="Y52" s="51"/>
      <c r="Z52" s="51"/>
      <c r="AA52" s="51"/>
      <c r="AB52" s="51"/>
      <c r="AC52" s="51"/>
      <c r="AD52" s="51"/>
      <c r="AE52" s="51"/>
      <c r="AF52" s="51"/>
      <c r="AG52" s="51"/>
      <c r="AH52" s="51"/>
      <c r="AI52" s="51"/>
      <c r="AJ52" s="51"/>
      <c r="AK52" s="51"/>
      <c r="AL52" s="51"/>
      <c r="AM52" s="51"/>
      <c r="AN52" s="51"/>
      <c r="AO52" s="51"/>
      <c r="AP52" s="51"/>
      <c r="AQ52" s="51"/>
      <c r="AR52" s="51"/>
      <c r="AS52" s="51"/>
      <c r="AT52" s="51"/>
      <c r="AU52" s="51"/>
      <c r="AV52" s="51"/>
      <c r="AW52" s="51"/>
      <c r="AX52" s="51"/>
    </row>
  </sheetData>
  <mergeCells count="55">
    <mergeCell ref="B1:T1"/>
    <mergeCell ref="B2:H2"/>
    <mergeCell ref="F3:L3"/>
    <mergeCell ref="M3:Q3"/>
    <mergeCell ref="M4:Q4"/>
    <mergeCell ref="C6:D6"/>
    <mergeCell ref="C7:D7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B17:D17"/>
    <mergeCell ref="B18:D18"/>
    <mergeCell ref="B19:D19"/>
    <mergeCell ref="B20:D20"/>
    <mergeCell ref="C37:D37"/>
    <mergeCell ref="C38:D38"/>
    <mergeCell ref="C39:D39"/>
    <mergeCell ref="C40:D40"/>
    <mergeCell ref="C41:D41"/>
    <mergeCell ref="C42:D42"/>
    <mergeCell ref="B43:D43"/>
    <mergeCell ref="B44:D44"/>
    <mergeCell ref="B45:D45"/>
    <mergeCell ref="B46:D46"/>
    <mergeCell ref="B47:D47"/>
    <mergeCell ref="B48:D48"/>
    <mergeCell ref="B49:D49"/>
    <mergeCell ref="B50:D50"/>
    <mergeCell ref="B51:D51"/>
    <mergeCell ref="B6:B16"/>
    <mergeCell ref="B21:B31"/>
    <mergeCell ref="B32:B36"/>
    <mergeCell ref="B38:B42"/>
    <mergeCell ref="C21:C26"/>
    <mergeCell ref="C27:C31"/>
    <mergeCell ref="C32:C35"/>
    <mergeCell ref="D3:D5"/>
    <mergeCell ref="E3:E5"/>
    <mergeCell ref="F4:F5"/>
    <mergeCell ref="G4:G5"/>
    <mergeCell ref="H4:H5"/>
    <mergeCell ref="I4:I5"/>
    <mergeCell ref="J4:J5"/>
    <mergeCell ref="K4:K5"/>
    <mergeCell ref="L4:L5"/>
    <mergeCell ref="R3:R5"/>
    <mergeCell ref="S3:S5"/>
    <mergeCell ref="T3:T5"/>
    <mergeCell ref="B3:C5"/>
  </mergeCells>
  <printOptions horizontalCentered="1"/>
  <pageMargins left="0.708661417322835" right="0.708661417322835" top="0.551181102362205" bottom="0.551181102362205" header="0.31496062992126" footer="0.31496062992126"/>
  <pageSetup paperSize="8" scale="83" orientation="landscape" blackAndWhite="1" verticalDpi="144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B1:S76"/>
  <sheetViews>
    <sheetView workbookViewId="0">
      <selection activeCell="F4" sqref="F4"/>
    </sheetView>
  </sheetViews>
  <sheetFormatPr defaultColWidth="9" defaultRowHeight="20.1" customHeight="1"/>
  <cols>
    <col min="1" max="2" width="9" style="1"/>
    <col min="3" max="4" width="12.625" style="1" customWidth="1"/>
    <col min="5" max="5" width="12.625" style="1"/>
    <col min="6" max="6" width="12.375" style="1" customWidth="1"/>
    <col min="7" max="7" width="15" style="1" customWidth="1"/>
    <col min="8" max="9" width="9.625" style="1" customWidth="1"/>
    <col min="10" max="10" width="10.875" style="1" customWidth="1"/>
    <col min="11" max="11" width="9.625" style="1" customWidth="1"/>
    <col min="12" max="12" width="12.625" style="1" customWidth="1"/>
    <col min="13" max="13" width="9.625" style="1" customWidth="1"/>
    <col min="14" max="14" width="11.75" style="1" customWidth="1"/>
    <col min="15" max="16384" width="9" style="1"/>
  </cols>
  <sheetData>
    <row r="1" customHeight="1" spans="5:13">
      <c r="E1" s="1" t="s">
        <v>84</v>
      </c>
      <c r="F1" s="1" t="s">
        <v>85</v>
      </c>
      <c r="K1" s="40"/>
      <c r="M1" s="40"/>
    </row>
    <row r="2" customHeight="1" spans="2:15">
      <c r="B2" s="2" t="s">
        <v>86</v>
      </c>
      <c r="C2" s="3"/>
      <c r="D2" s="3"/>
      <c r="E2" s="4" t="s">
        <v>87</v>
      </c>
      <c r="F2" s="5">
        <v>6</v>
      </c>
      <c r="H2" s="6"/>
      <c r="I2" s="6"/>
      <c r="J2" s="6"/>
      <c r="K2" s="6"/>
      <c r="L2" s="6"/>
      <c r="M2" s="6"/>
      <c r="N2" s="6"/>
      <c r="O2" s="6"/>
    </row>
    <row r="3" customHeight="1" spans="2:15">
      <c r="B3" s="2" t="s">
        <v>88</v>
      </c>
      <c r="C3" s="2" t="s">
        <v>89</v>
      </c>
      <c r="D3" s="3"/>
      <c r="E3" s="7">
        <v>91.5</v>
      </c>
      <c r="F3" s="8">
        <f>E3*F2</f>
        <v>549</v>
      </c>
      <c r="H3" s="9"/>
      <c r="I3" s="9"/>
      <c r="J3" s="9"/>
      <c r="K3" s="9"/>
      <c r="L3" s="9"/>
      <c r="M3" s="9"/>
      <c r="N3" s="9"/>
      <c r="O3" s="6"/>
    </row>
    <row r="4" customHeight="1" spans="2:15">
      <c r="B4" s="3"/>
      <c r="C4" s="2" t="s">
        <v>90</v>
      </c>
      <c r="D4" s="3"/>
      <c r="E4" s="7">
        <v>2.4</v>
      </c>
      <c r="F4" s="8">
        <f>E4*F2</f>
        <v>14.4</v>
      </c>
      <c r="H4" s="9"/>
      <c r="I4" s="9"/>
      <c r="J4" s="41"/>
      <c r="K4" s="9"/>
      <c r="L4" s="9"/>
      <c r="M4" s="9"/>
      <c r="N4" s="9"/>
      <c r="O4" s="6"/>
    </row>
    <row r="5" customHeight="1" spans="2:15">
      <c r="B5" s="3"/>
      <c r="C5" s="2" t="s">
        <v>91</v>
      </c>
      <c r="D5" s="2" t="s">
        <v>92</v>
      </c>
      <c r="E5" s="7">
        <v>2636.2</v>
      </c>
      <c r="F5" s="8">
        <f>E5*F2</f>
        <v>15817.2</v>
      </c>
      <c r="H5" s="9"/>
      <c r="I5" s="9"/>
      <c r="J5" s="9"/>
      <c r="K5" s="9"/>
      <c r="L5" s="9"/>
      <c r="M5" s="9"/>
      <c r="N5" s="9"/>
      <c r="O5" s="6"/>
    </row>
    <row r="6" customHeight="1" spans="2:15">
      <c r="B6" s="3"/>
      <c r="C6" s="2" t="s">
        <v>93</v>
      </c>
      <c r="D6" s="10">
        <v>16</v>
      </c>
      <c r="E6" s="7">
        <v>3586.6</v>
      </c>
      <c r="F6" s="8">
        <f>E6*F2</f>
        <v>21519.6</v>
      </c>
      <c r="H6" s="9"/>
      <c r="I6" s="9"/>
      <c r="J6" s="9"/>
      <c r="K6" s="9"/>
      <c r="L6" s="9"/>
      <c r="M6" s="9"/>
      <c r="N6" s="9"/>
      <c r="O6" s="6"/>
    </row>
    <row r="7" customHeight="1" spans="2:15">
      <c r="B7" s="3"/>
      <c r="C7" s="3"/>
      <c r="D7" s="10">
        <v>12</v>
      </c>
      <c r="E7" s="7">
        <v>2244.2</v>
      </c>
      <c r="F7" s="8">
        <f>E7*F2</f>
        <v>13465.2</v>
      </c>
      <c r="H7" s="9"/>
      <c r="I7" s="9"/>
      <c r="J7" s="9"/>
      <c r="K7" s="9"/>
      <c r="L7" s="9"/>
      <c r="M7" s="9"/>
      <c r="N7" s="9"/>
      <c r="O7" s="6"/>
    </row>
    <row r="8" customHeight="1" spans="2:15">
      <c r="B8" s="3"/>
      <c r="C8" s="3"/>
      <c r="D8" s="11">
        <v>10</v>
      </c>
      <c r="E8" s="12">
        <v>479.9</v>
      </c>
      <c r="F8" s="13">
        <f>E8*F2</f>
        <v>2879.4</v>
      </c>
      <c r="H8" s="9"/>
      <c r="I8" s="9"/>
      <c r="J8" s="9"/>
      <c r="K8" s="9"/>
      <c r="L8" s="9"/>
      <c r="M8" s="9"/>
      <c r="N8" s="9"/>
      <c r="O8" s="6"/>
    </row>
    <row r="9" customHeight="1" spans="2:15">
      <c r="B9" s="3"/>
      <c r="C9" s="3"/>
      <c r="D9" s="2" t="s">
        <v>94</v>
      </c>
      <c r="E9" s="7">
        <v>117.7</v>
      </c>
      <c r="F9" s="8">
        <f>E9*F2</f>
        <v>706.2</v>
      </c>
      <c r="H9" s="9"/>
      <c r="I9" s="9"/>
      <c r="J9" s="9"/>
      <c r="K9" s="9"/>
      <c r="L9" s="9"/>
      <c r="M9" s="9"/>
      <c r="N9" s="9"/>
      <c r="O9" s="6"/>
    </row>
    <row r="10" customHeight="1" spans="2:15">
      <c r="B10" s="3"/>
      <c r="C10" s="3"/>
      <c r="D10" s="2" t="s">
        <v>95</v>
      </c>
      <c r="E10" s="14">
        <v>4550.9</v>
      </c>
      <c r="F10" s="8">
        <f>E10*F2</f>
        <v>27305.4</v>
      </c>
      <c r="H10" s="9"/>
      <c r="I10" s="9"/>
      <c r="J10" s="9"/>
      <c r="K10" s="9"/>
      <c r="L10" s="9"/>
      <c r="M10" s="9"/>
      <c r="N10" s="9"/>
      <c r="O10" s="6"/>
    </row>
    <row r="11" customHeight="1" spans="2:15">
      <c r="B11" s="3"/>
      <c r="C11" s="3"/>
      <c r="D11" s="2" t="s">
        <v>96</v>
      </c>
      <c r="E11" s="14">
        <v>1658.4</v>
      </c>
      <c r="F11" s="8">
        <f>E11*F2</f>
        <v>9950.4</v>
      </c>
      <c r="H11" s="9"/>
      <c r="I11" s="9"/>
      <c r="J11" s="9"/>
      <c r="K11" s="9"/>
      <c r="L11" s="9"/>
      <c r="M11" s="9"/>
      <c r="N11" s="9"/>
      <c r="O11" s="6"/>
    </row>
    <row r="12" customHeight="1" spans="2:15">
      <c r="B12" s="3"/>
      <c r="C12" s="2" t="s">
        <v>97</v>
      </c>
      <c r="D12" s="3"/>
      <c r="E12" s="7">
        <v>1490.6</v>
      </c>
      <c r="F12" s="8">
        <f>E12*F2</f>
        <v>8943.6</v>
      </c>
      <c r="H12" s="9"/>
      <c r="I12" s="9"/>
      <c r="J12" s="9"/>
      <c r="K12" s="9"/>
      <c r="L12" s="9"/>
      <c r="M12" s="9"/>
      <c r="N12" s="9"/>
      <c r="O12" s="6"/>
    </row>
    <row r="13" customHeight="1" spans="2:15">
      <c r="B13" s="2" t="s">
        <v>98</v>
      </c>
      <c r="C13" s="2" t="s">
        <v>89</v>
      </c>
      <c r="D13" s="3"/>
      <c r="E13" s="7">
        <v>25</v>
      </c>
      <c r="F13" s="8">
        <f>E13*F2</f>
        <v>150</v>
      </c>
      <c r="H13" s="9"/>
      <c r="I13" s="9"/>
      <c r="J13" s="9"/>
      <c r="K13" s="9"/>
      <c r="L13" s="9"/>
      <c r="M13" s="9"/>
      <c r="N13" s="9"/>
      <c r="O13" s="6"/>
    </row>
    <row r="14" customHeight="1" spans="2:15">
      <c r="B14" s="3"/>
      <c r="C14" s="2" t="s">
        <v>99</v>
      </c>
      <c r="D14" s="3"/>
      <c r="E14" s="7">
        <v>3698</v>
      </c>
      <c r="F14" s="8">
        <f>E14*F2</f>
        <v>22188</v>
      </c>
      <c r="H14" s="9"/>
      <c r="I14" s="9"/>
      <c r="J14" s="9"/>
      <c r="K14" s="9"/>
      <c r="L14" s="9"/>
      <c r="M14" s="9"/>
      <c r="N14" s="9"/>
      <c r="O14" s="6"/>
    </row>
    <row r="15" customHeight="1" spans="2:15">
      <c r="B15" s="3"/>
      <c r="C15" s="2" t="s">
        <v>100</v>
      </c>
      <c r="D15" s="10">
        <v>12</v>
      </c>
      <c r="E15" s="15">
        <v>0</v>
      </c>
      <c r="F15" s="8">
        <f>E15*F2</f>
        <v>0</v>
      </c>
      <c r="H15" s="9"/>
      <c r="I15" s="9"/>
      <c r="J15" s="9"/>
      <c r="K15" s="9"/>
      <c r="L15" s="9"/>
      <c r="M15" s="9"/>
      <c r="N15" s="9"/>
      <c r="O15" s="6"/>
    </row>
    <row r="16" customHeight="1" spans="2:15">
      <c r="B16" s="2" t="s">
        <v>101</v>
      </c>
      <c r="C16" s="3"/>
      <c r="D16" s="3"/>
      <c r="E16" s="7">
        <v>18</v>
      </c>
      <c r="F16" s="8">
        <f>E16*F2</f>
        <v>108</v>
      </c>
      <c r="H16" s="9"/>
      <c r="I16" s="9"/>
      <c r="J16" s="9"/>
      <c r="K16" s="9"/>
      <c r="L16" s="9"/>
      <c r="M16" s="9"/>
      <c r="N16" s="9"/>
      <c r="O16" s="6"/>
    </row>
    <row r="17" customHeight="1" spans="2:15">
      <c r="B17" s="2" t="s">
        <v>102</v>
      </c>
      <c r="C17" s="3"/>
      <c r="D17" s="10">
        <v>12</v>
      </c>
      <c r="E17" s="7">
        <v>310.2</v>
      </c>
      <c r="F17" s="8">
        <f>E17*F2</f>
        <v>1861.2</v>
      </c>
      <c r="H17" s="9"/>
      <c r="I17" s="9"/>
      <c r="J17" s="9"/>
      <c r="K17" s="9"/>
      <c r="L17" s="9"/>
      <c r="M17" s="9"/>
      <c r="N17" s="9"/>
      <c r="O17" s="6"/>
    </row>
    <row r="18" customHeight="1" spans="2:15">
      <c r="B18" s="3"/>
      <c r="C18" s="3"/>
      <c r="D18" s="2" t="s">
        <v>95</v>
      </c>
      <c r="E18" s="7">
        <v>886.6</v>
      </c>
      <c r="F18" s="8">
        <f>E18*F2</f>
        <v>5319.6</v>
      </c>
      <c r="H18" s="9"/>
      <c r="I18" s="9"/>
      <c r="J18" s="9"/>
      <c r="K18" s="9"/>
      <c r="L18" s="9"/>
      <c r="M18" s="9"/>
      <c r="N18" s="9"/>
      <c r="O18" s="6"/>
    </row>
    <row r="19" customHeight="1" spans="2:15">
      <c r="B19" s="2" t="s">
        <v>103</v>
      </c>
      <c r="C19" s="3"/>
      <c r="D19" s="3"/>
      <c r="E19" s="7">
        <v>19.2</v>
      </c>
      <c r="F19" s="8">
        <f>E19*F2</f>
        <v>115.2</v>
      </c>
      <c r="H19" s="9"/>
      <c r="I19" s="9"/>
      <c r="J19" s="9"/>
      <c r="K19" s="9"/>
      <c r="L19" s="9"/>
      <c r="M19" s="9"/>
      <c r="N19" s="9"/>
      <c r="O19" s="6"/>
    </row>
    <row r="20" customHeight="1" spans="2:15">
      <c r="B20" s="2" t="s">
        <v>104</v>
      </c>
      <c r="C20" s="3"/>
      <c r="D20" s="3"/>
      <c r="E20" s="7">
        <v>191.6</v>
      </c>
      <c r="F20" s="8">
        <f>E20*F2</f>
        <v>1149.6</v>
      </c>
      <c r="H20" s="9"/>
      <c r="I20" s="9"/>
      <c r="J20" s="9"/>
      <c r="K20" s="9"/>
      <c r="L20" s="9"/>
      <c r="M20" s="9"/>
      <c r="N20" s="9"/>
      <c r="O20" s="6"/>
    </row>
    <row r="21" customHeight="1" spans="2:15">
      <c r="B21" s="2" t="s">
        <v>105</v>
      </c>
      <c r="C21" s="3"/>
      <c r="D21" s="3"/>
      <c r="E21" s="7">
        <v>0.18</v>
      </c>
      <c r="F21" s="8">
        <f>E21*F2</f>
        <v>1.08</v>
      </c>
      <c r="H21" s="9"/>
      <c r="I21" s="9"/>
      <c r="J21" s="9"/>
      <c r="K21" s="9"/>
      <c r="L21" s="9"/>
      <c r="M21" s="9"/>
      <c r="N21" s="9"/>
      <c r="O21" s="6"/>
    </row>
    <row r="22" customHeight="1" spans="2:6">
      <c r="B22" s="16" t="s">
        <v>106</v>
      </c>
      <c r="C22" s="17"/>
      <c r="D22" s="17"/>
      <c r="E22" s="12">
        <v>11.4</v>
      </c>
      <c r="F22" s="13">
        <f>E22*F2</f>
        <v>68.4</v>
      </c>
    </row>
    <row r="23" customHeight="1" spans="2:6">
      <c r="B23" s="16" t="s">
        <v>75</v>
      </c>
      <c r="C23" s="17"/>
      <c r="D23" s="17"/>
      <c r="E23" s="12">
        <v>0.027</v>
      </c>
      <c r="F23" s="13">
        <f>E23*F2</f>
        <v>0.162</v>
      </c>
    </row>
    <row r="24" customHeight="1" spans="4:6">
      <c r="D24" s="18" t="s">
        <v>107</v>
      </c>
      <c r="F24" s="1" t="s">
        <v>108</v>
      </c>
    </row>
    <row r="25" customHeight="1" spans="2:6">
      <c r="B25" s="6" t="s">
        <v>63</v>
      </c>
      <c r="C25" s="19" t="s">
        <v>109</v>
      </c>
      <c r="D25" s="6"/>
      <c r="E25" s="6"/>
      <c r="F25" s="20">
        <f>12*2*2*2*2</f>
        <v>192</v>
      </c>
    </row>
    <row r="26" customHeight="1" spans="2:6">
      <c r="B26" s="6"/>
      <c r="C26" s="19" t="s">
        <v>110</v>
      </c>
      <c r="D26" s="6"/>
      <c r="E26" s="6"/>
      <c r="F26" s="20">
        <f>12*2*4</f>
        <v>96</v>
      </c>
    </row>
    <row r="27" customHeight="1" spans="2:6">
      <c r="B27" s="6"/>
      <c r="C27" s="19" t="s">
        <v>111</v>
      </c>
      <c r="D27" s="6"/>
      <c r="E27" s="6"/>
      <c r="F27" s="21">
        <f>21.24*F25+21.24*F26</f>
        <v>6117.12</v>
      </c>
    </row>
    <row r="28" customHeight="1" spans="6:8">
      <c r="F28" s="1" t="s">
        <v>108</v>
      </c>
      <c r="G28" s="1" t="s">
        <v>112</v>
      </c>
      <c r="H28" s="1" t="s">
        <v>113</v>
      </c>
    </row>
    <row r="29" customHeight="1" spans="2:8">
      <c r="B29" s="6" t="s">
        <v>114</v>
      </c>
      <c r="C29" s="6"/>
      <c r="D29" s="22">
        <v>16</v>
      </c>
      <c r="E29" s="6"/>
      <c r="F29" s="23">
        <f>G29*H29</f>
        <v>2629.12</v>
      </c>
      <c r="G29" s="24">
        <f>657.28</f>
        <v>657.28</v>
      </c>
      <c r="H29" s="25">
        <v>4</v>
      </c>
    </row>
    <row r="30" customHeight="1" spans="2:8">
      <c r="B30" s="6"/>
      <c r="C30" s="6"/>
      <c r="D30" s="22">
        <v>12</v>
      </c>
      <c r="E30" s="6"/>
      <c r="F30" s="23">
        <f>G30*H29</f>
        <v>1479.28</v>
      </c>
      <c r="G30" s="24">
        <v>369.82</v>
      </c>
      <c r="H30" s="26"/>
    </row>
    <row r="32" customHeight="1" spans="6:19">
      <c r="F32" s="1" t="s">
        <v>108</v>
      </c>
      <c r="G32" s="1" t="s">
        <v>115</v>
      </c>
      <c r="H32" s="1" t="s">
        <v>113</v>
      </c>
      <c r="J32" s="42" t="s">
        <v>116</v>
      </c>
      <c r="K32" s="1" t="s">
        <v>113</v>
      </c>
      <c r="L32" s="42" t="s">
        <v>117</v>
      </c>
      <c r="M32" s="1" t="s">
        <v>113</v>
      </c>
      <c r="N32" s="42" t="s">
        <v>118</v>
      </c>
      <c r="O32" s="1" t="s">
        <v>113</v>
      </c>
      <c r="P32" s="1" t="s">
        <v>119</v>
      </c>
      <c r="Q32" s="1" t="s">
        <v>113</v>
      </c>
      <c r="R32" s="1" t="s">
        <v>120</v>
      </c>
      <c r="S32" s="1" t="s">
        <v>113</v>
      </c>
    </row>
    <row r="33" customHeight="1" spans="2:19">
      <c r="B33" s="27" t="s">
        <v>15</v>
      </c>
      <c r="C33" s="28" t="s">
        <v>121</v>
      </c>
      <c r="D33" s="29"/>
      <c r="E33" s="29"/>
      <c r="F33" s="23">
        <f>G33*H33+J33*K33+L33*M33+N33*O33+P33*Q33</f>
        <v>100.56</v>
      </c>
      <c r="G33" s="24">
        <v>7.1</v>
      </c>
      <c r="H33" s="25">
        <v>12</v>
      </c>
      <c r="J33" s="43">
        <v>1.3</v>
      </c>
      <c r="K33" s="44">
        <v>4</v>
      </c>
      <c r="L33" s="43">
        <v>2.3</v>
      </c>
      <c r="M33" s="44">
        <v>2</v>
      </c>
      <c r="N33" s="43">
        <v>2.3</v>
      </c>
      <c r="O33" s="44">
        <v>2</v>
      </c>
      <c r="P33" s="1">
        <v>0.24</v>
      </c>
      <c r="Q33" s="44">
        <v>4</v>
      </c>
      <c r="S33" s="44">
        <f>(INT(20/1.5)+1)*3</f>
        <v>42</v>
      </c>
    </row>
    <row r="34" customHeight="1" spans="3:19">
      <c r="C34" s="30">
        <v>20</v>
      </c>
      <c r="D34" s="31"/>
      <c r="E34" s="6"/>
      <c r="F34" s="23">
        <f>G34*H33+J34*K33+L34*M33+N34*O33</f>
        <v>25648.4</v>
      </c>
      <c r="G34" s="24">
        <v>1806.4</v>
      </c>
      <c r="H34" s="32"/>
      <c r="J34" s="6">
        <v>419.4</v>
      </c>
      <c r="K34" s="44"/>
      <c r="L34" s="6">
        <v>573.5</v>
      </c>
      <c r="M34" s="44"/>
      <c r="N34" s="6">
        <v>573.5</v>
      </c>
      <c r="O34" s="44"/>
      <c r="Q34" s="44"/>
      <c r="S34" s="44"/>
    </row>
    <row r="35" customHeight="1" spans="3:19">
      <c r="C35" s="22">
        <v>16</v>
      </c>
      <c r="D35" s="22"/>
      <c r="E35" s="6"/>
      <c r="F35" s="23">
        <f>P35*Q33+R35*S33</f>
        <v>154.96</v>
      </c>
      <c r="G35" s="24"/>
      <c r="H35" s="32"/>
      <c r="J35" s="6"/>
      <c r="K35" s="44"/>
      <c r="L35" s="6"/>
      <c r="M35" s="44"/>
      <c r="N35" s="6"/>
      <c r="O35" s="44"/>
      <c r="P35" s="1">
        <v>23.2</v>
      </c>
      <c r="Q35" s="44"/>
      <c r="R35" s="1">
        <v>1.48</v>
      </c>
      <c r="S35" s="44"/>
    </row>
    <row r="36" customHeight="1" spans="3:19">
      <c r="C36" s="22">
        <v>12</v>
      </c>
      <c r="D36" s="22"/>
      <c r="E36" s="6"/>
      <c r="F36" s="23">
        <f>P36*Q33</f>
        <v>98.8</v>
      </c>
      <c r="G36" s="24"/>
      <c r="H36" s="32"/>
      <c r="J36" s="6"/>
      <c r="K36" s="44"/>
      <c r="L36" s="6"/>
      <c r="M36" s="44"/>
      <c r="N36" s="6"/>
      <c r="O36" s="44"/>
      <c r="P36" s="1">
        <v>24.7</v>
      </c>
      <c r="Q36" s="44"/>
      <c r="S36" s="44"/>
    </row>
    <row r="37" customHeight="1" spans="3:19">
      <c r="C37" s="33" t="s">
        <v>95</v>
      </c>
      <c r="D37" s="19"/>
      <c r="E37" s="6"/>
      <c r="F37" s="23">
        <f>G37*H33+J37*K33+L37*M33+N37*O33</f>
        <v>3721.6</v>
      </c>
      <c r="G37" s="24">
        <v>265.2</v>
      </c>
      <c r="H37" s="32"/>
      <c r="J37" s="6">
        <v>56.8</v>
      </c>
      <c r="K37" s="44"/>
      <c r="L37" s="6">
        <v>84.4</v>
      </c>
      <c r="M37" s="44"/>
      <c r="N37" s="6">
        <v>71.6</v>
      </c>
      <c r="O37" s="44"/>
      <c r="Q37" s="44"/>
      <c r="S37" s="44"/>
    </row>
    <row r="38" customHeight="1" spans="3:19">
      <c r="C38" s="33" t="s">
        <v>96</v>
      </c>
      <c r="D38" s="19"/>
      <c r="E38" s="6"/>
      <c r="F38" s="23">
        <f>G38*H33+J38*K33+L38*M33+N38*O33</f>
        <v>186.4</v>
      </c>
      <c r="G38" s="24">
        <v>13.6</v>
      </c>
      <c r="H38" s="26"/>
      <c r="J38" s="6">
        <v>3.9</v>
      </c>
      <c r="K38" s="44"/>
      <c r="L38" s="6">
        <v>1.9</v>
      </c>
      <c r="M38" s="44"/>
      <c r="N38" s="6">
        <v>1.9</v>
      </c>
      <c r="O38" s="44"/>
      <c r="Q38" s="44"/>
      <c r="S38" s="44"/>
    </row>
    <row r="39" customHeight="1" spans="3:19">
      <c r="C39" s="1" t="s">
        <v>122</v>
      </c>
      <c r="D39" s="1" t="s">
        <v>123</v>
      </c>
      <c r="F39" s="23">
        <f>G39*H33+J39*K33+L39*M33+N39*O33</f>
        <v>324.8</v>
      </c>
      <c r="G39" s="34"/>
      <c r="H39" s="35"/>
      <c r="K39" s="45"/>
      <c r="L39" s="1">
        <v>81.2</v>
      </c>
      <c r="M39" s="45"/>
      <c r="N39" s="1">
        <v>81.2</v>
      </c>
      <c r="O39" s="45"/>
      <c r="Q39" s="44"/>
      <c r="S39" s="44"/>
    </row>
    <row r="40" customHeight="1" spans="3:19">
      <c r="C40" s="36" t="s">
        <v>124</v>
      </c>
      <c r="D40" s="19"/>
      <c r="F40" s="23">
        <f>R40*S33</f>
        <v>131.88</v>
      </c>
      <c r="G40" s="34"/>
      <c r="H40" s="35"/>
      <c r="K40" s="45"/>
      <c r="M40" s="45"/>
      <c r="O40" s="45"/>
      <c r="Q40" s="45"/>
      <c r="R40" s="1">
        <v>3.14</v>
      </c>
      <c r="S40" s="45"/>
    </row>
    <row r="42" customHeight="1" spans="2:8">
      <c r="B42" s="6" t="s">
        <v>16</v>
      </c>
      <c r="C42" s="6" t="s">
        <v>125</v>
      </c>
      <c r="D42" s="6"/>
      <c r="E42" s="6"/>
      <c r="F42" s="6" t="s">
        <v>108</v>
      </c>
      <c r="G42" s="6" t="s">
        <v>126</v>
      </c>
      <c r="H42" s="6" t="s">
        <v>113</v>
      </c>
    </row>
    <row r="43" customHeight="1" spans="2:8">
      <c r="B43" s="6"/>
      <c r="C43" s="6" t="s">
        <v>127</v>
      </c>
      <c r="D43" s="6"/>
      <c r="E43" s="6"/>
      <c r="F43" s="8">
        <f>G43*H43</f>
        <v>49.8898459259044</v>
      </c>
      <c r="G43" s="37">
        <f>12.425/COS(5*PI()/180)</f>
        <v>12.4724614814761</v>
      </c>
      <c r="H43" s="25">
        <v>4</v>
      </c>
    </row>
    <row r="44" customHeight="1" spans="2:8">
      <c r="B44" s="6"/>
      <c r="C44" s="6" t="s">
        <v>128</v>
      </c>
      <c r="D44" s="6"/>
      <c r="E44" s="6"/>
      <c r="F44" s="8">
        <f>G44*H43</f>
        <v>6.24</v>
      </c>
      <c r="G44" s="38">
        <v>1.56</v>
      </c>
      <c r="H44" s="32"/>
    </row>
    <row r="45" customHeight="1" spans="2:8">
      <c r="B45" s="6"/>
      <c r="C45" s="22">
        <v>16</v>
      </c>
      <c r="D45" s="22"/>
      <c r="E45" s="6"/>
      <c r="F45" s="8">
        <f>G45*H43</f>
        <v>2249.2</v>
      </c>
      <c r="G45" s="38">
        <v>562.3</v>
      </c>
      <c r="H45" s="32"/>
    </row>
    <row r="46" customHeight="1" spans="2:8">
      <c r="B46" s="6"/>
      <c r="C46" s="22" t="s">
        <v>95</v>
      </c>
      <c r="D46" s="22"/>
      <c r="E46" s="6"/>
      <c r="F46" s="8">
        <f>G46*H43</f>
        <v>327.6</v>
      </c>
      <c r="G46" s="38">
        <v>81.9</v>
      </c>
      <c r="H46" s="26"/>
    </row>
    <row r="48" customHeight="1" spans="7:8">
      <c r="G48" s="1" t="s">
        <v>129</v>
      </c>
      <c r="H48" s="6" t="s">
        <v>113</v>
      </c>
    </row>
    <row r="49" customHeight="1" spans="2:8">
      <c r="B49" s="6" t="s">
        <v>8</v>
      </c>
      <c r="C49" s="6" t="s">
        <v>130</v>
      </c>
      <c r="D49" s="6"/>
      <c r="E49" s="6"/>
      <c r="F49" s="23">
        <f>G49*H49</f>
        <v>10401.6</v>
      </c>
      <c r="G49" s="24">
        <v>2600.4</v>
      </c>
      <c r="H49" s="25">
        <v>4</v>
      </c>
    </row>
    <row r="50" customHeight="1" spans="2:8">
      <c r="B50" s="6"/>
      <c r="C50" s="6" t="s">
        <v>131</v>
      </c>
      <c r="D50" s="6"/>
      <c r="E50" s="6"/>
      <c r="F50" s="23">
        <f>G50*H49</f>
        <v>0</v>
      </c>
      <c r="G50" s="6">
        <v>0</v>
      </c>
      <c r="H50" s="32"/>
    </row>
    <row r="51" customHeight="1" spans="2:8">
      <c r="B51" s="6"/>
      <c r="C51" s="6" t="s">
        <v>132</v>
      </c>
      <c r="D51" s="6"/>
      <c r="E51" s="6"/>
      <c r="F51" s="23">
        <f>G51*H49</f>
        <v>4010.4</v>
      </c>
      <c r="G51" s="24">
        <v>1002.6</v>
      </c>
      <c r="H51" s="32"/>
    </row>
    <row r="52" customHeight="1" spans="2:8">
      <c r="B52" s="6"/>
      <c r="C52" s="6" t="s">
        <v>133</v>
      </c>
      <c r="D52" s="6"/>
      <c r="E52" s="6"/>
      <c r="F52" s="23">
        <f>G52*H49</f>
        <v>82.4</v>
      </c>
      <c r="G52" s="24">
        <v>20.6</v>
      </c>
      <c r="H52" s="32"/>
    </row>
    <row r="53" customHeight="1" spans="2:8">
      <c r="B53" s="6"/>
      <c r="C53" s="6" t="s">
        <v>134</v>
      </c>
      <c r="D53" s="6"/>
      <c r="E53" s="6"/>
      <c r="F53" s="23">
        <f>G53*H49</f>
        <v>23.2</v>
      </c>
      <c r="G53" s="24">
        <v>5.8</v>
      </c>
      <c r="H53" s="32"/>
    </row>
    <row r="54" customHeight="1" spans="2:8">
      <c r="B54" s="6"/>
      <c r="C54" s="6" t="s">
        <v>135</v>
      </c>
      <c r="D54" s="6"/>
      <c r="E54" s="6"/>
      <c r="F54" s="23">
        <f>G54*H49</f>
        <v>137.2</v>
      </c>
      <c r="G54" s="24">
        <v>34.3</v>
      </c>
      <c r="H54" s="26"/>
    </row>
    <row r="56" customHeight="1" spans="7:8">
      <c r="G56" s="1" t="s">
        <v>136</v>
      </c>
      <c r="H56" s="6" t="s">
        <v>113</v>
      </c>
    </row>
    <row r="57" customHeight="1" spans="2:8">
      <c r="B57" s="6" t="s">
        <v>14</v>
      </c>
      <c r="C57" s="6" t="s">
        <v>137</v>
      </c>
      <c r="D57" s="6"/>
      <c r="E57" s="6"/>
      <c r="F57" s="23">
        <f>G57*H57</f>
        <v>75</v>
      </c>
      <c r="G57" s="24">
        <v>12.5</v>
      </c>
      <c r="H57" s="20">
        <v>6</v>
      </c>
    </row>
    <row r="58" customHeight="1" spans="2:8">
      <c r="B58" s="6"/>
      <c r="C58" s="6" t="s">
        <v>138</v>
      </c>
      <c r="D58" s="6"/>
      <c r="E58" s="6"/>
      <c r="F58" s="23">
        <f>G58*H57</f>
        <v>912</v>
      </c>
      <c r="G58" s="24">
        <v>152</v>
      </c>
      <c r="H58" s="20"/>
    </row>
    <row r="59" customHeight="1" spans="2:8">
      <c r="B59" s="6"/>
      <c r="C59" s="6" t="s">
        <v>139</v>
      </c>
      <c r="D59" s="6"/>
      <c r="E59" s="6"/>
      <c r="F59" s="23">
        <f>G59*H57</f>
        <v>26.88</v>
      </c>
      <c r="G59" s="24">
        <v>4.48</v>
      </c>
      <c r="H59" s="20"/>
    </row>
    <row r="60" customHeight="1" spans="2:8">
      <c r="B60" s="6"/>
      <c r="C60" s="6" t="s">
        <v>140</v>
      </c>
      <c r="D60" s="6"/>
      <c r="E60" s="6"/>
      <c r="F60" s="23">
        <f>G60*H57</f>
        <v>57</v>
      </c>
      <c r="G60" s="24">
        <v>9.5</v>
      </c>
      <c r="H60" s="20"/>
    </row>
    <row r="61" customHeight="1" spans="2:8">
      <c r="B61" s="6"/>
      <c r="C61" s="6" t="s">
        <v>141</v>
      </c>
      <c r="D61" s="6"/>
      <c r="E61" s="6"/>
      <c r="F61" s="23">
        <f>G61*H57</f>
        <v>28.8</v>
      </c>
      <c r="G61" s="24">
        <v>4.8</v>
      </c>
      <c r="H61" s="20"/>
    </row>
    <row r="62" customHeight="1" spans="2:8">
      <c r="B62" s="6"/>
      <c r="C62" s="6" t="s">
        <v>142</v>
      </c>
      <c r="D62" s="6"/>
      <c r="E62" s="6"/>
      <c r="F62" s="23">
        <f>G62*H57</f>
        <v>0.576</v>
      </c>
      <c r="G62" s="24">
        <v>0.096</v>
      </c>
      <c r="H62" s="20"/>
    </row>
    <row r="63" customHeight="1" spans="2:8">
      <c r="B63" s="6"/>
      <c r="C63" s="6" t="s">
        <v>143</v>
      </c>
      <c r="D63" s="6"/>
      <c r="E63" s="39" t="s">
        <v>144</v>
      </c>
      <c r="F63" s="6"/>
      <c r="G63" s="6"/>
      <c r="H63" s="6"/>
    </row>
    <row r="67" customHeight="1" spans="2:5">
      <c r="B67" s="6" t="s">
        <v>145</v>
      </c>
      <c r="C67" s="6"/>
      <c r="D67" s="6"/>
      <c r="E67" s="6"/>
    </row>
    <row r="68" customHeight="1" spans="2:5">
      <c r="B68" s="6" t="s">
        <v>146</v>
      </c>
      <c r="C68" s="46" t="s">
        <v>147</v>
      </c>
      <c r="D68" s="6" t="s">
        <v>148</v>
      </c>
      <c r="E68" s="6" t="s">
        <v>149</v>
      </c>
    </row>
    <row r="69" customHeight="1" spans="2:5">
      <c r="B69" s="6" t="s">
        <v>65</v>
      </c>
      <c r="C69" s="46" t="s">
        <v>77</v>
      </c>
      <c r="D69" s="6" t="s">
        <v>77</v>
      </c>
      <c r="E69" s="6" t="s">
        <v>150</v>
      </c>
    </row>
    <row r="70" customHeight="1" spans="2:5">
      <c r="B70" s="47">
        <v>12</v>
      </c>
      <c r="C70" s="47">
        <v>1.2</v>
      </c>
      <c r="D70" s="47">
        <v>6</v>
      </c>
      <c r="E70" s="48">
        <f>D70*B70*LOOKUP(C70,{1,1.2,1.3,1.5,1.6,1.8,2,2.2},{267,390,449.3,568,638.2,778.6,919,1153})/1000</f>
        <v>28.08</v>
      </c>
    </row>
    <row r="71" customHeight="1" spans="2:5">
      <c r="B71" s="47">
        <v>16</v>
      </c>
      <c r="C71" s="47">
        <v>1.6</v>
      </c>
      <c r="D71" s="47">
        <v>6</v>
      </c>
      <c r="E71" s="48">
        <f>D71*B71*LOOKUP(C71,{1,1.2,1.3,1.5,1.6,1.8,2,2.2},{267,390,449.3,568,638.2,778.6,919,1153})/1000</f>
        <v>61.2672</v>
      </c>
    </row>
    <row r="72" customHeight="1" spans="2:5">
      <c r="B72" s="6"/>
      <c r="C72" s="6"/>
      <c r="D72" s="6"/>
      <c r="E72" s="43">
        <f>SUM(E70:E71)</f>
        <v>89.3472</v>
      </c>
    </row>
    <row r="73" customHeight="1" spans="2:5">
      <c r="B73" s="6"/>
      <c r="C73" s="6"/>
      <c r="D73" s="6"/>
      <c r="E73" s="6"/>
    </row>
    <row r="74" customHeight="1" spans="2:5">
      <c r="B74" s="6"/>
      <c r="C74" s="6"/>
      <c r="D74" s="6"/>
      <c r="E74" s="6"/>
    </row>
    <row r="75" customHeight="1" spans="2:5">
      <c r="B75" s="6"/>
      <c r="C75" s="6"/>
      <c r="D75" s="6"/>
      <c r="E75" s="6"/>
    </row>
    <row r="76" customHeight="1" spans="2:5">
      <c r="B76" s="6"/>
      <c r="C76" s="6"/>
      <c r="D76" s="6"/>
      <c r="E76" s="6"/>
    </row>
  </sheetData>
  <mergeCells count="61">
    <mergeCell ref="B2:D2"/>
    <mergeCell ref="C3:D3"/>
    <mergeCell ref="C4:D4"/>
    <mergeCell ref="C12:D12"/>
    <mergeCell ref="C13:D13"/>
    <mergeCell ref="C14:D14"/>
    <mergeCell ref="B16:D16"/>
    <mergeCell ref="B19:D19"/>
    <mergeCell ref="B20:D20"/>
    <mergeCell ref="B21:D21"/>
    <mergeCell ref="B22:D22"/>
    <mergeCell ref="B23:D23"/>
    <mergeCell ref="C25:D25"/>
    <mergeCell ref="C26:D26"/>
    <mergeCell ref="C27:D27"/>
    <mergeCell ref="C33:D33"/>
    <mergeCell ref="C34:D34"/>
    <mergeCell ref="C35:D35"/>
    <mergeCell ref="C36:D36"/>
    <mergeCell ref="C37:D37"/>
    <mergeCell ref="C38:D38"/>
    <mergeCell ref="C40:D40"/>
    <mergeCell ref="C42:D42"/>
    <mergeCell ref="C43:D43"/>
    <mergeCell ref="C44:D44"/>
    <mergeCell ref="C45:D45"/>
    <mergeCell ref="C46:D46"/>
    <mergeCell ref="C49:D49"/>
    <mergeCell ref="C50:D50"/>
    <mergeCell ref="C51:D51"/>
    <mergeCell ref="C52:D52"/>
    <mergeCell ref="C53:D53"/>
    <mergeCell ref="C54:D54"/>
    <mergeCell ref="C57:D57"/>
    <mergeCell ref="C58:D58"/>
    <mergeCell ref="C59:D59"/>
    <mergeCell ref="C60:D60"/>
    <mergeCell ref="C61:D61"/>
    <mergeCell ref="C62:D62"/>
    <mergeCell ref="C63:D63"/>
    <mergeCell ref="B67:E67"/>
    <mergeCell ref="B3:B12"/>
    <mergeCell ref="B13:B15"/>
    <mergeCell ref="B25:B27"/>
    <mergeCell ref="B33:B39"/>
    <mergeCell ref="B42:B46"/>
    <mergeCell ref="B49:B54"/>
    <mergeCell ref="B57:B63"/>
    <mergeCell ref="C6:C11"/>
    <mergeCell ref="H29:H30"/>
    <mergeCell ref="H33:H38"/>
    <mergeCell ref="H43:H46"/>
    <mergeCell ref="H49:H54"/>
    <mergeCell ref="H57:H62"/>
    <mergeCell ref="K33:K38"/>
    <mergeCell ref="M33:M38"/>
    <mergeCell ref="O33:O38"/>
    <mergeCell ref="Q33:Q39"/>
    <mergeCell ref="S33:S39"/>
    <mergeCell ref="B17:C18"/>
    <mergeCell ref="B29:C3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全桥工程数量表</vt:lpstr>
      <vt:lpstr>上部及附属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张中余</cp:lastModifiedBy>
  <dcterms:created xsi:type="dcterms:W3CDTF">2006-09-16T00:00:00Z</dcterms:created>
  <cp:lastPrinted>2025-11-18T03:25:00Z</cp:lastPrinted>
  <dcterms:modified xsi:type="dcterms:W3CDTF">2025-11-19T01:31:00Z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C249FFB697D345B3BDB1C6A04898302F_13</vt:lpwstr>
  </property>
  <property fmtid="{D5CDD505-2E9C-101B-9397-08002B2CF9AE}" pid="3" name="KSOProductBuildVer">
    <vt:lpwstr>2052-12.1.0.23125</vt:lpwstr>
  </property>
  <property fmtid="{D5CDD505-2E9C-101B-9397-08002B2CF9AE}" pid="4" name="KSOReadingLayout">
    <vt:bool>false</vt:bool>
  </property>
</Properties>
</file>